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86" activeTab="0"/>
  </bookViews>
  <sheets>
    <sheet name="TOT-0808" sheetId="1" r:id="rId1"/>
    <sheet name="LI-08 (1)" sheetId="2" r:id="rId2"/>
    <sheet name="Incendio" sheetId="3" r:id="rId3"/>
    <sheet name="TR-08 (1)" sheetId="4" r:id="rId4"/>
    <sheet name="SA-08 (1)" sheetId="5" r:id="rId5"/>
    <sheet name="SA-08 (2)" sheetId="6" r:id="rId6"/>
    <sheet name="RE-08 (1)" sheetId="7" r:id="rId7"/>
    <sheet name="TR-TIBA-08 (1)" sheetId="8" r:id="rId8"/>
    <sheet name="SA-TIBA-08 (1)" sheetId="9" r:id="rId9"/>
    <sheet name="SUP-TIBA" sheetId="10" r:id="rId10"/>
    <sheet name="TASA FALLA" sheetId="11" r:id="rId11"/>
    <sheet name="DATO" sheetId="12" r:id="rId12"/>
  </sheets>
  <externalReferences>
    <externalReference r:id="rId15"/>
    <externalReference r:id="rId16"/>
  </externalReferences>
  <definedNames>
    <definedName name="_xlnm.Print_Area" localSheetId="1">'LI-08 (1)'!$A$1:$AD$41</definedName>
    <definedName name="_xlnm.Print_Area" localSheetId="6">'RE-08 (1)'!$A$1:$Y$43</definedName>
    <definedName name="_xlnm.Print_Area" localSheetId="4">'SA-08 (1)'!$A$1:$U$46</definedName>
    <definedName name="_xlnm.Print_Area" localSheetId="5">'SA-08 (2)'!$A$1:$U$46</definedName>
    <definedName name="_xlnm.Print_Area" localSheetId="8">'SA-TIBA-08 (1)'!$A$1:$U$44</definedName>
    <definedName name="_xlnm.Print_Area" localSheetId="9">'SUP-TIBA'!$A$1:$W$71</definedName>
    <definedName name="_xlnm.Print_Area" localSheetId="10">'TASA FALLA'!$A$1:$V$99</definedName>
    <definedName name="_xlnm.Print_Area" localSheetId="0">'TOT-0808'!$A$1:$K$38</definedName>
    <definedName name="_xlnm.Print_Area" localSheetId="3">'TR-08 (1)'!$A$1:$AB$44</definedName>
    <definedName name="_xlnm.Print_Area" localSheetId="7">'TR-TIBA-08 (1)'!$A$1:$AB$42</definedName>
    <definedName name="DD" localSheetId="1">'LI-08 (1)'!DD</definedName>
    <definedName name="DD" localSheetId="6">'RE-08 (1)'!DD</definedName>
    <definedName name="DD" localSheetId="4">'SA-08 (1)'!DD</definedName>
    <definedName name="DD" localSheetId="5">'SA-08 (2)'!DD</definedName>
    <definedName name="DD" localSheetId="8">'SA-TIBA-08 (1)'!DD</definedName>
    <definedName name="DD" localSheetId="10">'TASA FALLA'!DD</definedName>
    <definedName name="DD" localSheetId="3">'TR-08 (1)'!DD</definedName>
    <definedName name="DD" localSheetId="7">'TR-TIBA-08 (1)'!DD</definedName>
    <definedName name="DD">[0]!DD</definedName>
    <definedName name="DDD" localSheetId="1">'LI-08 (1)'!DDD</definedName>
    <definedName name="DDD" localSheetId="6">'RE-08 (1)'!DDD</definedName>
    <definedName name="DDD" localSheetId="4">'SA-08 (1)'!DDD</definedName>
    <definedName name="DDD" localSheetId="5">'SA-08 (2)'!DDD</definedName>
    <definedName name="DDD" localSheetId="8">'SA-TIBA-08 (1)'!DDD</definedName>
    <definedName name="DDD" localSheetId="10">'TASA FALLA'!DDD</definedName>
    <definedName name="DDD" localSheetId="3">'TR-08 (1)'!DDD</definedName>
    <definedName name="DDD" localSheetId="7">'TR-TIBA-08 (1)'!DDD</definedName>
    <definedName name="DDD">[0]!DDD</definedName>
    <definedName name="DISTROCUYO" localSheetId="1">'LI-08 (1)'!DISTROCUYO</definedName>
    <definedName name="DISTROCUYO" localSheetId="6">'RE-08 (1)'!DISTROCUYO</definedName>
    <definedName name="DISTROCUYO" localSheetId="4">'SA-08 (1)'!DISTROCUYO</definedName>
    <definedName name="DISTROCUYO" localSheetId="5">'SA-08 (2)'!DISTROCUYO</definedName>
    <definedName name="DISTROCUYO" localSheetId="8">'SA-TIBA-08 (1)'!DISTROCUYO</definedName>
    <definedName name="DISTROCUYO" localSheetId="10">'TASA FALLA'!DISTROCUYO</definedName>
    <definedName name="DISTROCUYO" localSheetId="3">'TR-08 (1)'!DISTROCUYO</definedName>
    <definedName name="DISTROCUYO" localSheetId="7">'TR-TIBA-08 (1)'!DISTROCUYO</definedName>
    <definedName name="DISTROCUYO">[0]!DISTROCUYO</definedName>
    <definedName name="INICIO" localSheetId="1">'LI-08 (1)'!INICIO</definedName>
    <definedName name="INICIO" localSheetId="6">'RE-08 (1)'!INICIO</definedName>
    <definedName name="INICIO" localSheetId="4">'SA-08 (1)'!INICIO</definedName>
    <definedName name="INICIO" localSheetId="5">'SA-08 (2)'!INICIO</definedName>
    <definedName name="INICIO" localSheetId="8">'SA-TIBA-08 (1)'!INICIO</definedName>
    <definedName name="INICIO" localSheetId="10">'TASA FALLA'!INICIO</definedName>
    <definedName name="INICIO" localSheetId="0">'TOT-0808'!INICIO</definedName>
    <definedName name="INICIO" localSheetId="3">'TR-08 (1)'!INICIO</definedName>
    <definedName name="INICIO" localSheetId="7">'TR-TIBA-08 (1)'!INICIO</definedName>
    <definedName name="INICIO">[0]!INICIO</definedName>
    <definedName name="INICIOTI" localSheetId="1">'LI-08 (1)'!INICIOTI</definedName>
    <definedName name="INICIOTI" localSheetId="6">'RE-08 (1)'!INICIOTI</definedName>
    <definedName name="INICIOTI" localSheetId="4">'SA-08 (1)'!INICIOTI</definedName>
    <definedName name="INICIOTI" localSheetId="5">'SA-08 (2)'!INICIOTI</definedName>
    <definedName name="INICIOTI" localSheetId="8">'SA-TIBA-08 (1)'!INICIOTI</definedName>
    <definedName name="INICIOTI" localSheetId="10">'TASA FALLA'!INICIOTI</definedName>
    <definedName name="INICIOTI" localSheetId="3">'TR-08 (1)'!INICIOTI</definedName>
    <definedName name="INICIOTI" localSheetId="7">'TR-TIBA-08 (1)'!INICIOTI</definedName>
    <definedName name="INICIOTI">[0]!INICIOTI</definedName>
    <definedName name="LINEAS" localSheetId="1">'LI-08 (1)'!LINEAS</definedName>
    <definedName name="LINEAS" localSheetId="6">'RE-08 (1)'!LINEAS</definedName>
    <definedName name="LINEAS" localSheetId="4">'SA-08 (1)'!LINEAS</definedName>
    <definedName name="LINEAS" localSheetId="5">'SA-08 (2)'!LINEAS</definedName>
    <definedName name="LINEAS" localSheetId="8">'SA-TIBA-08 (1)'!LINEAS</definedName>
    <definedName name="LINEAS" localSheetId="10">'TASA FALLA'!LINEAS</definedName>
    <definedName name="LINEAS" localSheetId="3">'TR-08 (1)'!LINEAS</definedName>
    <definedName name="LINEAS" localSheetId="7">'TR-TIBA-08 (1)'!LINEAS</definedName>
    <definedName name="LINEAS">[0]!LINEAS</definedName>
    <definedName name="NAME_L" localSheetId="1">'LI-08 (1)'!NAME_L</definedName>
    <definedName name="NAME_L" localSheetId="6">'RE-08 (1)'!NAME_L</definedName>
    <definedName name="NAME_L" localSheetId="4">'SA-08 (1)'!NAME_L</definedName>
    <definedName name="NAME_L" localSheetId="5">'SA-08 (2)'!NAME_L</definedName>
    <definedName name="NAME_L" localSheetId="8">'SA-TIBA-08 (1)'!NAME_L</definedName>
    <definedName name="NAME_L" localSheetId="10">'TASA FALLA'!NAME_L</definedName>
    <definedName name="NAME_L" localSheetId="3">'TR-08 (1)'!NAME_L</definedName>
    <definedName name="NAME_L" localSheetId="7">'TR-TIBA-08 (1)'!NAME_L</definedName>
    <definedName name="NAME_L">[0]!NAME_L</definedName>
    <definedName name="NAME_L_TI" localSheetId="1">'LI-08 (1)'!NAME_L_TI</definedName>
    <definedName name="NAME_L_TI" localSheetId="6">'RE-08 (1)'!NAME_L_TI</definedName>
    <definedName name="NAME_L_TI" localSheetId="4">'SA-08 (1)'!NAME_L_TI</definedName>
    <definedName name="NAME_L_TI" localSheetId="5">'SA-08 (2)'!NAME_L_TI</definedName>
    <definedName name="NAME_L_TI" localSheetId="8">'SA-TIBA-08 (1)'!NAME_L_TI</definedName>
    <definedName name="NAME_L_TI" localSheetId="10">'TASA FALLA'!NAME_L_TI</definedName>
    <definedName name="NAME_L_TI" localSheetId="3">'TR-08 (1)'!NAME_L_TI</definedName>
    <definedName name="NAME_L_TI" localSheetId="7">'TR-TIBA-08 (1)'!NAME_L_TI</definedName>
    <definedName name="NAME_L_TI">[0]!NAME_L_TI</definedName>
    <definedName name="TRAN" localSheetId="1">'LI-08 (1)'!TRAN</definedName>
    <definedName name="TRAN" localSheetId="6">'RE-08 (1)'!TRAN</definedName>
    <definedName name="TRAN" localSheetId="4">'SA-08 (1)'!TRAN</definedName>
    <definedName name="TRAN" localSheetId="5">'SA-08 (2)'!TRAN</definedName>
    <definedName name="TRAN" localSheetId="8">'SA-TIBA-08 (1)'!TRAN</definedName>
    <definedName name="TRAN" localSheetId="10">'TASA FALLA'!TRAN</definedName>
    <definedName name="TRAN" localSheetId="3">'TR-08 (1)'!TRAN</definedName>
    <definedName name="TRAN" localSheetId="7">'TR-TIBA-08 (1)'!TRAN</definedName>
    <definedName name="TRAN">[0]!TRAN</definedName>
    <definedName name="TRANSNOA" localSheetId="1">'LI-08 (1)'!TRANSNOA</definedName>
    <definedName name="TRANSNOA" localSheetId="6">'RE-08 (1)'!TRANSNOA</definedName>
    <definedName name="TRANSNOA" localSheetId="4">'SA-08 (1)'!TRANSNOA</definedName>
    <definedName name="TRANSNOA" localSheetId="5">'SA-08 (2)'!TRANSNOA</definedName>
    <definedName name="TRANSNOA" localSheetId="8">'SA-TIBA-08 (1)'!TRANSNOA</definedName>
    <definedName name="TRANSNOA" localSheetId="10">'TASA FALLA'!TRANSNOA</definedName>
    <definedName name="TRANSNOA" localSheetId="3">'TR-08 (1)'!TRANSNOA</definedName>
    <definedName name="TRANSNOA" localSheetId="7">'TR-TIBA-08 (1)'!TRANSNOA</definedName>
    <definedName name="TRANSNOA">[0]!TRANSNOA</definedName>
    <definedName name="x" localSheetId="1">'LI-08 (1)'!x</definedName>
    <definedName name="x" localSheetId="6">'RE-08 (1)'!x</definedName>
    <definedName name="x" localSheetId="4">'SA-08 (1)'!x</definedName>
    <definedName name="x" localSheetId="5">'SA-08 (2)'!x</definedName>
    <definedName name="x" localSheetId="8">'SA-TIBA-08 (1)'!x</definedName>
    <definedName name="x" localSheetId="10">'TASA FALLA'!x</definedName>
    <definedName name="x" localSheetId="3">'TR-08 (1)'!x</definedName>
    <definedName name="x" localSheetId="7">'TR-TIBA-08 (1)'!x</definedName>
    <definedName name="x">[0]!x</definedName>
    <definedName name="XX" localSheetId="1">'LI-08 (1)'!XX</definedName>
    <definedName name="XX" localSheetId="6">'RE-08 (1)'!XX</definedName>
    <definedName name="XX" localSheetId="4">'SA-08 (1)'!XX</definedName>
    <definedName name="XX" localSheetId="5">'SA-08 (2)'!XX</definedName>
    <definedName name="XX" localSheetId="8">'SA-TIBA-08 (1)'!XX</definedName>
    <definedName name="XX" localSheetId="10">'TASA FALLA'!XX</definedName>
    <definedName name="XX" localSheetId="3">'TR-08 (1)'!XX</definedName>
    <definedName name="XX" localSheetId="7">'TR-TIBA-08 (1)'!XX</definedName>
    <definedName name="XX">[0]!XX</definedName>
  </definedNames>
  <calcPr fullCalcOnLoad="1"/>
</workbook>
</file>

<file path=xl/comments4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sharedStrings.xml><?xml version="1.0" encoding="utf-8"?>
<sst xmlns="http://schemas.openxmlformats.org/spreadsheetml/2006/main" count="871" uniqueCount="327">
  <si>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</si>
  <si>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</si>
  <si>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</si>
  <si>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</si>
  <si>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</si>
  <si>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</si>
  <si>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</si>
  <si>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</si>
  <si>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</si>
  <si>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</si>
  <si>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</si>
  <si>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</si>
  <si>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</si>
  <si>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</si>
  <si>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</si>
  <si>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</si>
  <si>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</si>
  <si>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</si>
  <si>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</si>
  <si>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</si>
  <si>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</si>
  <si>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</si>
  <si>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</si>
  <si>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</si>
  <si>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</si>
  <si>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</si>
  <si>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</si>
  <si>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</si>
  <si>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</si>
  <si>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</si>
  <si>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</si>
  <si>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</si>
  <si>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</si>
  <si>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</si>
  <si>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</si>
  <si>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</si>
  <si>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</si>
  <si>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</si>
  <si>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</si>
  <si>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</si>
  <si>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</si>
  <si>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</si>
  <si>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</si>
  <si>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</si>
  <si>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</si>
  <si>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</si>
  <si>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</si>
  <si>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</si>
  <si>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</si>
  <si>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</si>
  <si>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</si>
  <si>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</si>
  <si>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</si>
  <si>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</si>
  <si>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</si>
  <si>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</si>
  <si>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</si>
  <si>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</si>
  <si>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</si>
  <si>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</si>
  <si>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</si>
  <si>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</si>
  <si>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</si>
  <si>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</si>
  <si>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</si>
  <si>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</si>
  <si>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</si>
  <si>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</si>
  <si>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CL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</si>
  <si>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</si>
  <si>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</si>
  <si>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</si>
  <si>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</si>
  <si>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</si>
  <si>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</si>
  <si>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</si>
  <si>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</si>
  <si>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</si>
  <si>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</si>
  <si>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</si>
  <si>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</si>
  <si>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</si>
  <si>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</si>
  <si>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</si>
  <si>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</si>
  <si>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</si>
  <si>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</si>
  <si>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</si>
  <si>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</si>
  <si>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b)</t>
  </si>
  <si>
    <t>c)</t>
  </si>
  <si>
    <t>Tipo 
Sal.</t>
  </si>
  <si>
    <t>PENALIZAC. FORZADA
Por Salida    hs. Restantes</t>
  </si>
  <si>
    <t>d)</t>
  </si>
  <si>
    <t>e)</t>
  </si>
  <si>
    <t>SANCIÓN</t>
  </si>
  <si>
    <t>Sanción calculada</t>
  </si>
  <si>
    <t>SANCIÓN =</t>
  </si>
  <si>
    <t>$/MVA</t>
  </si>
  <si>
    <t>TRANSFORMADOR</t>
  </si>
  <si>
    <t>POT. [MVA]</t>
  </si>
  <si>
    <t>500/132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</si>
  <si>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</si>
  <si>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</si>
  <si>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</si>
  <si>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</si>
  <si>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</si>
  <si>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</si>
  <si>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</si>
  <si>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</si>
  <si>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</si>
  <si>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</si>
  <si>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</si>
  <si>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</si>
  <si>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</si>
  <si>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</si>
  <si>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</si>
  <si>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</si>
  <si>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</si>
  <si>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</si>
  <si>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</si>
  <si>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</si>
  <si>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</si>
  <si>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</si>
  <si>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</si>
  <si>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</si>
  <si>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</si>
  <si>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</si>
  <si>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</si>
  <si>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</si>
  <si>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</si>
  <si>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</si>
  <si>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</si>
  <si>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</si>
  <si>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</si>
  <si>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</si>
  <si>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</si>
  <si>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</si>
  <si>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</si>
  <si>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</si>
  <si>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</si>
  <si>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</si>
  <si>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</si>
  <si>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</si>
  <si>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</si>
  <si>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</si>
  <si>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</si>
  <si>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</si>
  <si>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</si>
  <si>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</si>
  <si>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</si>
  <si>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TRANSENER_INDSIPONIBILIDADES_LINEAS_TRANSENER.XLS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</si>
  <si>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</si>
  <si>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</si>
  <si>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</si>
  <si>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</si>
  <si>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</si>
  <si>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</si>
  <si>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</si>
  <si>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</si>
  <si>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</si>
  <si>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</si>
  <si>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</si>
  <si>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</si>
  <si>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</si>
  <si>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</si>
  <si>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</si>
  <si>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</si>
  <si>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</si>
  <si>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TRANSENER_INDSIPONIBILIDADES_LINEAS_YACYLEC.XLS</t>
  </si>
  <si>
    <t>TRANSENER_INDSIPONIBILIDADES_LINEAS_LITSA.XLS</t>
  </si>
  <si>
    <t>FilaInicio</t>
  </si>
  <si>
    <t>TRANSENER_INDSIPONIBILIDADES_TRAFOS_TRANSENER.XLS</t>
  </si>
  <si>
    <t>TRANSENER_INDSIPONIBILIDADES_TRAFOS_LITSA.XLS</t>
  </si>
  <si>
    <t>TRANSENER_INDSIPONIBILIDADES_TRAFOS_ENECOR.XLS</t>
  </si>
  <si>
    <t>TRANSENER_INDSIPONIBILIDADES_TRAFOS_TIBA.XLS</t>
  </si>
  <si>
    <t>TRANSENER_INDSIPONIBILIDADES_SALIDAS_TRANSENER.XLS</t>
  </si>
  <si>
    <t>TRANSENER_INDSIPONIBILIDADES_SALIDAS_TIBA.XLS</t>
  </si>
  <si>
    <t>TRANSENER_INDSIPONIBILIDADES_SALIDAS_ENECOR.XLS</t>
  </si>
  <si>
    <t>TRANSENER_INDSIPONIBILIDADES_REACTIVOS_TRANSENER.XLS</t>
  </si>
  <si>
    <t>TRANSENER_INDSIPONIBILIDADES_REACTIVOS_YACYLEC.XLS</t>
  </si>
  <si>
    <t>TRANSENER_INDSIPONIBILIDADES_REACTIVOS_LITSA.XLS</t>
  </si>
  <si>
    <t>MODELO L IV</t>
  </si>
  <si>
    <t>TRANSENER_INDSIPONIBILIDADES_LINEAS_IV.XLS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</si>
  <si>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</si>
  <si>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</si>
  <si>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</si>
  <si>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</si>
  <si>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</si>
  <si>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</si>
  <si>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</si>
  <si>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</si>
  <si>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</si>
  <si>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SUP-LITSA</t>
  </si>
  <si>
    <t>SUP-TIBA</t>
  </si>
  <si>
    <t>SUP-ENECOR</t>
  </si>
  <si>
    <t>B14</t>
  </si>
  <si>
    <t>SI</t>
  </si>
  <si>
    <t>MODELO R IV</t>
  </si>
  <si>
    <t>TRANSENER_INDSIPONIBILIDADES_REACTIVOS_IV.XLS</t>
  </si>
  <si>
    <t>P</t>
  </si>
  <si>
    <t>Total</t>
  </si>
  <si>
    <t>FILHTOTAL</t>
  </si>
  <si>
    <t>COLHTOTAL</t>
  </si>
  <si>
    <t>COLHCALC</t>
  </si>
  <si>
    <t>FILHCALC</t>
  </si>
  <si>
    <t>COLTRANSP</t>
  </si>
  <si>
    <t>FILTRANSP</t>
  </si>
  <si>
    <t>C</t>
  </si>
  <si>
    <t xml:space="preserve"> 2.2.- SALIDAS</t>
  </si>
  <si>
    <t>2.1.- TRANSFORMACIÓN</t>
  </si>
  <si>
    <t>2.1.1.- Equipamiento Propio</t>
  </si>
  <si>
    <t>4.3.- Transportista Independiente  TIBA S.A.</t>
  </si>
  <si>
    <t xml:space="preserve"> 2.2.2.- Transportista Independiente TIBA S.A.</t>
  </si>
  <si>
    <t>PENAL.FORZADA x Sal hs. Restantes</t>
  </si>
  <si>
    <t>RED.FORZADA
x Sal hs. Restantes</t>
  </si>
  <si>
    <t>Remuneración T.I.B.A. =</t>
  </si>
  <si>
    <t>Campana trafos</t>
  </si>
  <si>
    <t>T_sal</t>
  </si>
  <si>
    <t>COL TSAL</t>
  </si>
  <si>
    <t>Desde el 01 al 31 de agosto de 2008</t>
  </si>
  <si>
    <t>ROSARIO OESTE - SANTO TOME</t>
  </si>
  <si>
    <t>ABASTO - OLAVARRIA 1</t>
  </si>
  <si>
    <t>A</t>
  </si>
  <si>
    <t>F</t>
  </si>
  <si>
    <t>COLONIA ELIA - CAMPANA</t>
  </si>
  <si>
    <t>EL BRACHO - RECREO(5)</t>
  </si>
  <si>
    <t>B</t>
  </si>
  <si>
    <t>ROMANG - RESISTENCIA</t>
  </si>
  <si>
    <t>N.CAMPANA - G. RODRIGUEZ 500</t>
  </si>
  <si>
    <t>ROSARIO OESTE - RAMALLO 2</t>
  </si>
  <si>
    <t>EZEIZA - HENDERSON 2</t>
  </si>
  <si>
    <t>EZEIZA - HENDERSON 1</t>
  </si>
  <si>
    <t>RECREO - MALVINAS ARG.</t>
  </si>
  <si>
    <t>ATUCHA I</t>
  </si>
  <si>
    <t>TRAFO</t>
  </si>
  <si>
    <t>220/132</t>
  </si>
  <si>
    <t>ROMANG</t>
  </si>
  <si>
    <t>CHOCON OESTE</t>
  </si>
  <si>
    <t>TRAFO 8</t>
  </si>
  <si>
    <t>SANTO TOME</t>
  </si>
  <si>
    <t>TRAFO 2</t>
  </si>
  <si>
    <t>500/132/13,2</t>
  </si>
  <si>
    <t>EZEIZA</t>
  </si>
  <si>
    <t>500/220/132</t>
  </si>
  <si>
    <t>ROSARIO OESTE</t>
  </si>
  <si>
    <t>TRAFO 1</t>
  </si>
  <si>
    <t>RESISTENCIA</t>
  </si>
  <si>
    <t>HENDERSON</t>
  </si>
  <si>
    <t>AUTOTRAFO</t>
  </si>
  <si>
    <t>T3 HE</t>
  </si>
  <si>
    <t>500/220/13,2</t>
  </si>
  <si>
    <t>SALIDA A MAQ. GENELBA 3</t>
  </si>
  <si>
    <t>SALIDA A MAQ. GENELBA 1</t>
  </si>
  <si>
    <t>SALIDA LINEA R.S.PEÑA 1</t>
  </si>
  <si>
    <t>SALIDA LINEA A BARRANQUERAS 1</t>
  </si>
  <si>
    <t>SALIDA LINEA A BARRANQUERAS 2</t>
  </si>
  <si>
    <t>ALMAFUERTE</t>
  </si>
  <si>
    <t>SALIDA LINEA REOLIN 1</t>
  </si>
  <si>
    <t>SALIDA LINEA SAN LORENZO</t>
  </si>
  <si>
    <t>SALIDA LINEA SORRENTO 2</t>
  </si>
  <si>
    <t>GRAN MENDOZA</t>
  </si>
  <si>
    <t>SALIDA LINEA GRAL. SAN MARTIN</t>
  </si>
  <si>
    <t>SALIDA LINEA PROVINCIAS UNIDAS</t>
  </si>
  <si>
    <t>SALIDA LINEA ROSARIO SUR 2</t>
  </si>
  <si>
    <t>SALIDA LINEA ROSARIO SUR 3</t>
  </si>
  <si>
    <t>ALIMENTADOR A SALADILLO</t>
  </si>
  <si>
    <t>SALIDA LINEA CORRIENTES 1</t>
  </si>
  <si>
    <t>EL BRACHO</t>
  </si>
  <si>
    <t>SALIDA LINEA LOS LEALES</t>
  </si>
  <si>
    <t>SALIDA LINEA STA. CATALINA</t>
  </si>
  <si>
    <t>SALIDA LÍNEA A C.T. TUCUMÁN maq 1</t>
  </si>
  <si>
    <t>ATUCHA</t>
  </si>
  <si>
    <t>SALIDA LINEA A E.T. ZARATE</t>
  </si>
  <si>
    <t>SALIDA LINEA PILAR 2</t>
  </si>
  <si>
    <t>SALIDA CALCHINES</t>
  </si>
  <si>
    <t>SALIDA LINEA A INDEPENDENCIA 2</t>
  </si>
  <si>
    <t>SALIDA LINEA A FORMOSA</t>
  </si>
  <si>
    <t>SALIDA LINEA A GODOY</t>
  </si>
  <si>
    <t>CS4</t>
  </si>
  <si>
    <t>PUELCHES</t>
  </si>
  <si>
    <t>R1B5PU</t>
  </si>
  <si>
    <t>MACACHIN</t>
  </si>
  <si>
    <t>R1L5MC</t>
  </si>
  <si>
    <t>CS3</t>
  </si>
  <si>
    <t>R3A RL</t>
  </si>
  <si>
    <t>CS5</t>
  </si>
  <si>
    <t>R6B5HE</t>
  </si>
  <si>
    <t>R5B5HE</t>
  </si>
  <si>
    <t>CS1</t>
  </si>
  <si>
    <t>CS2</t>
  </si>
  <si>
    <t>OLAVARRIA</t>
  </si>
  <si>
    <t>SALIDA A LAPRIDA</t>
  </si>
  <si>
    <t>CAMPANA</t>
  </si>
  <si>
    <t>SALIDA PRAXAIR</t>
  </si>
  <si>
    <t>BAHIA BLANCA</t>
  </si>
  <si>
    <t>SALIDA LINEA PBUENA 1</t>
  </si>
  <si>
    <t>SALIDA A V. LIA</t>
  </si>
  <si>
    <t>P - PROGRAMADA ;   F - FORZADA</t>
  </si>
  <si>
    <t>2.1.3.- Transportista Independiente TIBA S.A.</t>
  </si>
  <si>
    <t>NUEVA CAMPANA</t>
  </si>
  <si>
    <t>T2CA</t>
  </si>
  <si>
    <t>P - PROGRAMADA</t>
  </si>
  <si>
    <t xml:space="preserve">P - PROGRAMADA </t>
  </si>
  <si>
    <t>SISTEMA DE TRANSPORTE DE ENERGÍA ELÉCTRICA EN ALTA TENSION</t>
  </si>
  <si>
    <t>INDISPONIBILIDADES FORZADAS DE LÍNEAS - TASA DE FALLA</t>
  </si>
  <si>
    <t>Correspondiente al mes de Agosto de 2008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</si>
  <si>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</si>
  <si>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</si>
  <si>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</si>
  <si>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</si>
  <si>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</si>
  <si>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</si>
  <si>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</si>
  <si>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Valores remuneratorios según Res. ENRE 327/2008  y  Res. ENRE 328/2008</t>
  </si>
  <si>
    <t>1.3.- Incendio de Campos - Aplicación Punto 6.1.6 del Acta Acuerdo</t>
  </si>
  <si>
    <t xml:space="preserve">P - PROGRAMADA                  </t>
  </si>
  <si>
    <t xml:space="preserve">FM - Fuerza  Mayor                       </t>
  </si>
  <si>
    <t>1.3.-</t>
  </si>
  <si>
    <t>Incendio de campos</t>
  </si>
  <si>
    <t>RM: Por Capacitores ET Bahía Blanca:</t>
  </si>
  <si>
    <t>100 MVAr</t>
  </si>
  <si>
    <t>(*)</t>
  </si>
  <si>
    <t>(*):</t>
  </si>
  <si>
    <t>Según Resolución ENRE N° 157/07</t>
  </si>
  <si>
    <t>TOTAL DE PENALIZACIONES A APLICAR</t>
  </si>
  <si>
    <t xml:space="preserve">ANEXO III al Memorándum D.T.E.E. N°  366 / 2010            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</si>
</sst>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</numFmts>
  <fonts count="1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b/>
      <sz val="12"/>
      <color indexed="9"/>
      <name val="Times New Roman"/>
      <family val="0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sz val="10"/>
      <color indexed="5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0"/>
      <name val="MS Sans Serif"/>
      <family val="2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MS Sans Serif"/>
      <family val="2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sz val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4" fillId="3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4" fillId="0" borderId="0" xfId="0" applyFont="1" applyAlignment="1">
      <alignment horizontal="right" vertical="top"/>
    </xf>
    <xf numFmtId="0" fontId="54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168" fontId="46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8" fontId="46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0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8" xfId="0" applyFont="1" applyBorder="1" applyAlignment="1" applyProtection="1">
      <alignment horizontal="center" vertical="center"/>
      <protection/>
    </xf>
    <xf numFmtId="0" fontId="61" fillId="5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6" borderId="2" xfId="0" applyNumberFormat="1" applyFont="1" applyFill="1" applyBorder="1" applyAlignment="1" applyProtection="1" quotePrefix="1">
      <alignment horizontal="center"/>
      <protection/>
    </xf>
    <xf numFmtId="164" fontId="7" fillId="6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63" fillId="5" borderId="22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168" fontId="27" fillId="0" borderId="14" xfId="0" applyNumberFormat="1" applyFont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5" fillId="7" borderId="14" xfId="0" applyFont="1" applyFill="1" applyBorder="1" applyAlignment="1">
      <alignment horizontal="center" vertical="center" wrapText="1"/>
    </xf>
    <xf numFmtId="0" fontId="66" fillId="8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67" fillId="7" borderId="2" xfId="0" applyNumberFormat="1" applyFont="1" applyFill="1" applyBorder="1" applyAlignment="1" applyProtection="1">
      <alignment horizontal="center"/>
      <protection/>
    </xf>
    <xf numFmtId="4" fontId="68" fillId="8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37" fillId="2" borderId="22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69" fillId="7" borderId="2" xfId="0" applyNumberFormat="1" applyFont="1" applyFill="1" applyBorder="1" applyAlignment="1" applyProtection="1">
      <alignment horizontal="center"/>
      <protection locked="0"/>
    </xf>
    <xf numFmtId="4" fontId="70" fillId="8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7" fillId="2" borderId="26" xfId="0" applyNumberFormat="1" applyFont="1" applyFill="1" applyBorder="1" applyAlignment="1" applyProtection="1" quotePrefix="1">
      <alignment horizontal="center"/>
      <protection locked="0"/>
    </xf>
    <xf numFmtId="168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69" fillId="7" borderId="3" xfId="0" applyNumberFormat="1" applyFont="1" applyFill="1" applyBorder="1" applyAlignment="1" applyProtection="1">
      <alignment horizontal="center"/>
      <protection locked="0"/>
    </xf>
    <xf numFmtId="4" fontId="70" fillId="8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69" fillId="7" borderId="14" xfId="0" applyNumberFormat="1" applyFont="1" applyFill="1" applyBorder="1" applyAlignment="1" applyProtection="1">
      <alignment horizontal="center"/>
      <protection/>
    </xf>
    <xf numFmtId="2" fontId="70" fillId="8" borderId="14" xfId="0" applyNumberFormat="1" applyFont="1" applyFill="1" applyBorder="1" applyAlignment="1" applyProtection="1">
      <alignment horizontal="center"/>
      <protection/>
    </xf>
    <xf numFmtId="2" fontId="59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1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2" fillId="9" borderId="14" xfId="0" applyFont="1" applyFill="1" applyBorder="1" applyAlignment="1" applyProtection="1">
      <alignment horizontal="center" vertical="center"/>
      <protection/>
    </xf>
    <xf numFmtId="0" fontId="72" fillId="7" borderId="14" xfId="0" applyFont="1" applyFill="1" applyBorder="1" applyAlignment="1">
      <alignment horizontal="center" vertical="center" wrapText="1"/>
    </xf>
    <xf numFmtId="0" fontId="73" fillId="5" borderId="14" xfId="0" applyFont="1" applyFill="1" applyBorder="1" applyAlignment="1">
      <alignment horizontal="center" vertical="center" wrapText="1"/>
    </xf>
    <xf numFmtId="0" fontId="40" fillId="10" borderId="8" xfId="0" applyFont="1" applyFill="1" applyBorder="1" applyAlignment="1" applyProtection="1">
      <alignment horizontal="centerContinuous" vertical="center" wrapText="1"/>
      <protection/>
    </xf>
    <xf numFmtId="0" fontId="40" fillId="10" borderId="9" xfId="0" applyFont="1" applyFill="1" applyBorder="1" applyAlignment="1">
      <alignment horizontal="centerContinuous" vertical="center"/>
    </xf>
    <xf numFmtId="0" fontId="44" fillId="11" borderId="1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3" fillId="9" borderId="31" xfId="0" applyFont="1" applyFill="1" applyBorder="1" applyAlignment="1">
      <alignment horizontal="center"/>
    </xf>
    <xf numFmtId="0" fontId="74" fillId="7" borderId="31" xfId="0" applyFont="1" applyFill="1" applyBorder="1" applyAlignment="1">
      <alignment horizontal="center"/>
    </xf>
    <xf numFmtId="0" fontId="75" fillId="5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76" fillId="10" borderId="35" xfId="0" applyFont="1" applyFill="1" applyBorder="1" applyAlignment="1">
      <alignment horizontal="center"/>
    </xf>
    <xf numFmtId="0" fontId="76" fillId="10" borderId="36" xfId="0" applyFont="1" applyFill="1" applyBorder="1" applyAlignment="1">
      <alignment horizontal="center"/>
    </xf>
    <xf numFmtId="0" fontId="45" fillId="11" borderId="31" xfId="0" applyFont="1" applyFill="1" applyBorder="1" applyAlignment="1">
      <alignment horizontal="center"/>
    </xf>
    <xf numFmtId="0" fontId="77" fillId="7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 applyProtection="1">
      <alignment horizontal="center"/>
      <protection/>
    </xf>
    <xf numFmtId="0" fontId="36" fillId="2" borderId="1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3" fillId="9" borderId="19" xfId="0" applyFont="1" applyFill="1" applyBorder="1" applyAlignment="1">
      <alignment horizontal="center"/>
    </xf>
    <xf numFmtId="0" fontId="74" fillId="7" borderId="19" xfId="0" applyFont="1" applyFill="1" applyBorder="1" applyAlignment="1">
      <alignment horizontal="center"/>
    </xf>
    <xf numFmtId="0" fontId="75" fillId="5" borderId="19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76" fillId="10" borderId="38" xfId="0" applyFont="1" applyFill="1" applyBorder="1" applyAlignment="1">
      <alignment horizontal="center"/>
    </xf>
    <xf numFmtId="0" fontId="76" fillId="10" borderId="39" xfId="0" applyFont="1" applyFill="1" applyBorder="1" applyAlignment="1">
      <alignment horizontal="center"/>
    </xf>
    <xf numFmtId="0" fontId="45" fillId="11" borderId="19" xfId="0" applyFont="1" applyFill="1" applyBorder="1" applyAlignment="1">
      <alignment horizontal="center"/>
    </xf>
    <xf numFmtId="0" fontId="77" fillId="7" borderId="1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3" fillId="9" borderId="2" xfId="0" applyNumberFormat="1" applyFont="1" applyFill="1" applyBorder="1" applyAlignment="1" applyProtection="1">
      <alignment horizontal="center"/>
      <protection/>
    </xf>
    <xf numFmtId="2" fontId="74" fillId="7" borderId="2" xfId="0" applyNumberFormat="1" applyFont="1" applyFill="1" applyBorder="1" applyAlignment="1">
      <alignment horizontal="center"/>
    </xf>
    <xf numFmtId="2" fontId="75" fillId="5" borderId="2" xfId="0" applyNumberFormat="1" applyFont="1" applyFill="1" applyBorder="1" applyAlignment="1">
      <alignment horizontal="center"/>
    </xf>
    <xf numFmtId="168" fontId="37" fillId="2" borderId="38" xfId="0" applyNumberFormat="1" applyFont="1" applyFill="1" applyBorder="1" applyAlignment="1" applyProtection="1" quotePrefix="1">
      <alignment horizontal="center"/>
      <protection/>
    </xf>
    <xf numFmtId="168" fontId="37" fillId="2" borderId="39" xfId="0" applyNumberFormat="1" applyFont="1" applyFill="1" applyBorder="1" applyAlignment="1" applyProtection="1" quotePrefix="1">
      <alignment horizontal="center"/>
      <protection/>
    </xf>
    <xf numFmtId="168" fontId="76" fillId="10" borderId="38" xfId="0" applyNumberFormat="1" applyFont="1" applyFill="1" applyBorder="1" applyAlignment="1" applyProtection="1" quotePrefix="1">
      <alignment horizontal="center"/>
      <protection/>
    </xf>
    <xf numFmtId="168" fontId="76" fillId="10" borderId="39" xfId="0" applyNumberFormat="1" applyFont="1" applyFill="1" applyBorder="1" applyAlignment="1" applyProtection="1" quotePrefix="1">
      <alignment horizontal="center"/>
      <protection/>
    </xf>
    <xf numFmtId="168" fontId="45" fillId="11" borderId="2" xfId="0" applyNumberFormat="1" applyFont="1" applyFill="1" applyBorder="1" applyAlignment="1" applyProtection="1" quotePrefix="1">
      <alignment horizontal="center"/>
      <protection/>
    </xf>
    <xf numFmtId="168" fontId="77" fillId="7" borderId="19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3" fillId="9" borderId="3" xfId="0" applyNumberFormat="1" applyFont="1" applyFill="1" applyBorder="1" applyAlignment="1" applyProtection="1">
      <alignment horizontal="center"/>
      <protection/>
    </xf>
    <xf numFmtId="2" fontId="74" fillId="7" borderId="3" xfId="0" applyNumberFormat="1" applyFont="1" applyFill="1" applyBorder="1" applyAlignment="1">
      <alignment horizontal="center"/>
    </xf>
    <xf numFmtId="2" fontId="75" fillId="5" borderId="3" xfId="0" applyNumberFormat="1" applyFont="1" applyFill="1" applyBorder="1" applyAlignment="1">
      <alignment horizontal="center"/>
    </xf>
    <xf numFmtId="168" fontId="37" fillId="2" borderId="41" xfId="0" applyNumberFormat="1" applyFont="1" applyFill="1" applyBorder="1" applyAlignment="1" applyProtection="1" quotePrefix="1">
      <alignment horizontal="center"/>
      <protection/>
    </xf>
    <xf numFmtId="168" fontId="37" fillId="2" borderId="42" xfId="0" applyNumberFormat="1" applyFont="1" applyFill="1" applyBorder="1" applyAlignment="1" applyProtection="1" quotePrefix="1">
      <alignment horizontal="center"/>
      <protection/>
    </xf>
    <xf numFmtId="168" fontId="76" fillId="10" borderId="26" xfId="0" applyNumberFormat="1" applyFont="1" applyFill="1" applyBorder="1" applyAlignment="1" applyProtection="1" quotePrefix="1">
      <alignment horizontal="center"/>
      <protection/>
    </xf>
    <xf numFmtId="168" fontId="76" fillId="10" borderId="28" xfId="0" applyNumberFormat="1" applyFont="1" applyFill="1" applyBorder="1" applyAlignment="1" applyProtection="1" quotePrefix="1">
      <alignment horizontal="center"/>
      <protection/>
    </xf>
    <xf numFmtId="168" fontId="45" fillId="11" borderId="3" xfId="0" applyNumberFormat="1" applyFont="1" applyFill="1" applyBorder="1" applyAlignment="1" applyProtection="1" quotePrefix="1">
      <alignment horizontal="center"/>
      <protection/>
    </xf>
    <xf numFmtId="168" fontId="77" fillId="7" borderId="3" xfId="0" applyNumberFormat="1" applyFont="1" applyFill="1" applyBorder="1" applyAlignment="1" applyProtection="1" quotePrefix="1">
      <alignment horizontal="center"/>
      <protection/>
    </xf>
    <xf numFmtId="168" fontId="64" fillId="0" borderId="20" xfId="0" applyNumberFormat="1" applyFont="1" applyFill="1" applyBorder="1" applyAlignment="1">
      <alignment horizontal="center"/>
    </xf>
    <xf numFmtId="168" fontId="28" fillId="0" borderId="43" xfId="0" applyNumberFormat="1" applyFont="1" applyFill="1" applyBorder="1" applyAlignment="1">
      <alignment horizontal="center"/>
    </xf>
    <xf numFmtId="4" fontId="74" fillId="7" borderId="14" xfId="0" applyNumberFormat="1" applyFont="1" applyFill="1" applyBorder="1" applyAlignment="1">
      <alignment horizontal="center"/>
    </xf>
    <xf numFmtId="4" fontId="75" fillId="5" borderId="1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76" fillId="10" borderId="44" xfId="0" applyNumberFormat="1" applyFont="1" applyFill="1" applyBorder="1" applyAlignment="1">
      <alignment horizontal="center"/>
    </xf>
    <xf numFmtId="4" fontId="76" fillId="10" borderId="45" xfId="0" applyNumberFormat="1" applyFont="1" applyFill="1" applyBorder="1" applyAlignment="1">
      <alignment horizontal="center"/>
    </xf>
    <xf numFmtId="4" fontId="45" fillId="11" borderId="14" xfId="0" applyNumberFormat="1" applyFont="1" applyFill="1" applyBorder="1" applyAlignment="1">
      <alignment horizontal="center"/>
    </xf>
    <xf numFmtId="4" fontId="77" fillId="7" borderId="14" xfId="0" applyNumberFormat="1" applyFont="1" applyFill="1" applyBorder="1" applyAlignment="1">
      <alignment horizontal="center"/>
    </xf>
    <xf numFmtId="7" fontId="78" fillId="0" borderId="14" xfId="0" applyNumberFormat="1" applyFont="1" applyFill="1" applyBorder="1" applyAlignment="1">
      <alignment horizontal="right"/>
    </xf>
    <xf numFmtId="0" fontId="36" fillId="2" borderId="46" xfId="0" applyFont="1" applyFill="1" applyBorder="1" applyAlignment="1">
      <alignment horizontal="center"/>
    </xf>
    <xf numFmtId="2" fontId="74" fillId="7" borderId="2" xfId="0" applyNumberFormat="1" applyFont="1" applyFill="1" applyBorder="1" applyAlignment="1" applyProtection="1">
      <alignment horizontal="center"/>
      <protection locked="0"/>
    </xf>
    <xf numFmtId="2" fontId="75" fillId="5" borderId="2" xfId="0" applyNumberFormat="1" applyFont="1" applyFill="1" applyBorder="1" applyAlignment="1" applyProtection="1">
      <alignment horizontal="center"/>
      <protection locked="0"/>
    </xf>
    <xf numFmtId="168" fontId="37" fillId="2" borderId="38" xfId="0" applyNumberFormat="1" applyFont="1" applyFill="1" applyBorder="1" applyAlignment="1" applyProtection="1" quotePrefix="1">
      <alignment horizontal="center"/>
      <protection locked="0"/>
    </xf>
    <xf numFmtId="168" fontId="37" fillId="2" borderId="39" xfId="0" applyNumberFormat="1" applyFont="1" applyFill="1" applyBorder="1" applyAlignment="1" applyProtection="1" quotePrefix="1">
      <alignment horizontal="center"/>
      <protection locked="0"/>
    </xf>
    <xf numFmtId="168" fontId="76" fillId="10" borderId="38" xfId="0" applyNumberFormat="1" applyFont="1" applyFill="1" applyBorder="1" applyAlignment="1" applyProtection="1" quotePrefix="1">
      <alignment horizontal="center"/>
      <protection locked="0"/>
    </xf>
    <xf numFmtId="168" fontId="76" fillId="10" borderId="39" xfId="0" applyNumberFormat="1" applyFont="1" applyFill="1" applyBorder="1" applyAlignment="1" applyProtection="1" quotePrefix="1">
      <alignment horizontal="center"/>
      <protection locked="0"/>
    </xf>
    <xf numFmtId="168" fontId="45" fillId="11" borderId="2" xfId="0" applyNumberFormat="1" applyFont="1" applyFill="1" applyBorder="1" applyAlignment="1" applyProtection="1" quotePrefix="1">
      <alignment horizontal="center"/>
      <protection locked="0"/>
    </xf>
    <xf numFmtId="168" fontId="77" fillId="7" borderId="19" xfId="0" applyNumberFormat="1" applyFont="1" applyFill="1" applyBorder="1" applyAlignment="1" applyProtection="1" quotePrefix="1">
      <alignment horizontal="center"/>
      <protection locked="0"/>
    </xf>
    <xf numFmtId="2" fontId="74" fillId="7" borderId="3" xfId="0" applyNumberFormat="1" applyFont="1" applyFill="1" applyBorder="1" applyAlignment="1" applyProtection="1">
      <alignment horizontal="center"/>
      <protection locked="0"/>
    </xf>
    <xf numFmtId="2" fontId="75" fillId="5" borderId="3" xfId="0" applyNumberFormat="1" applyFont="1" applyFill="1" applyBorder="1" applyAlignment="1" applyProtection="1">
      <alignment horizontal="center"/>
      <protection locked="0"/>
    </xf>
    <xf numFmtId="168" fontId="37" fillId="2" borderId="41" xfId="0" applyNumberFormat="1" applyFont="1" applyFill="1" applyBorder="1" applyAlignment="1" applyProtection="1" quotePrefix="1">
      <alignment horizontal="center"/>
      <protection locked="0"/>
    </xf>
    <xf numFmtId="168" fontId="37" fillId="2" borderId="42" xfId="0" applyNumberFormat="1" applyFont="1" applyFill="1" applyBorder="1" applyAlignment="1" applyProtection="1" quotePrefix="1">
      <alignment horizontal="center"/>
      <protection locked="0"/>
    </xf>
    <xf numFmtId="168" fontId="76" fillId="10" borderId="26" xfId="0" applyNumberFormat="1" applyFont="1" applyFill="1" applyBorder="1" applyAlignment="1" applyProtection="1" quotePrefix="1">
      <alignment horizontal="center"/>
      <protection locked="0"/>
    </xf>
    <xf numFmtId="168" fontId="76" fillId="10" borderId="28" xfId="0" applyNumberFormat="1" applyFont="1" applyFill="1" applyBorder="1" applyAlignment="1" applyProtection="1" quotePrefix="1">
      <alignment horizontal="center"/>
      <protection locked="0"/>
    </xf>
    <xf numFmtId="168" fontId="45" fillId="11" borderId="3" xfId="0" applyNumberFormat="1" applyFont="1" applyFill="1" applyBorder="1" applyAlignment="1" applyProtection="1" quotePrefix="1">
      <alignment horizontal="center"/>
      <protection locked="0"/>
    </xf>
    <xf numFmtId="168" fontId="77" fillId="7" borderId="3" xfId="0" applyNumberFormat="1" applyFont="1" applyFill="1" applyBorder="1" applyAlignment="1" applyProtection="1" quotePrefix="1">
      <alignment horizontal="center"/>
      <protection locked="0"/>
    </xf>
    <xf numFmtId="168" fontId="64" fillId="0" borderId="20" xfId="0" applyNumberFormat="1" applyFont="1" applyFill="1" applyBorder="1" applyAlignment="1" applyProtection="1">
      <alignment horizontal="center"/>
      <protection locked="0"/>
    </xf>
    <xf numFmtId="164" fontId="43" fillId="9" borderId="2" xfId="0" applyNumberFormat="1" applyFont="1" applyFill="1" applyBorder="1" applyAlignment="1" applyProtection="1">
      <alignment horizontal="center"/>
      <protection locked="0"/>
    </xf>
    <xf numFmtId="164" fontId="43" fillId="9" borderId="3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8" fontId="7" fillId="0" borderId="47" xfId="0" applyNumberFormat="1" applyFont="1" applyBorder="1" applyAlignment="1" applyProtection="1">
      <alignment horizontal="center"/>
      <protection/>
    </xf>
    <xf numFmtId="164" fontId="7" fillId="0" borderId="47" xfId="0" applyNumberFormat="1" applyFont="1" applyBorder="1" applyAlignment="1" applyProtection="1">
      <alignment horizontal="center"/>
      <protection/>
    </xf>
    <xf numFmtId="2" fontId="59" fillId="0" borderId="47" xfId="0" applyNumberFormat="1" applyFont="1" applyBorder="1" applyAlignment="1">
      <alignment horizontal="center"/>
    </xf>
    <xf numFmtId="168" fontId="9" fillId="0" borderId="47" xfId="0" applyNumberFormat="1" applyFont="1" applyBorder="1" applyAlignment="1" applyProtection="1" quotePrefix="1">
      <alignment horizontal="center"/>
      <protection/>
    </xf>
    <xf numFmtId="168" fontId="7" fillId="0" borderId="47" xfId="0" applyNumberFormat="1" applyFont="1" applyBorder="1" applyAlignment="1">
      <alignment horizontal="center"/>
    </xf>
    <xf numFmtId="168" fontId="64" fillId="0" borderId="47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0" borderId="14" xfId="0" applyFont="1" applyFill="1" applyBorder="1" applyAlignment="1">
      <alignment horizontal="center" vertical="center" wrapText="1"/>
    </xf>
    <xf numFmtId="0" fontId="61" fillId="5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3" fillId="4" borderId="17" xfId="0" applyFont="1" applyFill="1" applyBorder="1" applyAlignment="1" applyProtection="1">
      <alignment horizontal="center"/>
      <protection/>
    </xf>
    <xf numFmtId="0" fontId="76" fillId="10" borderId="17" xfId="0" applyFont="1" applyFill="1" applyBorder="1" applyAlignment="1" applyProtection="1">
      <alignment horizontal="center"/>
      <protection/>
    </xf>
    <xf numFmtId="168" fontId="63" fillId="5" borderId="33" xfId="0" applyNumberFormat="1" applyFont="1" applyFill="1" applyBorder="1" applyAlignment="1" applyProtection="1" quotePrefix="1">
      <alignment horizontal="center"/>
      <protection/>
    </xf>
    <xf numFmtId="168" fontId="63" fillId="5" borderId="34" xfId="0" applyNumberFormat="1" applyFont="1" applyFill="1" applyBorder="1" applyAlignment="1" applyProtection="1" quotePrefix="1">
      <alignment horizontal="center"/>
      <protection/>
    </xf>
    <xf numFmtId="168" fontId="46" fillId="3" borderId="17" xfId="0" applyNumberFormat="1" applyFont="1" applyFill="1" applyBorder="1" applyAlignment="1" applyProtection="1" quotePrefix="1">
      <alignment horizontal="center"/>
      <protection/>
    </xf>
    <xf numFmtId="7" fontId="79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3" fillId="4" borderId="2" xfId="0" applyFont="1" applyFill="1" applyBorder="1" applyAlignment="1" applyProtection="1">
      <alignment horizontal="center"/>
      <protection/>
    </xf>
    <xf numFmtId="0" fontId="76" fillId="10" borderId="2" xfId="0" applyFont="1" applyFill="1" applyBorder="1" applyAlignment="1" applyProtection="1">
      <alignment horizontal="center"/>
      <protection/>
    </xf>
    <xf numFmtId="168" fontId="63" fillId="5" borderId="48" xfId="0" applyNumberFormat="1" applyFont="1" applyFill="1" applyBorder="1" applyAlignment="1" applyProtection="1" quotePrefix="1">
      <alignment horizontal="center"/>
      <protection/>
    </xf>
    <xf numFmtId="168" fontId="46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3" fillId="4" borderId="2" xfId="0" applyNumberFormat="1" applyFont="1" applyFill="1" applyBorder="1" applyAlignment="1" applyProtection="1">
      <alignment horizontal="center"/>
      <protection locked="0"/>
    </xf>
    <xf numFmtId="2" fontId="76" fillId="10" borderId="2" xfId="0" applyNumberFormat="1" applyFont="1" applyFill="1" applyBorder="1" applyAlignment="1" applyProtection="1">
      <alignment horizontal="center"/>
      <protection locked="0"/>
    </xf>
    <xf numFmtId="168" fontId="63" fillId="5" borderId="22" xfId="0" applyNumberFormat="1" applyFont="1" applyFill="1" applyBorder="1" applyAlignment="1" applyProtection="1" quotePrefix="1">
      <alignment horizontal="center"/>
      <protection locked="0"/>
    </xf>
    <xf numFmtId="168" fontId="63" fillId="5" borderId="48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20" xfId="0" applyNumberFormat="1" applyFont="1" applyBorder="1" applyAlignment="1" applyProtection="1">
      <alignment horizontal="center"/>
      <protection locked="0"/>
    </xf>
    <xf numFmtId="168" fontId="7" fillId="0" borderId="20" xfId="0" applyNumberFormat="1" applyFont="1" applyBorder="1" applyAlignment="1" applyProtection="1">
      <alignment horizontal="center"/>
      <protection/>
    </xf>
    <xf numFmtId="164" fontId="43" fillId="4" borderId="3" xfId="0" applyNumberFormat="1" applyFont="1" applyFill="1" applyBorder="1" applyAlignment="1" applyProtection="1">
      <alignment horizontal="center"/>
      <protection locked="0"/>
    </xf>
    <xf numFmtId="2" fontId="76" fillId="10" borderId="3" xfId="0" applyNumberFormat="1" applyFont="1" applyFill="1" applyBorder="1" applyAlignment="1" applyProtection="1">
      <alignment horizontal="center"/>
      <protection locked="0"/>
    </xf>
    <xf numFmtId="168" fontId="63" fillId="5" borderId="26" xfId="0" applyNumberFormat="1" applyFont="1" applyFill="1" applyBorder="1" applyAlignment="1" applyProtection="1" quotePrefix="1">
      <alignment horizontal="center"/>
      <protection locked="0"/>
    </xf>
    <xf numFmtId="168" fontId="63" fillId="5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76" fillId="10" borderId="14" xfId="0" applyNumberFormat="1" applyFont="1" applyFill="1" applyBorder="1" applyAlignment="1">
      <alignment horizontal="center"/>
    </xf>
    <xf numFmtId="4" fontId="63" fillId="5" borderId="44" xfId="0" applyNumberFormat="1" applyFont="1" applyFill="1" applyBorder="1" applyAlignment="1">
      <alignment horizontal="center"/>
    </xf>
    <xf numFmtId="4" fontId="63" fillId="5" borderId="45" xfId="0" applyNumberFormat="1" applyFont="1" applyFill="1" applyBorder="1" applyAlignment="1">
      <alignment horizontal="center"/>
    </xf>
    <xf numFmtId="4" fontId="46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59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 applyProtection="1" quotePrefix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51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7" fillId="7" borderId="14" xfId="0" applyFont="1" applyFill="1" applyBorder="1" applyAlignment="1">
      <alignment horizontal="center" vertical="center" wrapText="1"/>
    </xf>
    <xf numFmtId="0" fontId="44" fillId="12" borderId="8" xfId="0" applyFont="1" applyFill="1" applyBorder="1" applyAlignment="1" applyProtection="1">
      <alignment horizontal="centerContinuous" vertical="center" wrapText="1"/>
      <protection/>
    </xf>
    <xf numFmtId="0" fontId="44" fillId="12" borderId="9" xfId="0" applyFont="1" applyFill="1" applyBorder="1" applyAlignment="1">
      <alignment horizontal="centerContinuous" vertical="center"/>
    </xf>
    <xf numFmtId="0" fontId="48" fillId="5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1" fillId="7" borderId="31" xfId="0" applyFont="1" applyFill="1" applyBorder="1" applyAlignment="1">
      <alignment horizontal="center"/>
    </xf>
    <xf numFmtId="0" fontId="45" fillId="12" borderId="33" xfId="0" applyFont="1" applyFill="1" applyBorder="1" applyAlignment="1">
      <alignment horizontal="center"/>
    </xf>
    <xf numFmtId="0" fontId="45" fillId="12" borderId="34" xfId="0" applyFont="1" applyFill="1" applyBorder="1" applyAlignment="1">
      <alignment horizontal="center"/>
    </xf>
    <xf numFmtId="0" fontId="49" fillId="5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7" fontId="29" fillId="0" borderId="31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168" fontId="36" fillId="2" borderId="19" xfId="0" applyNumberFormat="1" applyFont="1" applyFill="1" applyBorder="1" applyAlignment="1" applyProtection="1">
      <alignment horizontal="center"/>
      <protection/>
    </xf>
    <xf numFmtId="22" fontId="7" fillId="0" borderId="38" xfId="0" applyNumberFormat="1" applyFont="1" applyBorder="1" applyAlignment="1">
      <alignment horizontal="center"/>
    </xf>
    <xf numFmtId="22" fontId="7" fillId="0" borderId="51" xfId="0" applyNumberFormat="1" applyFont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 quotePrefix="1">
      <alignment horizontal="center"/>
      <protection/>
    </xf>
    <xf numFmtId="164" fontId="7" fillId="0" borderId="19" xfId="0" applyNumberFormat="1" applyFont="1" applyFill="1" applyBorder="1" applyAlignment="1" applyProtection="1" quotePrefix="1">
      <alignment horizontal="center"/>
      <protection/>
    </xf>
    <xf numFmtId="168" fontId="7" fillId="0" borderId="37" xfId="0" applyNumberFormat="1" applyFont="1" applyBorder="1" applyAlignment="1" applyProtection="1">
      <alignment horizontal="center"/>
      <protection/>
    </xf>
    <xf numFmtId="168" fontId="7" fillId="0" borderId="19" xfId="0" applyNumberFormat="1" applyFont="1" applyBorder="1" applyAlignment="1" applyProtection="1">
      <alignment horizontal="center"/>
      <protection/>
    </xf>
    <xf numFmtId="164" fontId="36" fillId="2" borderId="24" xfId="0" applyNumberFormat="1" applyFont="1" applyFill="1" applyBorder="1" applyAlignment="1" applyProtection="1">
      <alignment horizontal="center"/>
      <protection/>
    </xf>
    <xf numFmtId="2" fontId="81" fillId="7" borderId="19" xfId="0" applyNumberFormat="1" applyFont="1" applyFill="1" applyBorder="1" applyAlignment="1">
      <alignment horizontal="center"/>
    </xf>
    <xf numFmtId="168" fontId="45" fillId="12" borderId="38" xfId="0" applyNumberFormat="1" applyFont="1" applyFill="1" applyBorder="1" applyAlignment="1" applyProtection="1" quotePrefix="1">
      <alignment horizontal="center"/>
      <protection/>
    </xf>
    <xf numFmtId="168" fontId="45" fillId="12" borderId="39" xfId="0" applyNumberFormat="1" applyFont="1" applyFill="1" applyBorder="1" applyAlignment="1" applyProtection="1" quotePrefix="1">
      <alignment horizontal="center"/>
      <protection/>
    </xf>
    <xf numFmtId="168" fontId="49" fillId="5" borderId="19" xfId="0" applyNumberFormat="1" applyFont="1" applyFill="1" applyBorder="1" applyAlignment="1" applyProtection="1" quotePrefix="1">
      <alignment horizontal="center"/>
      <protection/>
    </xf>
    <xf numFmtId="168" fontId="29" fillId="0" borderId="19" xfId="0" applyNumberFormat="1" applyFont="1" applyFill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6" fillId="2" borderId="47" xfId="0" applyNumberFormat="1" applyFont="1" applyFill="1" applyBorder="1" applyAlignment="1" applyProtection="1">
      <alignment horizontal="center"/>
      <protection locked="0"/>
    </xf>
    <xf numFmtId="2" fontId="81" fillId="7" borderId="2" xfId="0" applyNumberFormat="1" applyFont="1" applyFill="1" applyBorder="1" applyAlignment="1" applyProtection="1">
      <alignment horizontal="center"/>
      <protection locked="0"/>
    </xf>
    <xf numFmtId="168" fontId="45" fillId="12" borderId="38" xfId="0" applyNumberFormat="1" applyFont="1" applyFill="1" applyBorder="1" applyAlignment="1" applyProtection="1" quotePrefix="1">
      <alignment horizontal="center"/>
      <protection locked="0"/>
    </xf>
    <xf numFmtId="168" fontId="45" fillId="12" borderId="39" xfId="0" applyNumberFormat="1" applyFont="1" applyFill="1" applyBorder="1" applyAlignment="1" applyProtection="1" quotePrefix="1">
      <alignment horizontal="center"/>
      <protection locked="0"/>
    </xf>
    <xf numFmtId="168" fontId="49" fillId="5" borderId="19" xfId="0" applyNumberFormat="1" applyFont="1" applyFill="1" applyBorder="1" applyAlignment="1" applyProtection="1" quotePrefix="1">
      <alignment horizontal="center"/>
      <protection locked="0"/>
    </xf>
    <xf numFmtId="2" fontId="7" fillId="0" borderId="52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23" xfId="0" applyNumberFormat="1" applyFont="1" applyFill="1" applyBorder="1" applyAlignment="1" applyProtection="1">
      <alignment horizontal="center"/>
      <protection locked="0"/>
    </xf>
    <xf numFmtId="2" fontId="81" fillId="7" borderId="3" xfId="0" applyNumberFormat="1" applyFont="1" applyFill="1" applyBorder="1" applyAlignment="1" applyProtection="1">
      <alignment horizontal="center"/>
      <protection locked="0"/>
    </xf>
    <xf numFmtId="168" fontId="45" fillId="12" borderId="41" xfId="0" applyNumberFormat="1" applyFont="1" applyFill="1" applyBorder="1" applyAlignment="1" applyProtection="1" quotePrefix="1">
      <alignment horizontal="center"/>
      <protection locked="0"/>
    </xf>
    <xf numFmtId="168" fontId="45" fillId="12" borderId="42" xfId="0" applyNumberFormat="1" applyFont="1" applyFill="1" applyBorder="1" applyAlignment="1" applyProtection="1" quotePrefix="1">
      <alignment horizontal="center"/>
      <protection locked="0"/>
    </xf>
    <xf numFmtId="168" fontId="49" fillId="5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29" xfId="0" applyNumberFormat="1" applyFont="1" applyFill="1" applyBorder="1" applyAlignment="1">
      <alignment horizontal="center"/>
    </xf>
    <xf numFmtId="4" fontId="81" fillId="7" borderId="14" xfId="0" applyNumberFormat="1" applyFont="1" applyFill="1" applyBorder="1" applyAlignment="1">
      <alignment horizontal="center"/>
    </xf>
    <xf numFmtId="4" fontId="45" fillId="12" borderId="44" xfId="0" applyNumberFormat="1" applyFont="1" applyFill="1" applyBorder="1" applyAlignment="1">
      <alignment horizontal="center"/>
    </xf>
    <xf numFmtId="4" fontId="45" fillId="12" borderId="9" xfId="0" applyNumberFormat="1" applyFont="1" applyFill="1" applyBorder="1" applyAlignment="1">
      <alignment horizontal="center"/>
    </xf>
    <xf numFmtId="4" fontId="49" fillId="5" borderId="14" xfId="0" applyNumberFormat="1" applyFont="1" applyFill="1" applyBorder="1" applyAlignment="1">
      <alignment horizontal="center"/>
    </xf>
    <xf numFmtId="0" fontId="7" fillId="0" borderId="53" xfId="0" applyFont="1" applyBorder="1" applyAlignment="1">
      <alignment/>
    </xf>
    <xf numFmtId="168" fontId="7" fillId="0" borderId="51" xfId="0" applyNumberFormat="1" applyFont="1" applyBorder="1" applyAlignment="1" applyProtection="1">
      <alignment horizontal="center"/>
      <protection/>
    </xf>
    <xf numFmtId="0" fontId="82" fillId="0" borderId="0" xfId="0" applyFont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Alignment="1">
      <alignment horizontal="centerContinuous"/>
    </xf>
    <xf numFmtId="0" fontId="85" fillId="0" borderId="0" xfId="0" applyFont="1" applyAlignment="1">
      <alignment horizontal="centerContinuous"/>
    </xf>
    <xf numFmtId="0" fontId="85" fillId="0" borderId="0" xfId="0" applyFont="1" applyAlignment="1">
      <alignment/>
    </xf>
    <xf numFmtId="0" fontId="87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88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64" fontId="90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42" fillId="13" borderId="14" xfId="0" applyFont="1" applyFill="1" applyBorder="1" applyAlignment="1">
      <alignment horizontal="center" vertical="center" wrapText="1"/>
    </xf>
    <xf numFmtId="0" fontId="42" fillId="14" borderId="8" xfId="0" applyFont="1" applyFill="1" applyBorder="1" applyAlignment="1" applyProtection="1">
      <alignment horizontal="centerContinuous" vertical="center" wrapText="1"/>
      <protection/>
    </xf>
    <xf numFmtId="0" fontId="42" fillId="14" borderId="9" xfId="0" applyFont="1" applyFill="1" applyBorder="1" applyAlignment="1">
      <alignment horizontal="centerContinuous" vertical="center"/>
    </xf>
    <xf numFmtId="0" fontId="42" fillId="3" borderId="14" xfId="0" applyFont="1" applyFill="1" applyBorder="1" applyAlignment="1">
      <alignment horizontal="centerContinuous"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92" fillId="2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3" fillId="13" borderId="17" xfId="0" applyFont="1" applyFill="1" applyBorder="1" applyAlignment="1">
      <alignment horizontal="center"/>
    </xf>
    <xf numFmtId="0" fontId="43" fillId="14" borderId="33" xfId="0" applyFont="1" applyFill="1" applyBorder="1" applyAlignment="1">
      <alignment horizontal="center"/>
    </xf>
    <xf numFmtId="0" fontId="43" fillId="14" borderId="34" xfId="0" applyFont="1" applyFill="1" applyBorder="1" applyAlignment="1">
      <alignment horizontal="left"/>
    </xf>
    <xf numFmtId="0" fontId="43" fillId="3" borderId="17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1" fontId="7" fillId="0" borderId="39" xfId="0" applyNumberFormat="1" applyFont="1" applyBorder="1" applyAlignment="1" applyProtection="1" quotePrefix="1">
      <alignment horizontal="center"/>
      <protection/>
    </xf>
    <xf numFmtId="168" fontId="92" fillId="2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4" fontId="36" fillId="2" borderId="2" xfId="0" applyNumberFormat="1" applyFont="1" applyFill="1" applyBorder="1" applyAlignment="1" applyProtection="1">
      <alignment horizontal="center"/>
      <protection/>
    </xf>
    <xf numFmtId="2" fontId="46" fillId="13" borderId="2" xfId="0" applyNumberFormat="1" applyFont="1" applyFill="1" applyBorder="1" applyAlignment="1">
      <alignment horizontal="center"/>
    </xf>
    <xf numFmtId="168" fontId="46" fillId="14" borderId="38" xfId="0" applyNumberFormat="1" applyFont="1" applyFill="1" applyBorder="1" applyAlignment="1" applyProtection="1" quotePrefix="1">
      <alignment horizontal="center"/>
      <protection/>
    </xf>
    <xf numFmtId="168" fontId="46" fillId="14" borderId="39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164" fontId="7" fillId="0" borderId="40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 quotePrefix="1">
      <alignment horizontal="center"/>
      <protection/>
    </xf>
    <xf numFmtId="168" fontId="92" fillId="2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4" fontId="36" fillId="2" borderId="3" xfId="0" applyNumberFormat="1" applyFont="1" applyFill="1" applyBorder="1" applyAlignment="1" applyProtection="1">
      <alignment horizontal="center"/>
      <protection/>
    </xf>
    <xf numFmtId="2" fontId="43" fillId="13" borderId="3" xfId="0" applyNumberFormat="1" applyFont="1" applyFill="1" applyBorder="1" applyAlignment="1">
      <alignment horizontal="center"/>
    </xf>
    <xf numFmtId="168" fontId="43" fillId="14" borderId="41" xfId="0" applyNumberFormat="1" applyFont="1" applyFill="1" applyBorder="1" applyAlignment="1" applyProtection="1" quotePrefix="1">
      <alignment horizontal="center"/>
      <protection/>
    </xf>
    <xf numFmtId="168" fontId="43" fillId="14" borderId="42" xfId="0" applyNumberFormat="1" applyFont="1" applyFill="1" applyBorder="1" applyAlignment="1" applyProtection="1" quotePrefix="1">
      <alignment horizontal="center"/>
      <protection/>
    </xf>
    <xf numFmtId="168" fontId="43" fillId="3" borderId="3" xfId="0" applyNumberFormat="1" applyFont="1" applyFill="1" applyBorder="1" applyAlignment="1" applyProtection="1" quotePrefix="1">
      <alignment horizontal="center"/>
      <protection/>
    </xf>
    <xf numFmtId="168" fontId="7" fillId="0" borderId="20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5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2" fontId="53" fillId="0" borderId="0" xfId="0" applyNumberFormat="1" applyFont="1" applyBorder="1" applyAlignment="1" applyProtection="1">
      <alignment horizontal="left"/>
      <protection/>
    </xf>
    <xf numFmtId="168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65" fontId="53" fillId="0" borderId="0" xfId="0" applyNumberFormat="1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68" fontId="53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93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94" fillId="0" borderId="0" xfId="0" applyNumberFormat="1" applyFont="1" applyBorder="1" applyAlignment="1" applyProtection="1">
      <alignment horizontal="center"/>
      <protection/>
    </xf>
    <xf numFmtId="168" fontId="90" fillId="0" borderId="0" xfId="0" applyNumberFormat="1" applyFont="1" applyBorder="1" applyAlignment="1" applyProtection="1" quotePrefix="1">
      <alignment horizontal="center"/>
      <protection/>
    </xf>
    <xf numFmtId="4" fontId="90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3" fillId="0" borderId="0" xfId="0" applyNumberFormat="1" applyFont="1" applyBorder="1" applyAlignment="1" applyProtection="1">
      <alignment horizontal="centerContinuous"/>
      <protection/>
    </xf>
    <xf numFmtId="168" fontId="53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95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96" fillId="0" borderId="0" xfId="0" applyNumberFormat="1" applyFont="1" applyBorder="1" applyAlignment="1" applyProtection="1">
      <alignment horizontal="center" vertical="center"/>
      <protection/>
    </xf>
    <xf numFmtId="168" fontId="97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3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0" fontId="54" fillId="0" borderId="0" xfId="0" applyFont="1" applyAlignment="1">
      <alignment horizontal="right" vertical="top"/>
    </xf>
    <xf numFmtId="1" fontId="0" fillId="0" borderId="55" xfId="0" applyNumberFormat="1" applyBorder="1" applyAlignment="1">
      <alignment horizontal="center"/>
    </xf>
    <xf numFmtId="0" fontId="10" fillId="0" borderId="56" xfId="0" applyFont="1" applyBorder="1" applyAlignment="1">
      <alignment horizontal="centerContinuous"/>
    </xf>
    <xf numFmtId="0" fontId="10" fillId="0" borderId="57" xfId="0" applyFont="1" applyBorder="1" applyAlignment="1">
      <alignment horizontal="centerContinuous"/>
    </xf>
    <xf numFmtId="174" fontId="10" fillId="0" borderId="58" xfId="0" applyNumberFormat="1" applyFont="1" applyBorder="1" applyAlignment="1">
      <alignment horizontal="center"/>
    </xf>
    <xf numFmtId="1" fontId="10" fillId="0" borderId="58" xfId="0" applyNumberFormat="1" applyFont="1" applyBorder="1" applyAlignment="1">
      <alignment horizontal="center"/>
    </xf>
    <xf numFmtId="0" fontId="10" fillId="0" borderId="59" xfId="0" applyFont="1" applyBorder="1" applyAlignment="1">
      <alignment horizontal="centerContinuous"/>
    </xf>
    <xf numFmtId="0" fontId="10" fillId="0" borderId="60" xfId="0" applyFont="1" applyBorder="1" applyAlignment="1">
      <alignment horizontal="centerContinuous"/>
    </xf>
    <xf numFmtId="174" fontId="10" fillId="0" borderId="61" xfId="0" applyNumberFormat="1" applyFont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0" fontId="10" fillId="0" borderId="62" xfId="0" applyFont="1" applyBorder="1" applyAlignment="1">
      <alignment horizontal="centerContinuous"/>
    </xf>
    <xf numFmtId="0" fontId="10" fillId="0" borderId="63" xfId="0" applyFont="1" applyBorder="1" applyAlignment="1">
      <alignment horizontal="centerContinuous"/>
    </xf>
    <xf numFmtId="174" fontId="10" fillId="0" borderId="64" xfId="0" applyNumberFormat="1" applyFont="1" applyFill="1" applyBorder="1" applyAlignment="1">
      <alignment horizontal="center"/>
    </xf>
    <xf numFmtId="1" fontId="10" fillId="0" borderId="64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89" fillId="0" borderId="23" xfId="0" applyNumberFormat="1" applyFont="1" applyFill="1" applyBorder="1" applyAlignment="1" applyProtection="1">
      <alignment horizontal="center"/>
      <protection/>
    </xf>
    <xf numFmtId="2" fontId="78" fillId="0" borderId="23" xfId="0" applyNumberFormat="1" applyFont="1" applyFill="1" applyBorder="1" applyAlignment="1" applyProtection="1">
      <alignment horizontal="center"/>
      <protection/>
    </xf>
    <xf numFmtId="2" fontId="91" fillId="0" borderId="23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65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3" fillId="4" borderId="2" xfId="0" applyNumberFormat="1" applyFont="1" applyFill="1" applyBorder="1" applyAlignment="1" applyProtection="1">
      <alignment horizontal="center"/>
      <protection/>
    </xf>
    <xf numFmtId="2" fontId="76" fillId="10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12" fillId="0" borderId="66" xfId="0" applyFont="1" applyBorder="1" applyAlignment="1" applyProtection="1">
      <alignment horizontal="center"/>
      <protection/>
    </xf>
    <xf numFmtId="164" fontId="9" fillId="0" borderId="40" xfId="0" applyNumberFormat="1" applyFont="1" applyBorder="1" applyAlignment="1" applyProtection="1" quotePrefix="1">
      <alignment horizontal="center"/>
      <protection/>
    </xf>
    <xf numFmtId="168" fontId="36" fillId="2" borderId="40" xfId="0" applyNumberFormat="1" applyFont="1" applyFill="1" applyBorder="1" applyAlignment="1" applyProtection="1">
      <alignment horizontal="center"/>
      <protection/>
    </xf>
    <xf numFmtId="22" fontId="7" fillId="0" borderId="41" xfId="0" applyNumberFormat="1" applyFont="1" applyBorder="1" applyAlignment="1">
      <alignment horizontal="center"/>
    </xf>
    <xf numFmtId="22" fontId="7" fillId="0" borderId="40" xfId="0" applyNumberFormat="1" applyFont="1" applyBorder="1" applyAlignment="1" applyProtection="1">
      <alignment horizontal="center"/>
      <protection/>
    </xf>
    <xf numFmtId="2" fontId="7" fillId="0" borderId="40" xfId="0" applyNumberFormat="1" applyFont="1" applyFill="1" applyBorder="1" applyAlignment="1" applyProtection="1" quotePrefix="1">
      <alignment horizontal="center"/>
      <protection/>
    </xf>
    <xf numFmtId="164" fontId="7" fillId="0" borderId="40" xfId="0" applyNumberFormat="1" applyFont="1" applyFill="1" applyBorder="1" applyAlignment="1" applyProtection="1" quotePrefix="1">
      <alignment horizontal="center"/>
      <protection/>
    </xf>
    <xf numFmtId="168" fontId="7" fillId="0" borderId="67" xfId="0" applyNumberFormat="1" applyFont="1" applyBorder="1" applyAlignment="1" applyProtection="1">
      <alignment horizontal="center"/>
      <protection/>
    </xf>
    <xf numFmtId="168" fontId="7" fillId="0" borderId="66" xfId="0" applyNumberFormat="1" applyFont="1" applyBorder="1" applyAlignment="1" applyProtection="1">
      <alignment horizontal="center"/>
      <protection/>
    </xf>
    <xf numFmtId="164" fontId="43" fillId="4" borderId="40" xfId="0" applyNumberFormat="1" applyFont="1" applyFill="1" applyBorder="1" applyAlignment="1" applyProtection="1">
      <alignment horizontal="center"/>
      <protection/>
    </xf>
    <xf numFmtId="2" fontId="76" fillId="10" borderId="40" xfId="0" applyNumberFormat="1" applyFont="1" applyFill="1" applyBorder="1" applyAlignment="1">
      <alignment horizontal="center"/>
    </xf>
    <xf numFmtId="168" fontId="63" fillId="5" borderId="41" xfId="0" applyNumberFormat="1" applyFont="1" applyFill="1" applyBorder="1" applyAlignment="1" applyProtection="1" quotePrefix="1">
      <alignment horizontal="center"/>
      <protection/>
    </xf>
    <xf numFmtId="168" fontId="63" fillId="5" borderId="42" xfId="0" applyNumberFormat="1" applyFont="1" applyFill="1" applyBorder="1" applyAlignment="1" applyProtection="1" quotePrefix="1">
      <alignment horizontal="center"/>
      <protection/>
    </xf>
    <xf numFmtId="168" fontId="46" fillId="3" borderId="40" xfId="0" applyNumberFormat="1" applyFont="1" applyFill="1" applyBorder="1" applyAlignment="1" applyProtection="1" quotePrefix="1">
      <alignment horizontal="center"/>
      <protection/>
    </xf>
    <xf numFmtId="168" fontId="7" fillId="0" borderId="40" xfId="0" applyNumberFormat="1" applyFont="1" applyBorder="1" applyAlignment="1">
      <alignment horizontal="center"/>
    </xf>
    <xf numFmtId="4" fontId="29" fillId="0" borderId="40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3" fillId="15" borderId="14" xfId="0" applyNumberFormat="1" applyFont="1" applyFill="1" applyBorder="1" applyAlignment="1" applyProtection="1">
      <alignment horizontal="center" vertical="center"/>
      <protection/>
    </xf>
    <xf numFmtId="0" fontId="57" fillId="4" borderId="14" xfId="0" applyFont="1" applyFill="1" applyBorder="1" applyAlignment="1" applyProtection="1">
      <alignment horizontal="center" vertical="center"/>
      <protection/>
    </xf>
    <xf numFmtId="0" fontId="61" fillId="5" borderId="14" xfId="0" applyFont="1" applyFill="1" applyBorder="1" applyAlignment="1">
      <alignment horizontal="center" vertical="center" wrapText="1"/>
    </xf>
    <xf numFmtId="0" fontId="48" fillId="16" borderId="8" xfId="0" applyFont="1" applyFill="1" applyBorder="1" applyAlignment="1">
      <alignment horizontal="centerContinuous" vertical="center" wrapText="1"/>
    </xf>
    <xf numFmtId="0" fontId="98" fillId="16" borderId="15" xfId="0" applyFont="1" applyFill="1" applyBorder="1" applyAlignment="1">
      <alignment horizontal="centerContinuous"/>
    </xf>
    <xf numFmtId="0" fontId="48" fillId="16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84" fillId="15" borderId="2" xfId="0" applyFont="1" applyFill="1" applyBorder="1" applyAlignment="1">
      <alignment/>
    </xf>
    <xf numFmtId="0" fontId="58" fillId="4" borderId="2" xfId="0" applyFont="1" applyFill="1" applyBorder="1" applyAlignment="1">
      <alignment/>
    </xf>
    <xf numFmtId="0" fontId="99" fillId="3" borderId="2" xfId="0" applyFont="1" applyFill="1" applyBorder="1" applyAlignment="1">
      <alignment/>
    </xf>
    <xf numFmtId="0" fontId="62" fillId="5" borderId="4" xfId="0" applyFont="1" applyFill="1" applyBorder="1" applyAlignment="1">
      <alignment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168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00" fillId="16" borderId="22" xfId="0" applyNumberFormat="1" applyFont="1" applyFill="1" applyBorder="1" applyAlignment="1" applyProtection="1" quotePrefix="1">
      <alignment horizontal="center"/>
      <protection/>
    </xf>
    <xf numFmtId="168" fontId="100" fillId="16" borderId="25" xfId="0" applyNumberFormat="1" applyFont="1" applyFill="1" applyBorder="1" applyAlignment="1" applyProtection="1" quotePrefix="1">
      <alignment horizontal="center"/>
      <protection/>
    </xf>
    <xf numFmtId="4" fontId="100" fillId="16" borderId="4" xfId="0" applyNumberFormat="1" applyFont="1" applyFill="1" applyBorder="1" applyAlignment="1" applyProtection="1">
      <alignment horizontal="center"/>
      <protection/>
    </xf>
    <xf numFmtId="0" fontId="84" fillId="15" borderId="2" xfId="0" applyFont="1" applyFill="1" applyBorder="1" applyAlignment="1" applyProtection="1">
      <alignment horizontal="center"/>
      <protection/>
    </xf>
    <xf numFmtId="174" fontId="58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5" fillId="3" borderId="2" xfId="0" applyNumberFormat="1" applyFont="1" applyFill="1" applyBorder="1" applyAlignment="1" applyProtection="1">
      <alignment horizontal="center"/>
      <protection locked="0"/>
    </xf>
    <xf numFmtId="2" fontId="63" fillId="5" borderId="4" xfId="0" applyNumberFormat="1" applyFont="1" applyFill="1" applyBorder="1" applyAlignment="1" applyProtection="1">
      <alignment horizontal="center"/>
      <protection locked="0"/>
    </xf>
    <xf numFmtId="168" fontId="49" fillId="16" borderId="22" xfId="0" applyNumberFormat="1" applyFont="1" applyFill="1" applyBorder="1" applyAlignment="1" applyProtection="1" quotePrefix="1">
      <alignment horizontal="center"/>
      <protection locked="0"/>
    </xf>
    <xf numFmtId="168" fontId="49" fillId="16" borderId="25" xfId="0" applyNumberFormat="1" applyFont="1" applyFill="1" applyBorder="1" applyAlignment="1" applyProtection="1" quotePrefix="1">
      <alignment horizontal="center"/>
      <protection locked="0"/>
    </xf>
    <xf numFmtId="4" fontId="49" fillId="16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4" applyFont="1" applyFill="1" applyBorder="1" applyAlignment="1" applyProtection="1">
      <alignment horizontal="center"/>
      <protection locked="0"/>
    </xf>
    <xf numFmtId="164" fontId="7" fillId="0" borderId="2" xfId="24" applyNumberFormat="1" applyFont="1" applyFill="1" applyBorder="1" applyAlignment="1" applyProtection="1">
      <alignment horizontal="center"/>
      <protection locked="0"/>
    </xf>
    <xf numFmtId="22" fontId="7" fillId="0" borderId="4" xfId="24" applyNumberFormat="1" applyFont="1" applyFill="1" applyBorder="1" applyAlignment="1" applyProtection="1">
      <alignment horizontal="center"/>
      <protection locked="0"/>
    </xf>
    <xf numFmtId="22" fontId="7" fillId="0" borderId="21" xfId="24" applyNumberFormat="1" applyFont="1" applyFill="1" applyBorder="1" applyAlignment="1" applyProtection="1">
      <alignment horizontal="center"/>
      <protection locked="0"/>
    </xf>
    <xf numFmtId="0" fontId="84" fillId="15" borderId="3" xfId="0" applyFont="1" applyFill="1" applyBorder="1" applyAlignment="1" applyProtection="1">
      <alignment horizontal="center"/>
      <protection/>
    </xf>
    <xf numFmtId="174" fontId="58" fillId="4" borderId="3" xfId="0" applyNumberFormat="1" applyFont="1" applyFill="1" applyBorder="1" applyAlignment="1" applyProtection="1">
      <alignment horizontal="center"/>
      <protection/>
    </xf>
    <xf numFmtId="2" fontId="99" fillId="3" borderId="3" xfId="0" applyNumberFormat="1" applyFont="1" applyFill="1" applyBorder="1" applyAlignment="1" applyProtection="1">
      <alignment horizontal="center"/>
      <protection locked="0"/>
    </xf>
    <xf numFmtId="2" fontId="63" fillId="5" borderId="3" xfId="0" applyNumberFormat="1" applyFont="1" applyFill="1" applyBorder="1" applyAlignment="1" applyProtection="1">
      <alignment horizontal="center"/>
      <protection locked="0"/>
    </xf>
    <xf numFmtId="168" fontId="49" fillId="16" borderId="26" xfId="0" applyNumberFormat="1" applyFont="1" applyFill="1" applyBorder="1" applyAlignment="1" applyProtection="1" quotePrefix="1">
      <alignment horizontal="center"/>
      <protection locked="0"/>
    </xf>
    <xf numFmtId="168" fontId="49" fillId="16" borderId="27" xfId="0" applyNumberFormat="1" applyFont="1" applyFill="1" applyBorder="1" applyAlignment="1" applyProtection="1" quotePrefix="1">
      <alignment horizontal="center"/>
      <protection locked="0"/>
    </xf>
    <xf numFmtId="4" fontId="49" fillId="16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5" fillId="3" borderId="14" xfId="0" applyNumberFormat="1" applyFont="1" applyFill="1" applyBorder="1" applyAlignment="1" applyProtection="1">
      <alignment horizontal="center"/>
      <protection/>
    </xf>
    <xf numFmtId="2" fontId="63" fillId="5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49" fillId="16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17" borderId="0" xfId="0" applyFont="1" applyFill="1" applyAlignment="1">
      <alignment/>
    </xf>
    <xf numFmtId="0" fontId="0" fillId="17" borderId="0" xfId="0" applyNumberFormat="1" applyFont="1" applyFill="1" applyAlignment="1">
      <alignment/>
    </xf>
    <xf numFmtId="0" fontId="0" fillId="17" borderId="0" xfId="22" applyFont="1" applyFill="1" applyAlignment="1">
      <alignment/>
      <protection/>
    </xf>
    <xf numFmtId="0" fontId="0" fillId="0" borderId="60" xfId="0" applyFont="1" applyBorder="1" applyAlignment="1">
      <alignment/>
    </xf>
    <xf numFmtId="0" fontId="0" fillId="2" borderId="6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4" fillId="0" borderId="17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99" fillId="0" borderId="17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00" fillId="0" borderId="33" xfId="0" applyFont="1" applyFill="1" applyBorder="1" applyAlignment="1">
      <alignment/>
    </xf>
    <xf numFmtId="0" fontId="100" fillId="0" borderId="68" xfId="0" applyFont="1" applyFill="1" applyBorder="1" applyAlignment="1">
      <alignment/>
    </xf>
    <xf numFmtId="0" fontId="100" fillId="0" borderId="34" xfId="0" applyFont="1" applyFill="1" applyBorder="1" applyAlignment="1">
      <alignment/>
    </xf>
    <xf numFmtId="0" fontId="67" fillId="0" borderId="17" xfId="0" applyFont="1" applyFill="1" applyBorder="1" applyAlignment="1">
      <alignment/>
    </xf>
    <xf numFmtId="0" fontId="68" fillId="0" borderId="17" xfId="0" applyFont="1" applyFill="1" applyBorder="1" applyAlignment="1">
      <alignment/>
    </xf>
    <xf numFmtId="0" fontId="0" fillId="0" borderId="60" xfId="0" applyFont="1" applyBorder="1" applyAlignment="1" quotePrefix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0" fontId="39" fillId="0" borderId="60" xfId="0" applyFont="1" applyBorder="1" applyAlignment="1">
      <alignment/>
    </xf>
    <xf numFmtId="0" fontId="39" fillId="0" borderId="60" xfId="0" applyFont="1" applyFill="1" applyBorder="1" applyAlignment="1">
      <alignment/>
    </xf>
    <xf numFmtId="0" fontId="39" fillId="0" borderId="69" xfId="0" applyFont="1" applyBorder="1" applyAlignment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4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 horizontal="center"/>
      <protection locked="0"/>
    </xf>
    <xf numFmtId="0" fontId="0" fillId="2" borderId="6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0" fillId="0" borderId="14" xfId="0" applyNumberFormat="1" applyFont="1" applyFill="1" applyBorder="1" applyAlignment="1" applyProtection="1">
      <alignment horizontal="center"/>
      <protection/>
    </xf>
    <xf numFmtId="17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/>
    </xf>
    <xf numFmtId="0" fontId="101" fillId="0" borderId="60" xfId="0" applyFont="1" applyBorder="1" applyAlignment="1">
      <alignment/>
    </xf>
    <xf numFmtId="0" fontId="101" fillId="0" borderId="69" xfId="0" applyFont="1" applyBorder="1" applyAlignment="1">
      <alignment/>
    </xf>
    <xf numFmtId="0" fontId="102" fillId="0" borderId="60" xfId="0" applyFont="1" applyBorder="1" applyAlignment="1">
      <alignment/>
    </xf>
    <xf numFmtId="0" fontId="102" fillId="0" borderId="69" xfId="0" applyFont="1" applyBorder="1" applyAlignment="1">
      <alignment/>
    </xf>
    <xf numFmtId="0" fontId="103" fillId="0" borderId="60" xfId="0" applyFont="1" applyBorder="1" applyAlignment="1">
      <alignment/>
    </xf>
    <xf numFmtId="0" fontId="103" fillId="0" borderId="60" xfId="0" applyFont="1" applyFill="1" applyBorder="1" applyAlignment="1">
      <alignment/>
    </xf>
    <xf numFmtId="0" fontId="102" fillId="0" borderId="60" xfId="0" applyFont="1" applyFill="1" applyBorder="1" applyAlignment="1">
      <alignment/>
    </xf>
    <xf numFmtId="0" fontId="71" fillId="0" borderId="0" xfId="0" applyFont="1" applyBorder="1" applyAlignment="1">
      <alignment/>
    </xf>
    <xf numFmtId="0" fontId="104" fillId="0" borderId="0" xfId="0" applyFont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0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107" fillId="0" borderId="0" xfId="22" applyFont="1" applyFill="1" applyAlignment="1">
      <alignment/>
      <protection/>
    </xf>
    <xf numFmtId="168" fontId="76" fillId="10" borderId="39" xfId="0" applyNumberFormat="1" applyFont="1" applyFill="1" applyBorder="1" applyAlignment="1" applyProtection="1">
      <alignment horizontal="center"/>
      <protection/>
    </xf>
    <xf numFmtId="0" fontId="111" fillId="0" borderId="0" xfId="0" applyFont="1" applyAlignment="1">
      <alignment vertical="center"/>
    </xf>
    <xf numFmtId="0" fontId="111" fillId="0" borderId="7" xfId="0" applyFont="1" applyBorder="1" applyAlignment="1">
      <alignment vertical="center"/>
    </xf>
    <xf numFmtId="0" fontId="111" fillId="0" borderId="21" xfId="0" applyFont="1" applyBorder="1" applyAlignment="1">
      <alignment vertical="center"/>
    </xf>
    <xf numFmtId="1" fontId="7" fillId="0" borderId="39" xfId="0" applyNumberFormat="1" applyFont="1" applyBorder="1" applyAlignment="1" applyProtection="1">
      <alignment horizontal="center"/>
      <protection locked="0"/>
    </xf>
    <xf numFmtId="0" fontId="108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09" fillId="0" borderId="0" xfId="0" applyFont="1" applyAlignment="1">
      <alignment/>
    </xf>
    <xf numFmtId="0" fontId="109" fillId="0" borderId="0" xfId="0" applyFont="1" applyAlignment="1">
      <alignment horizontal="centerContinuous"/>
    </xf>
    <xf numFmtId="0" fontId="110" fillId="0" borderId="0" xfId="0" applyFont="1" applyAlignment="1">
      <alignment horizontal="centerContinuous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0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" fontId="27" fillId="0" borderId="1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1" fillId="0" borderId="2" xfId="0" applyFont="1" applyBorder="1" applyAlignment="1">
      <alignment vertical="center"/>
    </xf>
    <xf numFmtId="0" fontId="111" fillId="18" borderId="2" xfId="0" applyFont="1" applyFill="1" applyBorder="1" applyAlignment="1">
      <alignment vertical="center"/>
    </xf>
    <xf numFmtId="0" fontId="111" fillId="0" borderId="31" xfId="0" applyFont="1" applyBorder="1" applyAlignment="1">
      <alignment vertical="center"/>
    </xf>
    <xf numFmtId="0" fontId="111" fillId="0" borderId="1" xfId="0" applyFont="1" applyBorder="1" applyAlignment="1">
      <alignment vertical="center"/>
    </xf>
    <xf numFmtId="0" fontId="111" fillId="1" borderId="22" xfId="0" applyFont="1" applyFill="1" applyBorder="1" applyAlignment="1">
      <alignment horizontal="center" vertical="center"/>
    </xf>
    <xf numFmtId="0" fontId="111" fillId="1" borderId="2" xfId="0" applyFont="1" applyFill="1" applyBorder="1" applyAlignment="1">
      <alignment horizontal="center" vertical="center"/>
    </xf>
    <xf numFmtId="0" fontId="111" fillId="18" borderId="19" xfId="0" applyFont="1" applyFill="1" applyBorder="1" applyAlignment="1">
      <alignment horizontal="center" vertical="center"/>
    </xf>
    <xf numFmtId="0" fontId="111" fillId="0" borderId="46" xfId="0" applyFont="1" applyBorder="1" applyAlignment="1">
      <alignment vertical="center"/>
    </xf>
    <xf numFmtId="0" fontId="111" fillId="0" borderId="38" xfId="0" applyFont="1" applyBorder="1" applyAlignment="1">
      <alignment horizontal="center" vertical="center"/>
    </xf>
    <xf numFmtId="0" fontId="111" fillId="0" borderId="19" xfId="0" applyFont="1" applyBorder="1" applyAlignment="1">
      <alignment horizontal="center" vertical="center"/>
    </xf>
    <xf numFmtId="0" fontId="111" fillId="1" borderId="38" xfId="0" applyFont="1" applyFill="1" applyBorder="1" applyAlignment="1">
      <alignment horizontal="center" vertical="center"/>
    </xf>
    <xf numFmtId="0" fontId="111" fillId="1" borderId="19" xfId="0" applyFont="1" applyFill="1" applyBorder="1" applyAlignment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40" xfId="0" applyFont="1" applyBorder="1" applyAlignment="1">
      <alignment horizontal="center" vertical="center"/>
    </xf>
    <xf numFmtId="0" fontId="111" fillId="18" borderId="4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vertical="center"/>
    </xf>
    <xf numFmtId="0" fontId="112" fillId="0" borderId="0" xfId="0" applyFont="1" applyFill="1" applyBorder="1" applyAlignment="1">
      <alignment horizontal="right" vertical="center"/>
    </xf>
    <xf numFmtId="170" fontId="112" fillId="0" borderId="14" xfId="0" applyNumberFormat="1" applyFont="1" applyFill="1" applyBorder="1" applyAlignment="1">
      <alignment horizontal="center" vertical="center"/>
    </xf>
    <xf numFmtId="0" fontId="111" fillId="0" borderId="8" xfId="0" applyFont="1" applyFill="1" applyBorder="1" applyAlignment="1">
      <alignment horizontal="center" vertical="center"/>
    </xf>
    <xf numFmtId="0" fontId="111" fillId="0" borderId="15" xfId="0" applyFont="1" applyFill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vertical="center"/>
    </xf>
    <xf numFmtId="0" fontId="111" fillId="0" borderId="0" xfId="0" applyFont="1" applyBorder="1" applyAlignment="1">
      <alignment horizontal="right" vertical="center"/>
    </xf>
    <xf numFmtId="0" fontId="112" fillId="0" borderId="0" xfId="0" applyFont="1" applyBorder="1" applyAlignment="1">
      <alignment horizontal="right" vertical="center"/>
    </xf>
    <xf numFmtId="0" fontId="111" fillId="0" borderId="14" xfId="0" applyFont="1" applyBorder="1" applyAlignment="1">
      <alignment horizontal="center" vertical="center"/>
    </xf>
    <xf numFmtId="2" fontId="112" fillId="18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3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3" fillId="18" borderId="55" xfId="0" applyFont="1" applyFill="1" applyBorder="1" applyAlignment="1" applyProtection="1">
      <alignment horizontal="right"/>
      <protection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2" fillId="0" borderId="7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 vertical="top"/>
      <protection/>
    </xf>
    <xf numFmtId="164" fontId="114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165" fontId="32" fillId="0" borderId="0" xfId="0" applyNumberFormat="1" applyFont="1" applyBorder="1" applyAlignment="1" applyProtection="1">
      <alignment horizontal="center"/>
      <protection/>
    </xf>
    <xf numFmtId="168" fontId="32" fillId="0" borderId="0" xfId="0" applyNumberFormat="1" applyFont="1" applyBorder="1" applyAlignment="1" applyProtection="1">
      <alignment horizontal="center"/>
      <protection/>
    </xf>
    <xf numFmtId="173" fontId="32" fillId="0" borderId="0" xfId="0" applyNumberFormat="1" applyFont="1" applyBorder="1" applyAlignment="1" applyProtection="1" quotePrefix="1">
      <alignment horizontal="center"/>
      <protection/>
    </xf>
    <xf numFmtId="2" fontId="115" fillId="0" borderId="0" xfId="0" applyNumberFormat="1" applyFont="1" applyBorder="1" applyAlignment="1" applyProtection="1">
      <alignment horizontal="center"/>
      <protection/>
    </xf>
    <xf numFmtId="7" fontId="116" fillId="0" borderId="0" xfId="0" applyNumberFormat="1" applyFont="1" applyFill="1" applyBorder="1" applyAlignment="1" applyProtection="1">
      <alignment horizontal="right"/>
      <protection/>
    </xf>
    <xf numFmtId="4" fontId="32" fillId="0" borderId="1" xfId="0" applyNumberFormat="1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6" fontId="10" fillId="0" borderId="0" xfId="19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left"/>
      <protection/>
    </xf>
    <xf numFmtId="0" fontId="104" fillId="0" borderId="0" xfId="0" applyFont="1" applyBorder="1" applyAlignment="1">
      <alignment horizontal="right"/>
    </xf>
    <xf numFmtId="168" fontId="104" fillId="0" borderId="0" xfId="0" applyNumberFormat="1" applyFont="1" applyBorder="1" applyAlignment="1" applyProtection="1">
      <alignment horizontal="left"/>
      <protection/>
    </xf>
    <xf numFmtId="7" fontId="10" fillId="0" borderId="0" xfId="0" applyNumberFormat="1" applyFont="1" applyFill="1" applyBorder="1" applyAlignment="1">
      <alignment horizontal="center"/>
    </xf>
    <xf numFmtId="0" fontId="12" fillId="0" borderId="66" xfId="0" applyFont="1" applyBorder="1" applyAlignment="1" applyProtection="1">
      <alignment horizontal="center"/>
      <protection/>
    </xf>
    <xf numFmtId="0" fontId="12" fillId="0" borderId="67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7" fontId="10" fillId="0" borderId="47" xfId="0" applyNumberFormat="1" applyFont="1" applyFill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Comahue" xfId="22"/>
    <cellStyle name="Normal_líneas" xfId="23"/>
    <cellStyle name="Normal_TRAN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3267075"/>
          <a:ext cx="2733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Transener_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TOTAL"/>
      <sheetName val="MODELO L"/>
      <sheetName val="MODELO L YACYLEC"/>
      <sheetName val="MODELO L LITSA"/>
      <sheetName val="MODELO L IV"/>
      <sheetName val="MODELO L INTESAR "/>
      <sheetName val="MODELO L CUYANA"/>
      <sheetName val="MODELO T"/>
      <sheetName val="MODELO T LITSA"/>
      <sheetName val="MODELO T TIBA"/>
      <sheetName val="MODELO T ENECOR"/>
      <sheetName val="MODELO T INTESAR"/>
      <sheetName val="MODELO T CUYANA"/>
      <sheetName val="MODELO S"/>
      <sheetName val="MODELO S TIBA"/>
      <sheetName val="MODELO S ENECOR"/>
      <sheetName val="MODELO S TESA"/>
      <sheetName val="MODELO S CTM"/>
      <sheetName val="MODELO R"/>
      <sheetName val="RE-Res.01_03"/>
      <sheetName val="MODELO R YACYLEC"/>
      <sheetName val="MODELO R LITSA"/>
      <sheetName val="MODELO R IV"/>
      <sheetName val="SUP-YACYLEC"/>
      <sheetName val="SUP-LITSA"/>
      <sheetName val="SUP-TIBA"/>
      <sheetName val="SUP-ENECOR"/>
      <sheetName val="SUP-TESA"/>
      <sheetName val="SUP-CTM"/>
      <sheetName val="SUP-INTESAR"/>
      <sheetName val="SUP-CUYANA"/>
      <sheetName val="CONDICIONES CLIMATICAS 313"/>
      <sheetName val="DAG"/>
      <sheetName val="RES 142-94 AISL"/>
      <sheetName val="TIEMPOS ET"/>
      <sheetName val="LI (C CLIMA EN ET)"/>
      <sheetName val="REACT (C CLIMA EN  ET)"/>
      <sheetName val="CONDICIONES CLIMATICAS 313-01"/>
      <sheetName val="ATENTADO 313-01 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FT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G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FP24">
            <v>1</v>
          </cell>
          <cell r="FS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FS26">
            <v>2</v>
          </cell>
          <cell r="FX26">
            <v>2</v>
          </cell>
          <cell r="GA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FX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FW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FP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FP46" t="str">
            <v>XXXX</v>
          </cell>
          <cell r="FQ46" t="str">
            <v>XXXX</v>
          </cell>
          <cell r="FR46" t="str">
            <v>XXXX</v>
          </cell>
          <cell r="FS46" t="str">
            <v>XXXX</v>
          </cell>
          <cell r="FT46" t="str">
            <v>XXXX</v>
          </cell>
          <cell r="FU46" t="str">
            <v>XXXX</v>
          </cell>
          <cell r="FV46" t="str">
            <v>XXXX</v>
          </cell>
          <cell r="FW46" t="str">
            <v>XXXX</v>
          </cell>
          <cell r="FX46" t="str">
            <v>XXXX</v>
          </cell>
          <cell r="FY46" t="str">
            <v>XXXX</v>
          </cell>
          <cell r="FZ46" t="str">
            <v>XXXX</v>
          </cell>
          <cell r="GA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FR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Y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FS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FR53">
            <v>1</v>
          </cell>
          <cell r="FY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FP54" t="str">
            <v>XXXX</v>
          </cell>
          <cell r="FQ54" t="str">
            <v>XXXX</v>
          </cell>
          <cell r="FR54" t="str">
            <v>XXXX</v>
          </cell>
          <cell r="FS54" t="str">
            <v>XXXX</v>
          </cell>
          <cell r="FT54" t="str">
            <v>XXXX</v>
          </cell>
          <cell r="FU54" t="str">
            <v>XXXX</v>
          </cell>
          <cell r="FV54" t="str">
            <v>XXXX</v>
          </cell>
          <cell r="FW54" t="str">
            <v>XXXX</v>
          </cell>
          <cell r="FX54" t="str">
            <v>XXXX</v>
          </cell>
          <cell r="FY54" t="str">
            <v>XXXX</v>
          </cell>
          <cell r="FZ54" t="str">
            <v>XXXX</v>
          </cell>
          <cell r="GA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  <cell r="FP55">
            <v>2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FP57" t="str">
            <v>XXXX</v>
          </cell>
          <cell r="FQ57" t="str">
            <v>XXXX</v>
          </cell>
          <cell r="FR57" t="str">
            <v>XXXX</v>
          </cell>
          <cell r="FS57" t="str">
            <v>XXXX</v>
          </cell>
          <cell r="FT57" t="str">
            <v>XXXX</v>
          </cell>
          <cell r="FU57" t="str">
            <v>XXXX</v>
          </cell>
          <cell r="FV57" t="str">
            <v>XXXX</v>
          </cell>
          <cell r="FW57" t="str">
            <v>XXXX</v>
          </cell>
          <cell r="FX57" t="str">
            <v>XXXX</v>
          </cell>
          <cell r="FY57" t="str">
            <v>XXXX</v>
          </cell>
          <cell r="FZ57" t="str">
            <v>XXXX</v>
          </cell>
          <cell r="GA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A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FT61">
            <v>1</v>
          </cell>
          <cell r="FU61">
            <v>1</v>
          </cell>
          <cell r="FV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A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FT65">
            <v>1</v>
          </cell>
          <cell r="FV65">
            <v>1</v>
          </cell>
          <cell r="FX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  <cell r="FR68">
            <v>1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A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FX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FR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FX73">
            <v>2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  <cell r="FX74">
            <v>1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FP87" t="str">
            <v>XXXX</v>
          </cell>
          <cell r="FQ87" t="str">
            <v>XXXX</v>
          </cell>
          <cell r="FR87" t="str">
            <v>XXXX</v>
          </cell>
          <cell r="FS87" t="str">
            <v>XXXX</v>
          </cell>
          <cell r="FT87" t="str">
            <v>XXXX</v>
          </cell>
          <cell r="FU87" t="str">
            <v>XXXX</v>
          </cell>
          <cell r="FV87" t="str">
            <v>XXXX</v>
          </cell>
          <cell r="FW87" t="str">
            <v>XXXX</v>
          </cell>
          <cell r="FX87" t="str">
            <v>XXXX</v>
          </cell>
          <cell r="FY87" t="str">
            <v>XXXX</v>
          </cell>
          <cell r="FZ87" t="str">
            <v>XXXX</v>
          </cell>
          <cell r="GA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FP100">
            <v>0.37</v>
          </cell>
          <cell r="FQ100">
            <v>0.38</v>
          </cell>
          <cell r="FR100">
            <v>0.35</v>
          </cell>
          <cell r="FS100">
            <v>0.38</v>
          </cell>
          <cell r="FT100">
            <v>0.37</v>
          </cell>
          <cell r="FU100">
            <v>0.35</v>
          </cell>
          <cell r="FV100">
            <v>0.34</v>
          </cell>
          <cell r="FW100">
            <v>0.36</v>
          </cell>
          <cell r="FX100">
            <v>0.33</v>
          </cell>
          <cell r="FY100">
            <v>0.38</v>
          </cell>
          <cell r="FZ100">
            <v>0.36</v>
          </cell>
          <cell r="GA100">
            <v>0.35</v>
          </cell>
          <cell r="GB100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9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731"/>
      <c r="B1" s="19"/>
      <c r="E1" s="54"/>
      <c r="K1" s="142"/>
    </row>
    <row r="2" spans="2:10" s="18" customFormat="1" ht="26.25">
      <c r="B2" s="19" t="s">
        <v>326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1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2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61</v>
      </c>
      <c r="C7" s="169"/>
      <c r="D7" s="170"/>
      <c r="E7" s="170"/>
      <c r="F7" s="171"/>
      <c r="G7" s="171"/>
      <c r="H7" s="171"/>
      <c r="I7" s="171"/>
      <c r="J7" s="171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60</v>
      </c>
      <c r="C9" s="169"/>
      <c r="D9" s="170"/>
      <c r="E9" s="170"/>
      <c r="F9" s="170"/>
      <c r="G9" s="170"/>
      <c r="H9" s="170"/>
      <c r="I9" s="171"/>
      <c r="J9" s="171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325</v>
      </c>
      <c r="C11" s="172"/>
      <c r="D11" s="173"/>
      <c r="E11" s="173"/>
      <c r="F11" s="170"/>
      <c r="G11" s="170"/>
      <c r="H11" s="170"/>
      <c r="I11" s="171"/>
      <c r="J11" s="171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704"/>
      <c r="C13" s="34"/>
      <c r="D13" s="34"/>
      <c r="E13" s="705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220</v>
      </c>
      <c r="C14" s="38"/>
      <c r="D14" s="39"/>
      <c r="E14" s="706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63"/>
      <c r="E15" s="167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3</v>
      </c>
      <c r="D16" s="163" t="s">
        <v>0</v>
      </c>
      <c r="E16" s="167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63">
        <v>11</v>
      </c>
      <c r="E17" s="164" t="s">
        <v>4</v>
      </c>
      <c r="F17" s="46"/>
      <c r="G17" s="46"/>
      <c r="H17" s="46"/>
      <c r="I17" s="49">
        <f>'LI-08 (1)'!AC40</f>
        <v>577385.26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63" t="s">
        <v>318</v>
      </c>
      <c r="E18" s="164" t="s">
        <v>319</v>
      </c>
      <c r="F18" s="46"/>
      <c r="G18" s="46"/>
      <c r="H18" s="46"/>
      <c r="I18" s="49">
        <f>+Incendio!AC28</f>
        <v>13830.03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50"/>
      <c r="C19" s="51"/>
      <c r="D19" s="163"/>
      <c r="E19" s="707"/>
      <c r="F19" s="52"/>
      <c r="G19" s="52"/>
      <c r="H19" s="52"/>
      <c r="I19" s="53"/>
      <c r="J19" s="6"/>
      <c r="K19" s="43"/>
      <c r="L19" s="4"/>
      <c r="M19" s="4"/>
      <c r="N19" s="4"/>
      <c r="O19" s="4"/>
      <c r="P19" s="4"/>
      <c r="Q19" s="4"/>
      <c r="R19" s="4"/>
      <c r="S19" s="4"/>
    </row>
    <row r="20" spans="2:19" s="36" customFormat="1" ht="19.5">
      <c r="B20" s="44"/>
      <c r="C20" s="48" t="s">
        <v>5</v>
      </c>
      <c r="D20" s="166" t="s">
        <v>6</v>
      </c>
      <c r="E20" s="167"/>
      <c r="F20" s="46"/>
      <c r="G20" s="46"/>
      <c r="H20" s="46"/>
      <c r="I20" s="49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63">
        <v>21</v>
      </c>
      <c r="E21" s="164" t="s">
        <v>7</v>
      </c>
      <c r="F21" s="46"/>
      <c r="G21" s="46"/>
      <c r="H21" s="46"/>
      <c r="I21" s="49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63"/>
      <c r="E22" s="165">
        <v>211</v>
      </c>
      <c r="F22" s="54" t="s">
        <v>4</v>
      </c>
      <c r="G22" s="46"/>
      <c r="H22" s="46"/>
      <c r="I22" s="49">
        <f>'TR-08 (1)'!AA43</f>
        <v>93599.07</v>
      </c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63"/>
      <c r="E23" s="165">
        <v>213</v>
      </c>
      <c r="F23" s="54" t="s">
        <v>65</v>
      </c>
      <c r="G23" s="46"/>
      <c r="H23" s="46"/>
      <c r="I23" s="49">
        <f>'TR-TIBA-08 (1)'!AA41</f>
        <v>493.48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63">
        <v>22</v>
      </c>
      <c r="E24" s="164" t="s">
        <v>8</v>
      </c>
      <c r="F24" s="46"/>
      <c r="G24" s="46"/>
      <c r="H24" s="46"/>
      <c r="I24" s="49"/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63"/>
      <c r="E25" s="165">
        <v>221</v>
      </c>
      <c r="F25" s="54" t="s">
        <v>4</v>
      </c>
      <c r="G25" s="46"/>
      <c r="H25" s="46"/>
      <c r="I25" s="49">
        <f>'SA-08 (2)'!T45</f>
        <v>41178.93</v>
      </c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63"/>
      <c r="E26" s="165">
        <v>222</v>
      </c>
      <c r="F26" s="54" t="s">
        <v>65</v>
      </c>
      <c r="G26" s="46"/>
      <c r="H26" s="46"/>
      <c r="I26" s="49">
        <f>'SA-TIBA-08 (1)'!T43</f>
        <v>6092.6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ht="12.75" customHeight="1">
      <c r="B27" s="50"/>
      <c r="C27" s="51"/>
      <c r="D27" s="163"/>
      <c r="E27" s="707"/>
      <c r="F27" s="52"/>
      <c r="G27" s="52"/>
      <c r="H27" s="52"/>
      <c r="I27" s="53"/>
      <c r="J27" s="6"/>
      <c r="K27" s="43"/>
      <c r="L27" s="4"/>
      <c r="M27" s="4"/>
      <c r="N27" s="4"/>
      <c r="O27" s="4"/>
      <c r="P27" s="4"/>
      <c r="Q27" s="4"/>
      <c r="R27" s="4"/>
      <c r="S27" s="4"/>
    </row>
    <row r="28" spans="2:19" s="36" customFormat="1" ht="19.5">
      <c r="B28" s="44"/>
      <c r="C28" s="48" t="s">
        <v>9</v>
      </c>
      <c r="D28" s="166" t="s">
        <v>62</v>
      </c>
      <c r="E28" s="167"/>
      <c r="F28" s="46"/>
      <c r="G28" s="46"/>
      <c r="H28" s="46"/>
      <c r="I28" s="49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s="36" customFormat="1" ht="19.5">
      <c r="B29" s="44"/>
      <c r="C29" s="48"/>
      <c r="D29" s="163">
        <v>31</v>
      </c>
      <c r="E29" s="164" t="s">
        <v>4</v>
      </c>
      <c r="F29" s="46"/>
      <c r="G29" s="46"/>
      <c r="H29" s="46"/>
      <c r="I29" s="49">
        <f>'RE-08 (1)'!X42</f>
        <v>115769.22</v>
      </c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s="36" customFormat="1" ht="12.75" customHeight="1">
      <c r="B30" s="44"/>
      <c r="C30" s="48"/>
      <c r="D30" s="163"/>
      <c r="E30" s="164"/>
      <c r="F30" s="46"/>
      <c r="G30" s="46"/>
      <c r="H30" s="46"/>
      <c r="I30" s="49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 t="s">
        <v>63</v>
      </c>
      <c r="D31" s="166" t="s">
        <v>64</v>
      </c>
      <c r="E31" s="167"/>
      <c r="F31" s="46"/>
      <c r="G31" s="46"/>
      <c r="H31" s="46"/>
      <c r="I31" s="49"/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63">
        <v>43</v>
      </c>
      <c r="E32" s="164" t="s">
        <v>65</v>
      </c>
      <c r="F32" s="46"/>
      <c r="G32" s="46"/>
      <c r="H32" s="46"/>
      <c r="I32" s="49">
        <f>'SUP-TIBA'!J70</f>
        <v>1639.1994689274868</v>
      </c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1.25" customHeight="1">
      <c r="B33" s="44"/>
      <c r="C33" s="48"/>
      <c r="D33" s="163"/>
      <c r="E33" s="164"/>
      <c r="F33" s="46"/>
      <c r="G33" s="46"/>
      <c r="H33" s="755"/>
      <c r="I33" s="49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20.25" thickBot="1">
      <c r="B34" s="44"/>
      <c r="C34" s="45"/>
      <c r="D34" s="163"/>
      <c r="E34" s="167"/>
      <c r="F34" s="46"/>
      <c r="G34" s="46"/>
      <c r="H34" s="46"/>
      <c r="I34" s="43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20.25" thickBot="1" thickTop="1">
      <c r="B35" s="44"/>
      <c r="C35" s="48"/>
      <c r="D35" s="48"/>
      <c r="F35" s="55" t="s">
        <v>10</v>
      </c>
      <c r="G35" s="56">
        <f>SUM(I16:I33)</f>
        <v>849987.7894689275</v>
      </c>
      <c r="H35" s="124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9.75" customHeight="1" thickTop="1">
      <c r="B36" s="44"/>
      <c r="C36" s="48"/>
      <c r="D36" s="48"/>
      <c r="F36" s="162"/>
      <c r="G36" s="124"/>
      <c r="H36" s="124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8.75">
      <c r="B37" s="44"/>
      <c r="C37" s="168" t="s">
        <v>314</v>
      </c>
      <c r="D37" s="48"/>
      <c r="F37" s="162"/>
      <c r="G37" s="124"/>
      <c r="H37" s="124"/>
      <c r="I37" s="756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2" customFormat="1" ht="10.5" customHeight="1" thickBot="1">
      <c r="B38" s="57"/>
      <c r="C38" s="58"/>
      <c r="D38" s="58"/>
      <c r="E38" s="59"/>
      <c r="F38" s="59"/>
      <c r="G38" s="59"/>
      <c r="H38" s="59"/>
      <c r="I38" s="59"/>
      <c r="J38" s="60"/>
      <c r="K38" s="33"/>
      <c r="L38" s="33"/>
      <c r="M38" s="61"/>
      <c r="N38" s="62"/>
      <c r="O38" s="62"/>
      <c r="P38" s="63"/>
      <c r="Q38" s="64"/>
      <c r="R38" s="33"/>
      <c r="S38" s="33"/>
    </row>
    <row r="39" spans="4:19" ht="13.5" thickTop="1">
      <c r="D39" s="4"/>
      <c r="F39" s="4"/>
      <c r="G39" s="4"/>
      <c r="H39" s="4"/>
      <c r="I39" s="4"/>
      <c r="J39" s="4"/>
      <c r="K39" s="4"/>
      <c r="L39" s="4"/>
      <c r="M39" s="15"/>
      <c r="N39" s="65"/>
      <c r="O39" s="65"/>
      <c r="P39" s="4"/>
      <c r="Q39" s="66"/>
      <c r="R39" s="4"/>
      <c r="S39" s="4"/>
    </row>
    <row r="40" spans="4:19" ht="12.75">
      <c r="D40" s="4"/>
      <c r="F40" s="4"/>
      <c r="G40" s="4"/>
      <c r="H40" s="4"/>
      <c r="I40" s="4"/>
      <c r="J40" s="4"/>
      <c r="K40" s="4"/>
      <c r="L40" s="4"/>
      <c r="M40" s="4"/>
      <c r="N40" s="67"/>
      <c r="O40" s="67"/>
      <c r="P40" s="68"/>
      <c r="Q40" s="66"/>
      <c r="R40" s="4"/>
      <c r="S40" s="4"/>
    </row>
    <row r="41" spans="4:19" ht="12.75">
      <c r="D41" s="4"/>
      <c r="E41" s="4"/>
      <c r="F41" s="4"/>
      <c r="G41" s="4"/>
      <c r="H41" s="4"/>
      <c r="I41" s="4"/>
      <c r="J41" s="4"/>
      <c r="K41" s="4"/>
      <c r="L41" s="4"/>
      <c r="M41" s="4"/>
      <c r="N41" s="67"/>
      <c r="O41" s="67"/>
      <c r="P41" s="68"/>
      <c r="Q41" s="66"/>
      <c r="R41" s="4"/>
      <c r="S41" s="4"/>
    </row>
    <row r="42" spans="4:19" ht="12.75">
      <c r="D42" s="4"/>
      <c r="E42" s="4"/>
      <c r="L42" s="4"/>
      <c r="M42" s="4"/>
      <c r="N42" s="4"/>
      <c r="O42" s="4"/>
      <c r="P42" s="4"/>
      <c r="Q42" s="4"/>
      <c r="R42" s="4"/>
      <c r="S42" s="4"/>
    </row>
    <row r="43" spans="4:19" ht="12.75">
      <c r="D43" s="4"/>
      <c r="E43" s="4"/>
      <c r="P43" s="4"/>
      <c r="Q43" s="4"/>
      <c r="R43" s="4"/>
      <c r="S43" s="4"/>
    </row>
    <row r="44" spans="4:19" ht="12.75">
      <c r="D44" s="4"/>
      <c r="E44" s="4"/>
      <c r="P44" s="4"/>
      <c r="Q44" s="4"/>
      <c r="R44" s="4"/>
      <c r="S44" s="4"/>
    </row>
    <row r="45" spans="4:19" ht="12.75">
      <c r="D45" s="4"/>
      <c r="E45" s="4"/>
      <c r="P45" s="4"/>
      <c r="Q45" s="4"/>
      <c r="R45" s="4"/>
      <c r="S45" s="4"/>
    </row>
    <row r="46" spans="4:19" ht="12.75">
      <c r="D46" s="4"/>
      <c r="E46" s="4"/>
      <c r="P46" s="4"/>
      <c r="Q46" s="4"/>
      <c r="R46" s="4"/>
      <c r="S46" s="4"/>
    </row>
    <row r="47" spans="4:19" ht="12.75">
      <c r="D47" s="4"/>
      <c r="E47" s="4"/>
      <c r="P47" s="4"/>
      <c r="Q47" s="4"/>
      <c r="R47" s="4"/>
      <c r="S47" s="4"/>
    </row>
    <row r="48" spans="16:19" ht="12.75">
      <c r="P48" s="4"/>
      <c r="Q48" s="4"/>
      <c r="R48" s="4"/>
      <c r="S48" s="4"/>
    </row>
    <row r="49" spans="16:19" ht="12.75">
      <c r="P49" s="4"/>
      <c r="Q49" s="4"/>
      <c r="R49" s="4"/>
      <c r="S49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78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2"/>
  <sheetViews>
    <sheetView zoomScale="50" zoomScaleNormal="50" workbookViewId="0" topLeftCell="B1">
      <selection activeCell="G64" sqref="G64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6.421875" style="0" hidden="1" customWidth="1"/>
    <col min="9" max="9" width="18.7109375" style="0" customWidth="1"/>
    <col min="10" max="10" width="21.574218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8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2"/>
      <c r="AD1" s="613"/>
    </row>
    <row r="2" spans="1:23" ht="27" customHeight="1">
      <c r="A2" s="8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88" customFormat="1" ht="30.75">
      <c r="A3" s="485"/>
      <c r="B3" s="486" t="str">
        <f>+'TOT-0808'!B2</f>
        <v>ANEXO III al Memorándum D.T.E.E. N°  366 / 2010            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AB3" s="487"/>
      <c r="AC3" s="487"/>
      <c r="AD3" s="487"/>
    </row>
    <row r="4" spans="1:2" s="25" customFormat="1" ht="11.25">
      <c r="A4" s="608" t="s">
        <v>1</v>
      </c>
      <c r="B4" s="609"/>
    </row>
    <row r="5" spans="1:2" s="25" customFormat="1" ht="12" thickBot="1">
      <c r="A5" s="608" t="s">
        <v>2</v>
      </c>
      <c r="B5" s="608"/>
    </row>
    <row r="6" spans="1:23" ht="16.5" customHeight="1" thickTop="1">
      <c r="A6" s="5"/>
      <c r="B6" s="69"/>
      <c r="C6" s="70"/>
      <c r="D6" s="70"/>
      <c r="E6" s="193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2"/>
    </row>
    <row r="7" spans="1:23" ht="20.25">
      <c r="A7" s="5"/>
      <c r="B7" s="50"/>
      <c r="C7" s="4"/>
      <c r="D7" s="174" t="s">
        <v>85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4" t="s">
        <v>86</v>
      </c>
      <c r="E9" s="43"/>
      <c r="F9" s="43"/>
      <c r="G9" s="43"/>
      <c r="H9" s="43"/>
      <c r="N9" s="43"/>
      <c r="O9" s="43"/>
      <c r="P9" s="194"/>
      <c r="Q9" s="194"/>
      <c r="R9" s="43"/>
      <c r="S9" s="43"/>
      <c r="T9" s="43"/>
      <c r="U9" s="43"/>
      <c r="V9" s="43"/>
      <c r="W9" s="195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4" t="s">
        <v>212</v>
      </c>
      <c r="E11" s="43"/>
      <c r="F11" s="43"/>
      <c r="G11" s="43"/>
      <c r="H11" s="43"/>
      <c r="N11" s="43"/>
      <c r="O11" s="43"/>
      <c r="P11" s="194"/>
      <c r="Q11" s="194"/>
      <c r="R11" s="43"/>
      <c r="S11" s="43"/>
      <c r="T11" s="43"/>
      <c r="U11" s="43"/>
      <c r="V11" s="43"/>
      <c r="W11" s="195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'TOT-0808'!B14</f>
        <v>Desde el 01 al 31 de agosto de 2008</v>
      </c>
      <c r="C13" s="38"/>
      <c r="D13" s="40"/>
      <c r="E13" s="40"/>
      <c r="F13" s="40"/>
      <c r="G13" s="40"/>
      <c r="H13" s="40"/>
      <c r="I13" s="41"/>
      <c r="J13" s="172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5"/>
      <c r="V13" s="125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48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38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38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62" t="s">
        <v>87</v>
      </c>
      <c r="D17" s="54" t="s">
        <v>88</v>
      </c>
      <c r="E17" s="66"/>
      <c r="F17" s="66"/>
      <c r="G17" s="4"/>
      <c r="H17" s="4"/>
      <c r="I17" s="4"/>
      <c r="J17" s="48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490"/>
      <c r="C18" s="33"/>
      <c r="D18" s="491"/>
      <c r="E18" s="497" t="s">
        <v>216</v>
      </c>
      <c r="F18" s="580">
        <v>500180</v>
      </c>
      <c r="G18" s="582" t="str">
        <f>"(DTE "&amp;DATO!$G$14&amp;DATO!$H$14&amp;")"</f>
        <v>(DTE 0808)</v>
      </c>
      <c r="H18" s="33"/>
      <c r="I18" s="33"/>
      <c r="J18" s="493"/>
      <c r="K18" s="33"/>
      <c r="L18" s="33"/>
      <c r="M18" s="33"/>
      <c r="N18" s="614" t="s">
        <v>35</v>
      </c>
      <c r="P18" s="33"/>
      <c r="Q18" s="33"/>
      <c r="R18" s="33"/>
      <c r="S18" s="33"/>
      <c r="T18" s="33"/>
      <c r="U18" s="33"/>
      <c r="V18" s="33"/>
      <c r="W18" s="494"/>
    </row>
    <row r="19" spans="2:23" s="32" customFormat="1" ht="16.5" customHeight="1">
      <c r="B19" s="490"/>
      <c r="C19" s="33"/>
      <c r="D19" s="797"/>
      <c r="E19" s="497" t="s">
        <v>38</v>
      </c>
      <c r="F19" s="498">
        <v>0.025</v>
      </c>
      <c r="G19" s="495"/>
      <c r="H19" s="33"/>
      <c r="I19" s="199"/>
      <c r="J19" s="200"/>
      <c r="K19" s="615" t="s">
        <v>102</v>
      </c>
      <c r="L19" s="616"/>
      <c r="M19" s="617">
        <v>63.904</v>
      </c>
      <c r="N19" s="618">
        <v>200</v>
      </c>
      <c r="R19" s="33"/>
      <c r="S19" s="33"/>
      <c r="T19" s="33"/>
      <c r="U19" s="33"/>
      <c r="V19" s="33"/>
      <c r="W19" s="494"/>
    </row>
    <row r="20" spans="2:23" s="32" customFormat="1" ht="16.5" customHeight="1">
      <c r="B20" s="490"/>
      <c r="C20" s="33"/>
      <c r="D20" s="797"/>
      <c r="E20" s="491" t="s">
        <v>36</v>
      </c>
      <c r="F20" s="33">
        <f>MID(B13,16,2)*24</f>
        <v>744</v>
      </c>
      <c r="G20" s="33" t="s">
        <v>37</v>
      </c>
      <c r="H20" s="33"/>
      <c r="I20" s="33"/>
      <c r="J20" s="33"/>
      <c r="K20" s="619" t="s">
        <v>78</v>
      </c>
      <c r="L20" s="620"/>
      <c r="M20" s="621">
        <v>57.511</v>
      </c>
      <c r="N20" s="622">
        <v>100</v>
      </c>
      <c r="O20" s="33"/>
      <c r="P20" s="610"/>
      <c r="Q20" s="33"/>
      <c r="R20" s="33"/>
      <c r="S20" s="33"/>
      <c r="T20" s="33"/>
      <c r="U20" s="33"/>
      <c r="V20" s="33"/>
      <c r="W20" s="494"/>
    </row>
    <row r="21" spans="2:23" s="32" customFormat="1" ht="16.5" customHeight="1" thickBot="1">
      <c r="B21" s="490"/>
      <c r="C21" s="33"/>
      <c r="D21" s="797"/>
      <c r="E21" s="491" t="s">
        <v>39</v>
      </c>
      <c r="F21" s="33">
        <v>0.319</v>
      </c>
      <c r="G21" s="32" t="s">
        <v>98</v>
      </c>
      <c r="H21" s="33"/>
      <c r="I21" s="33"/>
      <c r="J21" s="33"/>
      <c r="K21" s="623" t="s">
        <v>103</v>
      </c>
      <c r="L21" s="624"/>
      <c r="M21" s="625">
        <v>51.126</v>
      </c>
      <c r="N21" s="626">
        <v>40</v>
      </c>
      <c r="O21" s="33"/>
      <c r="P21" s="610"/>
      <c r="Q21" s="33"/>
      <c r="R21" s="33"/>
      <c r="S21" s="33"/>
      <c r="T21" s="33"/>
      <c r="U21" s="33"/>
      <c r="V21" s="33"/>
      <c r="W21" s="494"/>
    </row>
    <row r="22" spans="2:23" s="32" customFormat="1" ht="16.5" customHeight="1">
      <c r="B22" s="490"/>
      <c r="C22" s="33"/>
      <c r="D22" s="33"/>
      <c r="E22" s="499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494"/>
    </row>
    <row r="23" spans="1:23" ht="16.5" customHeight="1">
      <c r="A23" s="5"/>
      <c r="B23" s="50"/>
      <c r="C23" s="162" t="s">
        <v>89</v>
      </c>
      <c r="D23" s="3" t="s">
        <v>113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490"/>
      <c r="C25" s="492"/>
      <c r="D25"/>
      <c r="E25"/>
      <c r="F25"/>
      <c r="G25"/>
      <c r="H25"/>
      <c r="I25" s="500" t="s">
        <v>43</v>
      </c>
      <c r="J25" s="627">
        <f>+F18*F19</f>
        <v>12504.5</v>
      </c>
      <c r="L25"/>
      <c r="S25"/>
      <c r="T25"/>
      <c r="U25"/>
      <c r="W25" s="494"/>
    </row>
    <row r="26" spans="2:23" s="32" customFormat="1" ht="11.25" customHeight="1" thickTop="1">
      <c r="B26" s="490"/>
      <c r="C26" s="492"/>
      <c r="D26" s="33"/>
      <c r="E26" s="499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494"/>
    </row>
    <row r="27" spans="1:23" ht="16.5" customHeight="1">
      <c r="A27" s="5"/>
      <c r="B27" s="50"/>
      <c r="C27" s="162" t="s">
        <v>90</v>
      </c>
      <c r="D27" s="3" t="s">
        <v>114</v>
      </c>
      <c r="E27" s="20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492"/>
      <c r="D28" s="492"/>
      <c r="E28" s="502"/>
      <c r="F28" s="499"/>
      <c r="G28" s="503"/>
      <c r="H28" s="503"/>
      <c r="I28" s="504"/>
      <c r="J28" s="504"/>
      <c r="K28" s="504"/>
      <c r="L28" s="504"/>
      <c r="M28" s="504"/>
      <c r="N28" s="504"/>
      <c r="O28" s="505"/>
      <c r="P28" s="504"/>
      <c r="Q28" s="504"/>
      <c r="R28" s="628"/>
      <c r="S28" s="629"/>
      <c r="T28" s="630"/>
      <c r="U28" s="630"/>
      <c r="V28" s="630"/>
      <c r="W28" s="223"/>
    </row>
    <row r="29" spans="1:26" s="5" customFormat="1" ht="33.75" customHeight="1" thickBot="1" thickTop="1">
      <c r="A29" s="88"/>
      <c r="B29" s="93"/>
      <c r="C29" s="122" t="s">
        <v>12</v>
      </c>
      <c r="D29" s="118" t="s">
        <v>25</v>
      </c>
      <c r="E29" s="117" t="s">
        <v>26</v>
      </c>
      <c r="F29" s="119" t="s">
        <v>27</v>
      </c>
      <c r="G29" s="120" t="s">
        <v>13</v>
      </c>
      <c r="H29" s="128" t="s">
        <v>15</v>
      </c>
      <c r="I29" s="117" t="s">
        <v>16</v>
      </c>
      <c r="J29" s="117" t="s">
        <v>17</v>
      </c>
      <c r="K29" s="118" t="s">
        <v>28</v>
      </c>
      <c r="L29" s="118" t="s">
        <v>29</v>
      </c>
      <c r="M29" s="87" t="s">
        <v>91</v>
      </c>
      <c r="N29" s="117" t="s">
        <v>30</v>
      </c>
      <c r="O29" s="508" t="s">
        <v>31</v>
      </c>
      <c r="P29" s="128" t="s">
        <v>32</v>
      </c>
      <c r="Q29" s="509" t="s">
        <v>19</v>
      </c>
      <c r="R29" s="510" t="s">
        <v>92</v>
      </c>
      <c r="S29" s="511"/>
      <c r="T29" s="512" t="s">
        <v>21</v>
      </c>
      <c r="U29" s="131" t="s">
        <v>70</v>
      </c>
      <c r="V29" s="120" t="s">
        <v>22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513"/>
      <c r="H30" s="514"/>
      <c r="I30" s="10"/>
      <c r="J30" s="10"/>
      <c r="K30" s="10"/>
      <c r="L30" s="10"/>
      <c r="M30" s="10"/>
      <c r="N30" s="515"/>
      <c r="O30" s="631"/>
      <c r="P30" s="132"/>
      <c r="Q30" s="516"/>
      <c r="R30" s="517"/>
      <c r="S30" s="518"/>
      <c r="T30" s="519"/>
      <c r="U30" s="515"/>
      <c r="V30" s="520"/>
      <c r="W30" s="17"/>
    </row>
    <row r="31" spans="1:23" ht="16.5" customHeight="1">
      <c r="A31" s="5"/>
      <c r="B31" s="50"/>
      <c r="C31" s="742" t="s">
        <v>185</v>
      </c>
      <c r="D31" s="147" t="s">
        <v>300</v>
      </c>
      <c r="E31" s="284" t="s">
        <v>301</v>
      </c>
      <c r="F31" s="523">
        <v>300</v>
      </c>
      <c r="G31" s="803" t="s">
        <v>242</v>
      </c>
      <c r="H31" s="525">
        <f>F31*$F$21</f>
        <v>95.7</v>
      </c>
      <c r="I31" s="154">
        <v>39678.410416666666</v>
      </c>
      <c r="J31" s="154">
        <v>39678.700694444444</v>
      </c>
      <c r="K31" s="288">
        <f>IF(D31="","",(J31-I31)*24)</f>
        <v>6.966666666674428</v>
      </c>
      <c r="L31" s="14">
        <f>IF(D31="","",(J31-I31)*24*60)</f>
        <v>418.00000000046566</v>
      </c>
      <c r="M31" s="13" t="s">
        <v>200</v>
      </c>
      <c r="N31" s="8" t="str">
        <f>IF(D31="","",IF(OR(M31="P",M31="RP"),"--","NO"))</f>
        <v>--</v>
      </c>
      <c r="O31" s="632" t="str">
        <f>IF(D31="","","NO")</f>
        <v>NO</v>
      </c>
      <c r="P31" s="527">
        <f>200*IF(O31="SI",1,0.1)*IF(M31="P",0.1,1)</f>
        <v>2</v>
      </c>
      <c r="Q31" s="528">
        <f>IF(M31="P",H31*P31*ROUND(L31/60,2),"--")</f>
        <v>1334.058</v>
      </c>
      <c r="R31" s="529" t="str">
        <f>IF(AND(M31="F",N31="NO"),H31*P31,"--")</f>
        <v>--</v>
      </c>
      <c r="S31" s="530" t="str">
        <f>IF(M31="F",H31*P31*ROUND(L31/60,2),"--")</f>
        <v>--</v>
      </c>
      <c r="T31" s="388" t="str">
        <f>IF(M31="RF",H31*P31*ROUND(L31/60,2),"--")</f>
        <v>--</v>
      </c>
      <c r="U31" s="298" t="str">
        <f>IF(D31="","","SI")</f>
        <v>SI</v>
      </c>
      <c r="V31" s="299">
        <f>IF(D31="","",SUM(Q31:T31)*IF(U31="SI",1,2))</f>
        <v>1334.058</v>
      </c>
      <c r="W31" s="223"/>
    </row>
    <row r="32" spans="1:23" ht="16.5" customHeight="1">
      <c r="A32" s="5"/>
      <c r="B32" s="50"/>
      <c r="C32" s="742" t="s">
        <v>186</v>
      </c>
      <c r="D32" s="521"/>
      <c r="E32" s="522"/>
      <c r="F32" s="523"/>
      <c r="G32" s="524"/>
      <c r="H32" s="525">
        <f>F32*$F$21</f>
        <v>0</v>
      </c>
      <c r="I32" s="526"/>
      <c r="J32" s="526"/>
      <c r="K32" s="288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632">
        <f>IF(D32="","","NO")</f>
      </c>
      <c r="P32" s="527">
        <f>200*IF(O32="SI",1,0.1)*IF(M32="P",0.1,1)</f>
        <v>20</v>
      </c>
      <c r="Q32" s="528" t="str">
        <f>IF(M32="P",H32*P32*ROUND(L32/60,2),"--")</f>
        <v>--</v>
      </c>
      <c r="R32" s="529" t="str">
        <f>IF(AND(M32="F",N32="NO"),H32*P32,"--")</f>
        <v>--</v>
      </c>
      <c r="S32" s="530" t="str">
        <f>IF(M32="F",H32*P32*ROUND(L32/60,2),"--")</f>
        <v>--</v>
      </c>
      <c r="T32" s="388" t="str">
        <f>IF(M32="RF",H32*P32*ROUND(L32/60,2),"--")</f>
        <v>--</v>
      </c>
      <c r="U32" s="298">
        <f>IF(D32="","","SI")</f>
      </c>
      <c r="V32" s="299">
        <f>IF(D32="","",SUM(Q32:T32)*IF(U32="SI",1,2))</f>
      </c>
      <c r="W32" s="223"/>
    </row>
    <row r="33" spans="1:23" ht="16.5" customHeight="1" thickBot="1">
      <c r="A33" s="32"/>
      <c r="B33" s="50"/>
      <c r="C33" s="531"/>
      <c r="D33" s="532"/>
      <c r="E33" s="533"/>
      <c r="F33" s="534"/>
      <c r="G33" s="535"/>
      <c r="H33" s="536"/>
      <c r="I33" s="537"/>
      <c r="J33" s="538"/>
      <c r="K33" s="539"/>
      <c r="L33" s="540"/>
      <c r="M33" s="541"/>
      <c r="N33" s="9"/>
      <c r="O33" s="633"/>
      <c r="P33" s="542"/>
      <c r="Q33" s="543"/>
      <c r="R33" s="544"/>
      <c r="S33" s="545"/>
      <c r="T33" s="546"/>
      <c r="U33" s="547"/>
      <c r="V33" s="548"/>
      <c r="W33" s="223"/>
    </row>
    <row r="34" spans="1:23" ht="16.5" customHeight="1" thickBot="1" thickTop="1">
      <c r="A34" s="32"/>
      <c r="B34" s="50"/>
      <c r="C34" s="96"/>
      <c r="D34" s="201"/>
      <c r="E34" s="201"/>
      <c r="F34" s="425"/>
      <c r="G34" s="549"/>
      <c r="H34" s="550"/>
      <c r="I34" s="551"/>
      <c r="J34" s="552"/>
      <c r="K34" s="553"/>
      <c r="L34" s="554"/>
      <c r="M34" s="550"/>
      <c r="N34" s="555"/>
      <c r="O34" s="190"/>
      <c r="P34" s="556"/>
      <c r="Q34" s="557"/>
      <c r="R34" s="558"/>
      <c r="S34" s="558"/>
      <c r="T34" s="558"/>
      <c r="U34" s="191"/>
      <c r="V34" s="559">
        <f>SUM(V30:V33)</f>
        <v>1334.058</v>
      </c>
      <c r="W34" s="223"/>
    </row>
    <row r="35" spans="1:23" ht="16.5" customHeight="1" thickBot="1" thickTop="1">
      <c r="A35" s="32"/>
      <c r="B35" s="50"/>
      <c r="C35" s="96"/>
      <c r="D35" s="201"/>
      <c r="E35" s="201"/>
      <c r="F35" s="425"/>
      <c r="G35" s="549"/>
      <c r="H35" s="550"/>
      <c r="I35" s="551"/>
      <c r="L35" s="554"/>
      <c r="M35" s="550"/>
      <c r="N35" s="560"/>
      <c r="O35" s="561"/>
      <c r="P35" s="556"/>
      <c r="Q35" s="557"/>
      <c r="R35" s="558"/>
      <c r="S35" s="558"/>
      <c r="T35" s="558"/>
      <c r="U35" s="191"/>
      <c r="V35" s="191"/>
      <c r="W35" s="223"/>
    </row>
    <row r="36" spans="2:23" s="5" customFormat="1" ht="33.75" customHeight="1" thickBot="1" thickTop="1">
      <c r="B36" s="50"/>
      <c r="C36" s="84" t="s">
        <v>12</v>
      </c>
      <c r="D36" s="86" t="s">
        <v>25</v>
      </c>
      <c r="E36" s="891" t="s">
        <v>26</v>
      </c>
      <c r="F36" s="893"/>
      <c r="G36" s="131" t="s">
        <v>13</v>
      </c>
      <c r="H36" s="128" t="s">
        <v>15</v>
      </c>
      <c r="I36" s="85" t="s">
        <v>16</v>
      </c>
      <c r="J36" s="371" t="s">
        <v>17</v>
      </c>
      <c r="K36" s="373" t="s">
        <v>34</v>
      </c>
      <c r="L36" s="373" t="s">
        <v>29</v>
      </c>
      <c r="M36" s="87" t="s">
        <v>18</v>
      </c>
      <c r="N36" s="891" t="s">
        <v>30</v>
      </c>
      <c r="O36" s="892"/>
      <c r="P36" s="134" t="s">
        <v>35</v>
      </c>
      <c r="Q36" s="374" t="s">
        <v>67</v>
      </c>
      <c r="R36" s="178" t="s">
        <v>33</v>
      </c>
      <c r="S36" s="375"/>
      <c r="T36" s="133" t="s">
        <v>21</v>
      </c>
      <c r="U36" s="131" t="s">
        <v>70</v>
      </c>
      <c r="V36" s="120" t="s">
        <v>22</v>
      </c>
      <c r="W36" s="6"/>
    </row>
    <row r="37" spans="2:23" s="5" customFormat="1" ht="16.5" customHeight="1" thickTop="1">
      <c r="B37" s="50"/>
      <c r="C37" s="7"/>
      <c r="D37" s="383"/>
      <c r="E37" s="894"/>
      <c r="F37" s="895"/>
      <c r="G37" s="383"/>
      <c r="H37" s="384"/>
      <c r="I37" s="383"/>
      <c r="J37" s="383"/>
      <c r="K37" s="383"/>
      <c r="L37" s="383"/>
      <c r="M37" s="383"/>
      <c r="N37" s="383"/>
      <c r="O37" s="634"/>
      <c r="P37" s="385"/>
      <c r="Q37" s="386"/>
      <c r="R37" s="188"/>
      <c r="S37" s="387"/>
      <c r="T37" s="388"/>
      <c r="U37" s="383"/>
      <c r="V37" s="389"/>
      <c r="W37" s="6"/>
    </row>
    <row r="38" spans="2:23" s="5" customFormat="1" ht="16.5" customHeight="1">
      <c r="B38" s="50"/>
      <c r="C38" s="742" t="s">
        <v>185</v>
      </c>
      <c r="D38" s="383" t="s">
        <v>291</v>
      </c>
      <c r="E38" s="894" t="s">
        <v>292</v>
      </c>
      <c r="F38" s="895"/>
      <c r="G38" s="635">
        <v>132</v>
      </c>
      <c r="H38" s="129">
        <f>IF(G38=500,$M$19,IF(G38=220,$M$20,$M$21))</f>
        <v>51.126</v>
      </c>
      <c r="I38" s="636">
        <v>39661.34722222222</v>
      </c>
      <c r="J38" s="637">
        <v>39661.64513888889</v>
      </c>
      <c r="K38" s="393">
        <f>IF(D38="","",(J38-I38)*24)</f>
        <v>7.150000000081491</v>
      </c>
      <c r="L38" s="394">
        <f>IF(D38="","",ROUND((J38-I38)*24*60,0))</f>
        <v>429</v>
      </c>
      <c r="M38" s="501" t="s">
        <v>200</v>
      </c>
      <c r="N38" s="483" t="str">
        <f>IF(D38="","",IF(OR(M38="P",M38="RP"),"--","NO"))</f>
        <v>--</v>
      </c>
      <c r="O38" s="454"/>
      <c r="P38" s="638">
        <f>IF(G38=500,$N$19,IF(G38=220,$N$20,$N$21))</f>
        <v>40</v>
      </c>
      <c r="Q38" s="639">
        <f>IF(M38="P",H38*P38*ROUND(L38/60,2)*0.1,"--")</f>
        <v>1462.2036</v>
      </c>
      <c r="R38" s="188" t="str">
        <f>IF(AND(M38="F",N38="NO"),H38*P38,"--")</f>
        <v>--</v>
      </c>
      <c r="S38" s="387" t="str">
        <f>IF(M38="F",H38*P38*ROUND(L38/60,2),"--")</f>
        <v>--</v>
      </c>
      <c r="T38" s="388" t="str">
        <f>IF(M38="RF",H38*P38*ROUND(L38/60,2),"--")</f>
        <v>--</v>
      </c>
      <c r="U38" s="640" t="str">
        <f>IF(D38="","","SI")</f>
        <v>SI</v>
      </c>
      <c r="V38" s="399">
        <f>IF(D38="","",SUM(Q38:T38)*IF(U38="SI",1,2))</f>
        <v>1462.2036</v>
      </c>
      <c r="W38" s="6"/>
    </row>
    <row r="39" spans="2:23" s="5" customFormat="1" ht="16.5" customHeight="1">
      <c r="B39" s="50"/>
      <c r="C39" s="742" t="s">
        <v>186</v>
      </c>
      <c r="D39" s="383" t="s">
        <v>293</v>
      </c>
      <c r="E39" s="894" t="s">
        <v>294</v>
      </c>
      <c r="F39" s="895"/>
      <c r="G39" s="635">
        <v>132</v>
      </c>
      <c r="H39" s="129">
        <f aca="true" t="shared" si="0" ref="H39:H45">IF(G39=500,$M$19,IF(G39=220,$M$20,$M$21))</f>
        <v>51.126</v>
      </c>
      <c r="I39" s="636">
        <v>39663.49236111111</v>
      </c>
      <c r="J39" s="637">
        <v>39663.81319444445</v>
      </c>
      <c r="K39" s="393">
        <f aca="true" t="shared" si="1" ref="K39:K45">IF(D39="","",(J39-I39)*24)</f>
        <v>7.700000000128057</v>
      </c>
      <c r="L39" s="394">
        <f aca="true" t="shared" si="2" ref="L39:L45">IF(D39="","",ROUND((J39-I39)*24*60,0))</f>
        <v>462</v>
      </c>
      <c r="M39" s="501" t="s">
        <v>200</v>
      </c>
      <c r="N39" s="483" t="str">
        <f aca="true" t="shared" si="3" ref="N39:N45">IF(D39="","",IF(OR(M39="P",M39="RP"),"--","NO"))</f>
        <v>--</v>
      </c>
      <c r="O39" s="454"/>
      <c r="P39" s="638">
        <f aca="true" t="shared" si="4" ref="P39:P45">IF(G39=500,$N$19,IF(G39=220,$N$20,$N$21))</f>
        <v>40</v>
      </c>
      <c r="Q39" s="639">
        <f aca="true" t="shared" si="5" ref="Q39:Q45">IF(M39="P",H39*P39*ROUND(L39/60,2)*0.1,"--")</f>
        <v>1574.6808</v>
      </c>
      <c r="R39" s="188" t="str">
        <f aca="true" t="shared" si="6" ref="R39:R45">IF(AND(M39="F",N39="NO"),H39*P39,"--")</f>
        <v>--</v>
      </c>
      <c r="S39" s="387" t="str">
        <f aca="true" t="shared" si="7" ref="S39:S45">IF(M39="F",H39*P39*ROUND(L39/60,2),"--")</f>
        <v>--</v>
      </c>
      <c r="T39" s="388" t="str">
        <f aca="true" t="shared" si="8" ref="T39:T45">IF(M39="RF",H39*P39*ROUND(L39/60,2),"--")</f>
        <v>--</v>
      </c>
      <c r="U39" s="640" t="str">
        <f aca="true" t="shared" si="9" ref="U39:U45">IF(D39="","","SI")</f>
        <v>SI</v>
      </c>
      <c r="V39" s="399">
        <f aca="true" t="shared" si="10" ref="V39:V45">IF(D39="","",SUM(Q39:T39)*IF(U39="SI",1,2))</f>
        <v>1574.6808</v>
      </c>
      <c r="W39" s="6"/>
    </row>
    <row r="40" spans="2:23" s="5" customFormat="1" ht="16.5" customHeight="1">
      <c r="B40" s="50"/>
      <c r="C40" s="742" t="s">
        <v>187</v>
      </c>
      <c r="D40" s="383" t="s">
        <v>293</v>
      </c>
      <c r="E40" s="894" t="s">
        <v>294</v>
      </c>
      <c r="F40" s="895"/>
      <c r="G40" s="635">
        <v>132</v>
      </c>
      <c r="H40" s="129">
        <f t="shared" si="0"/>
        <v>51.126</v>
      </c>
      <c r="I40" s="636">
        <v>39665.271527777775</v>
      </c>
      <c r="J40" s="637">
        <v>39665.40902777778</v>
      </c>
      <c r="K40" s="393">
        <f t="shared" si="1"/>
        <v>3.300000000104774</v>
      </c>
      <c r="L40" s="394">
        <f t="shared" si="2"/>
        <v>198</v>
      </c>
      <c r="M40" s="501" t="s">
        <v>200</v>
      </c>
      <c r="N40" s="483" t="str">
        <f t="shared" si="3"/>
        <v>--</v>
      </c>
      <c r="O40" s="454"/>
      <c r="P40" s="638">
        <f t="shared" si="4"/>
        <v>40</v>
      </c>
      <c r="Q40" s="639">
        <f t="shared" si="5"/>
        <v>674.8632</v>
      </c>
      <c r="R40" s="188" t="str">
        <f t="shared" si="6"/>
        <v>--</v>
      </c>
      <c r="S40" s="387" t="str">
        <f t="shared" si="7"/>
        <v>--</v>
      </c>
      <c r="T40" s="388" t="str">
        <f t="shared" si="8"/>
        <v>--</v>
      </c>
      <c r="U40" s="640" t="str">
        <f t="shared" si="9"/>
        <v>SI</v>
      </c>
      <c r="V40" s="399">
        <f t="shared" si="10"/>
        <v>674.8632</v>
      </c>
      <c r="W40" s="6"/>
    </row>
    <row r="41" spans="2:23" s="5" customFormat="1" ht="16.5" customHeight="1">
      <c r="B41" s="50"/>
      <c r="C41" s="742" t="s">
        <v>188</v>
      </c>
      <c r="D41" s="383" t="s">
        <v>295</v>
      </c>
      <c r="E41" s="894" t="s">
        <v>296</v>
      </c>
      <c r="F41" s="895"/>
      <c r="G41" s="635">
        <v>500</v>
      </c>
      <c r="H41" s="129">
        <f t="shared" si="0"/>
        <v>63.904</v>
      </c>
      <c r="I41" s="636">
        <v>39680.395833333336</v>
      </c>
      <c r="J41" s="637">
        <v>39680.77291666667</v>
      </c>
      <c r="K41" s="393">
        <f t="shared" si="1"/>
        <v>9.049999999988358</v>
      </c>
      <c r="L41" s="394">
        <f t="shared" si="2"/>
        <v>543</v>
      </c>
      <c r="M41" s="501" t="s">
        <v>200</v>
      </c>
      <c r="N41" s="483" t="str">
        <f t="shared" si="3"/>
        <v>--</v>
      </c>
      <c r="O41" s="454"/>
      <c r="P41" s="638">
        <f t="shared" si="4"/>
        <v>200</v>
      </c>
      <c r="Q41" s="639">
        <f t="shared" si="5"/>
        <v>11566.624000000003</v>
      </c>
      <c r="R41" s="188" t="str">
        <f t="shared" si="6"/>
        <v>--</v>
      </c>
      <c r="S41" s="387" t="str">
        <f t="shared" si="7"/>
        <v>--</v>
      </c>
      <c r="T41" s="388" t="str">
        <f t="shared" si="8"/>
        <v>--</v>
      </c>
      <c r="U41" s="640" t="str">
        <f t="shared" si="9"/>
        <v>SI</v>
      </c>
      <c r="V41" s="399">
        <f t="shared" si="10"/>
        <v>11566.624000000003</v>
      </c>
      <c r="W41" s="6"/>
    </row>
    <row r="42" spans="2:23" s="5" customFormat="1" ht="16.5" customHeight="1">
      <c r="B42" s="50"/>
      <c r="C42" s="742" t="s">
        <v>189</v>
      </c>
      <c r="D42" s="383" t="s">
        <v>293</v>
      </c>
      <c r="E42" s="894" t="s">
        <v>297</v>
      </c>
      <c r="F42" s="895"/>
      <c r="G42" s="635">
        <v>132</v>
      </c>
      <c r="H42" s="129">
        <f t="shared" si="0"/>
        <v>51.126</v>
      </c>
      <c r="I42" s="636">
        <v>39682.30138888889</v>
      </c>
      <c r="J42" s="637">
        <v>39682.31180555555</v>
      </c>
      <c r="K42" s="393">
        <f t="shared" si="1"/>
        <v>0.24999999994179234</v>
      </c>
      <c r="L42" s="394">
        <f t="shared" si="2"/>
        <v>15</v>
      </c>
      <c r="M42" s="501" t="s">
        <v>200</v>
      </c>
      <c r="N42" s="483" t="str">
        <f t="shared" si="3"/>
        <v>--</v>
      </c>
      <c r="O42" s="454"/>
      <c r="P42" s="638">
        <f t="shared" si="4"/>
        <v>40</v>
      </c>
      <c r="Q42" s="639">
        <f t="shared" si="5"/>
        <v>51.126000000000005</v>
      </c>
      <c r="R42" s="188" t="str">
        <f t="shared" si="6"/>
        <v>--</v>
      </c>
      <c r="S42" s="387" t="str">
        <f t="shared" si="7"/>
        <v>--</v>
      </c>
      <c r="T42" s="388" t="str">
        <f t="shared" si="8"/>
        <v>--</v>
      </c>
      <c r="U42" s="640" t="str">
        <f t="shared" si="9"/>
        <v>SI</v>
      </c>
      <c r="V42" s="399">
        <f t="shared" si="10"/>
        <v>51.126000000000005</v>
      </c>
      <c r="W42" s="6"/>
    </row>
    <row r="43" spans="2:23" s="5" customFormat="1" ht="16.5" customHeight="1">
      <c r="B43" s="50"/>
      <c r="C43" s="742" t="s">
        <v>190</v>
      </c>
      <c r="D43" s="383" t="s">
        <v>293</v>
      </c>
      <c r="E43" s="894" t="s">
        <v>294</v>
      </c>
      <c r="F43" s="895"/>
      <c r="G43" s="635">
        <v>132</v>
      </c>
      <c r="H43" s="129">
        <f t="shared" si="0"/>
        <v>51.126</v>
      </c>
      <c r="I43" s="636">
        <v>39691.347916666666</v>
      </c>
      <c r="J43" s="637">
        <v>39691.59652777778</v>
      </c>
      <c r="K43" s="393">
        <f t="shared" si="1"/>
        <v>5.966666666732635</v>
      </c>
      <c r="L43" s="394">
        <f t="shared" si="2"/>
        <v>358</v>
      </c>
      <c r="M43" s="501" t="s">
        <v>200</v>
      </c>
      <c r="N43" s="483" t="str">
        <f t="shared" si="3"/>
        <v>--</v>
      </c>
      <c r="O43" s="454"/>
      <c r="P43" s="638">
        <f t="shared" si="4"/>
        <v>40</v>
      </c>
      <c r="Q43" s="639">
        <f t="shared" si="5"/>
        <v>1220.88888</v>
      </c>
      <c r="R43" s="188" t="str">
        <f t="shared" si="6"/>
        <v>--</v>
      </c>
      <c r="S43" s="387" t="str">
        <f t="shared" si="7"/>
        <v>--</v>
      </c>
      <c r="T43" s="388" t="str">
        <f t="shared" si="8"/>
        <v>--</v>
      </c>
      <c r="U43" s="640" t="str">
        <f t="shared" si="9"/>
        <v>SI</v>
      </c>
      <c r="V43" s="399">
        <f t="shared" si="10"/>
        <v>1220.88888</v>
      </c>
      <c r="W43" s="6"/>
    </row>
    <row r="44" spans="2:23" s="5" customFormat="1" ht="16.5" customHeight="1">
      <c r="B44" s="50"/>
      <c r="C44" s="742" t="s">
        <v>191</v>
      </c>
      <c r="D44" s="383"/>
      <c r="E44" s="894"/>
      <c r="F44" s="895"/>
      <c r="G44" s="635"/>
      <c r="H44" s="129">
        <f t="shared" si="0"/>
        <v>51.126</v>
      </c>
      <c r="I44" s="636"/>
      <c r="J44" s="637"/>
      <c r="K44" s="393">
        <f t="shared" si="1"/>
      </c>
      <c r="L44" s="394">
        <f t="shared" si="2"/>
      </c>
      <c r="M44" s="501"/>
      <c r="N44" s="483">
        <f t="shared" si="3"/>
      </c>
      <c r="O44" s="454"/>
      <c r="P44" s="638">
        <f t="shared" si="4"/>
        <v>40</v>
      </c>
      <c r="Q44" s="639" t="str">
        <f t="shared" si="5"/>
        <v>--</v>
      </c>
      <c r="R44" s="188" t="str">
        <f t="shared" si="6"/>
        <v>--</v>
      </c>
      <c r="S44" s="387" t="str">
        <f t="shared" si="7"/>
        <v>--</v>
      </c>
      <c r="T44" s="388" t="str">
        <f t="shared" si="8"/>
        <v>--</v>
      </c>
      <c r="U44" s="640">
        <f t="shared" si="9"/>
      </c>
      <c r="V44" s="399">
        <f t="shared" si="10"/>
      </c>
      <c r="W44" s="6"/>
    </row>
    <row r="45" spans="2:23" s="5" customFormat="1" ht="16.5" customHeight="1">
      <c r="B45" s="50"/>
      <c r="C45" s="742" t="s">
        <v>192</v>
      </c>
      <c r="D45" s="383"/>
      <c r="E45" s="894"/>
      <c r="F45" s="895"/>
      <c r="G45" s="635"/>
      <c r="H45" s="129">
        <f t="shared" si="0"/>
        <v>51.126</v>
      </c>
      <c r="I45" s="636"/>
      <c r="J45" s="637"/>
      <c r="K45" s="393">
        <f t="shared" si="1"/>
      </c>
      <c r="L45" s="394">
        <f t="shared" si="2"/>
      </c>
      <c r="M45" s="501"/>
      <c r="N45" s="483">
        <f t="shared" si="3"/>
      </c>
      <c r="O45" s="454"/>
      <c r="P45" s="638">
        <f t="shared" si="4"/>
        <v>40</v>
      </c>
      <c r="Q45" s="639" t="str">
        <f t="shared" si="5"/>
        <v>--</v>
      </c>
      <c r="R45" s="188" t="str">
        <f t="shared" si="6"/>
        <v>--</v>
      </c>
      <c r="S45" s="387" t="str">
        <f t="shared" si="7"/>
        <v>--</v>
      </c>
      <c r="T45" s="388" t="str">
        <f t="shared" si="8"/>
        <v>--</v>
      </c>
      <c r="U45" s="640">
        <f t="shared" si="9"/>
      </c>
      <c r="V45" s="399">
        <f t="shared" si="10"/>
      </c>
      <c r="W45" s="6"/>
    </row>
    <row r="46" spans="2:28" s="5" customFormat="1" ht="16.5" customHeight="1" thickBot="1">
      <c r="B46" s="50"/>
      <c r="C46" s="531"/>
      <c r="D46" s="641"/>
      <c r="E46" s="889"/>
      <c r="F46" s="890"/>
      <c r="G46" s="642"/>
      <c r="H46" s="643"/>
      <c r="I46" s="644"/>
      <c r="J46" s="645"/>
      <c r="K46" s="646"/>
      <c r="L46" s="647"/>
      <c r="M46" s="648"/>
      <c r="N46" s="649"/>
      <c r="O46" s="648"/>
      <c r="P46" s="650"/>
      <c r="Q46" s="651"/>
      <c r="R46" s="652"/>
      <c r="S46" s="653"/>
      <c r="T46" s="654"/>
      <c r="U46" s="655"/>
      <c r="V46" s="656"/>
      <c r="W46" s="6"/>
      <c r="X46"/>
      <c r="Y46"/>
      <c r="Z46"/>
      <c r="AA46"/>
      <c r="AB46"/>
    </row>
    <row r="47" spans="1:23" ht="17.25" thickBot="1" thickTop="1">
      <c r="A47" s="32"/>
      <c r="B47" s="490"/>
      <c r="C47" s="492"/>
      <c r="D47" s="562"/>
      <c r="E47" s="563"/>
      <c r="F47" s="564"/>
      <c r="G47" s="565"/>
      <c r="H47" s="565"/>
      <c r="I47" s="563"/>
      <c r="J47" s="484"/>
      <c r="K47" s="484"/>
      <c r="L47" s="563"/>
      <c r="M47" s="563"/>
      <c r="N47" s="563"/>
      <c r="O47" s="566"/>
      <c r="P47" s="563"/>
      <c r="Q47" s="563"/>
      <c r="R47" s="567"/>
      <c r="S47" s="568"/>
      <c r="T47" s="568"/>
      <c r="U47" s="569"/>
      <c r="V47" s="559">
        <f>SUM(V38:V46)</f>
        <v>16550.38648</v>
      </c>
      <c r="W47" s="570"/>
    </row>
    <row r="48" spans="1:23" ht="17.25" thickBot="1" thickTop="1">
      <c r="A48" s="32"/>
      <c r="B48" s="490"/>
      <c r="C48" s="492"/>
      <c r="D48" s="562"/>
      <c r="E48" s="563"/>
      <c r="F48" s="564"/>
      <c r="G48" s="565"/>
      <c r="H48" s="565"/>
      <c r="I48" s="500" t="s">
        <v>40</v>
      </c>
      <c r="J48" s="627">
        <f>+V47+V34</f>
        <v>17884.444480000002</v>
      </c>
      <c r="L48" s="563"/>
      <c r="M48" s="563"/>
      <c r="N48" s="563"/>
      <c r="O48" s="566"/>
      <c r="P48" s="563"/>
      <c r="Q48" s="563"/>
      <c r="R48" s="567"/>
      <c r="S48" s="568"/>
      <c r="T48" s="568"/>
      <c r="U48" s="569"/>
      <c r="W48" s="570"/>
    </row>
    <row r="49" spans="1:23" ht="13.5" customHeight="1" thickTop="1">
      <c r="A49" s="32"/>
      <c r="B49" s="490"/>
      <c r="C49" s="492"/>
      <c r="D49" s="562"/>
      <c r="E49" s="563"/>
      <c r="F49" s="564"/>
      <c r="G49" s="565"/>
      <c r="H49" s="565"/>
      <c r="I49" s="563"/>
      <c r="J49" s="484"/>
      <c r="K49" s="484"/>
      <c r="L49" s="563"/>
      <c r="M49" s="563"/>
      <c r="N49" s="563"/>
      <c r="O49" s="566"/>
      <c r="P49" s="563"/>
      <c r="Q49" s="563"/>
      <c r="R49" s="567"/>
      <c r="S49" s="568"/>
      <c r="T49" s="568"/>
      <c r="U49" s="569"/>
      <c r="W49" s="570"/>
    </row>
    <row r="50" spans="1:23" ht="16.5" customHeight="1">
      <c r="A50" s="32"/>
      <c r="B50" s="490"/>
      <c r="C50" s="571" t="s">
        <v>93</v>
      </c>
      <c r="D50" s="572" t="s">
        <v>115</v>
      </c>
      <c r="E50" s="563"/>
      <c r="F50" s="564"/>
      <c r="G50" s="565"/>
      <c r="H50" s="565"/>
      <c r="I50" s="563"/>
      <c r="J50" s="484"/>
      <c r="K50" s="484"/>
      <c r="L50" s="563"/>
      <c r="M50" s="563"/>
      <c r="N50" s="563"/>
      <c r="O50" s="566"/>
      <c r="P50" s="563"/>
      <c r="Q50" s="563"/>
      <c r="R50" s="567"/>
      <c r="S50" s="568"/>
      <c r="T50" s="568"/>
      <c r="U50" s="569"/>
      <c r="W50" s="570"/>
    </row>
    <row r="51" spans="1:23" ht="16.5" customHeight="1">
      <c r="A51" s="32"/>
      <c r="B51" s="490"/>
      <c r="C51" s="571"/>
      <c r="D51" s="562"/>
      <c r="E51" s="563"/>
      <c r="F51" s="564"/>
      <c r="G51" s="565"/>
      <c r="H51" s="565"/>
      <c r="I51" s="563"/>
      <c r="J51" s="484"/>
      <c r="K51" s="484"/>
      <c r="L51" s="563"/>
      <c r="M51" s="563"/>
      <c r="N51" s="563"/>
      <c r="O51" s="566"/>
      <c r="P51" s="563"/>
      <c r="Q51" s="563"/>
      <c r="R51" s="563"/>
      <c r="S51" s="567"/>
      <c r="T51" s="568"/>
      <c r="W51" s="570"/>
    </row>
    <row r="52" spans="2:23" s="32" customFormat="1" ht="16.5" customHeight="1">
      <c r="B52" s="490"/>
      <c r="C52" s="492"/>
      <c r="D52" s="573" t="s">
        <v>99</v>
      </c>
      <c r="E52" s="504" t="s">
        <v>100</v>
      </c>
      <c r="F52" s="504" t="s">
        <v>41</v>
      </c>
      <c r="G52" s="574" t="s">
        <v>116</v>
      </c>
      <c r="H52"/>
      <c r="I52" s="137"/>
      <c r="J52" s="583" t="s">
        <v>59</v>
      </c>
      <c r="K52" s="583"/>
      <c r="L52" s="504" t="s">
        <v>41</v>
      </c>
      <c r="M52" t="s">
        <v>104</v>
      </c>
      <c r="O52" s="574" t="s">
        <v>117</v>
      </c>
      <c r="P52"/>
      <c r="Q52" s="578"/>
      <c r="R52" s="578"/>
      <c r="S52" s="33"/>
      <c r="T52"/>
      <c r="U52"/>
      <c r="V52"/>
      <c r="W52" s="570"/>
    </row>
    <row r="53" spans="2:23" s="32" customFormat="1" ht="16.5" customHeight="1">
      <c r="B53" s="490"/>
      <c r="C53" s="492"/>
      <c r="D53" s="141" t="s">
        <v>105</v>
      </c>
      <c r="E53" s="141">
        <v>300</v>
      </c>
      <c r="F53" s="657">
        <v>500</v>
      </c>
      <c r="G53" s="888">
        <f>+E53*$F$20*$F$21</f>
        <v>71200.8</v>
      </c>
      <c r="H53" s="888"/>
      <c r="I53" s="888"/>
      <c r="J53" s="658" t="s">
        <v>106</v>
      </c>
      <c r="K53" s="658"/>
      <c r="L53" s="141">
        <v>500</v>
      </c>
      <c r="M53" s="141">
        <v>2</v>
      </c>
      <c r="O53" s="888">
        <f>+M53*$F$20*$M$19</f>
        <v>95089.152</v>
      </c>
      <c r="P53" s="888"/>
      <c r="Q53" s="888"/>
      <c r="R53" s="888"/>
      <c r="S53" s="888"/>
      <c r="T53" s="888"/>
      <c r="U53" s="888"/>
      <c r="V53"/>
      <c r="W53" s="570"/>
    </row>
    <row r="54" spans="2:23" s="32" customFormat="1" ht="16.5" customHeight="1">
      <c r="B54" s="490"/>
      <c r="C54" s="492"/>
      <c r="D54" s="141" t="s">
        <v>107</v>
      </c>
      <c r="E54" s="140">
        <v>300</v>
      </c>
      <c r="F54" s="657">
        <v>500</v>
      </c>
      <c r="G54" s="888">
        <f>+E54*$F$20*$F$21</f>
        <v>71200.8</v>
      </c>
      <c r="H54" s="888"/>
      <c r="I54" s="888"/>
      <c r="J54" s="658" t="s">
        <v>106</v>
      </c>
      <c r="K54" s="658"/>
      <c r="L54" s="141">
        <v>132</v>
      </c>
      <c r="M54" s="141">
        <v>9</v>
      </c>
      <c r="O54" s="888">
        <f>+M54*$F$20*$M$21</f>
        <v>342339.696</v>
      </c>
      <c r="P54" s="888"/>
      <c r="Q54" s="888"/>
      <c r="R54" s="888"/>
      <c r="S54" s="888"/>
      <c r="T54" s="888"/>
      <c r="U54" s="888"/>
      <c r="V54"/>
      <c r="W54" s="570"/>
    </row>
    <row r="55" spans="2:23" s="32" customFormat="1" ht="16.5" customHeight="1">
      <c r="B55" s="490"/>
      <c r="C55" s="492"/>
      <c r="D55" s="139" t="s">
        <v>108</v>
      </c>
      <c r="E55" s="140">
        <v>300</v>
      </c>
      <c r="F55" s="657">
        <v>500</v>
      </c>
      <c r="G55" s="888">
        <f>+E55*$F$20*$F$21</f>
        <v>71200.8</v>
      </c>
      <c r="H55" s="888"/>
      <c r="I55" s="888"/>
      <c r="J55" s="658" t="s">
        <v>109</v>
      </c>
      <c r="K55" s="658"/>
      <c r="L55" s="141">
        <v>132</v>
      </c>
      <c r="M55" s="141">
        <v>8</v>
      </c>
      <c r="O55" s="888">
        <f>+M55*$F$20*$M$21</f>
        <v>304301.952</v>
      </c>
      <c r="P55" s="888"/>
      <c r="Q55" s="888"/>
      <c r="R55" s="888"/>
      <c r="S55" s="888"/>
      <c r="T55" s="888"/>
      <c r="U55" s="888"/>
      <c r="V55"/>
      <c r="W55" s="570"/>
    </row>
    <row r="56" spans="1:23" ht="16.5" customHeight="1">
      <c r="A56" s="32"/>
      <c r="B56" s="490"/>
      <c r="C56" s="492"/>
      <c r="D56" s="139" t="s">
        <v>110</v>
      </c>
      <c r="E56" s="140">
        <v>300</v>
      </c>
      <c r="F56" s="657">
        <v>500</v>
      </c>
      <c r="G56" s="888">
        <f>+E56*$F$20*$F$21</f>
        <v>71200.8</v>
      </c>
      <c r="H56" s="888"/>
      <c r="I56" s="888"/>
      <c r="J56" s="658" t="s">
        <v>111</v>
      </c>
      <c r="K56" s="658"/>
      <c r="L56" s="141">
        <v>132</v>
      </c>
      <c r="M56" s="141">
        <v>5</v>
      </c>
      <c r="O56" s="896">
        <f>+M56*$F$20*$M$21</f>
        <v>190188.72</v>
      </c>
      <c r="P56" s="896"/>
      <c r="Q56" s="896"/>
      <c r="R56" s="896"/>
      <c r="S56" s="896"/>
      <c r="T56" s="896"/>
      <c r="U56" s="896"/>
      <c r="W56" s="570"/>
    </row>
    <row r="57" spans="1:23" ht="16.5" customHeight="1">
      <c r="A57" s="32"/>
      <c r="B57" s="490"/>
      <c r="C57" s="492"/>
      <c r="D57" s="139" t="s">
        <v>217</v>
      </c>
      <c r="E57" s="140">
        <v>600</v>
      </c>
      <c r="F57" s="657">
        <v>500</v>
      </c>
      <c r="G57" s="896">
        <f>+E57*$F$20*$F$21</f>
        <v>142401.6</v>
      </c>
      <c r="H57" s="896"/>
      <c r="I57" s="896"/>
      <c r="M57" s="141"/>
      <c r="O57" s="888">
        <f>SUM(O53:P56)</f>
        <v>931919.52</v>
      </c>
      <c r="P57" s="888"/>
      <c r="Q57" s="888"/>
      <c r="R57" s="888"/>
      <c r="S57" s="888"/>
      <c r="T57" s="888"/>
      <c r="U57" s="888"/>
      <c r="W57" s="570"/>
    </row>
    <row r="58" spans="1:23" ht="16.5" customHeight="1">
      <c r="A58" s="32"/>
      <c r="B58" s="490"/>
      <c r="C58" s="492"/>
      <c r="D58" s="139"/>
      <c r="E58" s="140"/>
      <c r="F58" s="657"/>
      <c r="G58" s="888">
        <f>SUM(G53:G57)</f>
        <v>427204.80000000005</v>
      </c>
      <c r="H58" s="888"/>
      <c r="I58" s="888"/>
      <c r="M58" s="141"/>
      <c r="N58" s="137"/>
      <c r="O58" s="137"/>
      <c r="P58" s="611"/>
      <c r="Q58" s="611"/>
      <c r="R58" s="611"/>
      <c r="S58" s="611"/>
      <c r="W58" s="570"/>
    </row>
    <row r="59" spans="1:23" ht="16.5" customHeight="1">
      <c r="A59" s="32"/>
      <c r="B59" s="490"/>
      <c r="C59" s="492"/>
      <c r="D59" s="139"/>
      <c r="E59" s="140"/>
      <c r="F59" s="657"/>
      <c r="G59" s="881"/>
      <c r="H59" s="881"/>
      <c r="I59" s="881"/>
      <c r="M59" s="141"/>
      <c r="N59" s="137"/>
      <c r="O59" s="137"/>
      <c r="P59" s="611"/>
      <c r="Q59" s="611"/>
      <c r="R59" s="611"/>
      <c r="S59" s="611"/>
      <c r="W59" s="570"/>
    </row>
    <row r="60" spans="1:23" ht="16.5" customHeight="1">
      <c r="A60" s="32"/>
      <c r="B60" s="490"/>
      <c r="C60" s="492"/>
      <c r="D60" s="882" t="s">
        <v>320</v>
      </c>
      <c r="E60" s="883" t="s">
        <v>321</v>
      </c>
      <c r="F60" s="884">
        <v>5176</v>
      </c>
      <c r="G60" s="885" t="s">
        <v>322</v>
      </c>
      <c r="H60" s="881"/>
      <c r="I60" s="881"/>
      <c r="M60" s="141"/>
      <c r="N60" s="137"/>
      <c r="O60" s="137"/>
      <c r="P60" s="611"/>
      <c r="Q60" s="611"/>
      <c r="R60" s="611"/>
      <c r="S60" s="611"/>
      <c r="W60" s="570"/>
    </row>
    <row r="61" spans="1:23" ht="16.5" customHeight="1">
      <c r="A61" s="32"/>
      <c r="B61" s="490"/>
      <c r="C61" s="492"/>
      <c r="D61" s="573"/>
      <c r="E61" s="584"/>
      <c r="F61" s="584"/>
      <c r="G61" s="504"/>
      <c r="H61" s="881"/>
      <c r="I61" s="881"/>
      <c r="M61" s="141"/>
      <c r="N61" s="137"/>
      <c r="O61" s="137"/>
      <c r="P61" s="611"/>
      <c r="Q61" s="611"/>
      <c r="R61" s="611"/>
      <c r="S61" s="611"/>
      <c r="W61" s="570"/>
    </row>
    <row r="62" spans="1:23" ht="16.5" customHeight="1" thickBot="1">
      <c r="A62" s="32"/>
      <c r="B62" s="490"/>
      <c r="C62" s="886" t="s">
        <v>323</v>
      </c>
      <c r="D62" s="887" t="s">
        <v>324</v>
      </c>
      <c r="E62" s="612"/>
      <c r="F62" s="612"/>
      <c r="G62" s="579"/>
      <c r="I62" s="576"/>
      <c r="J62" s="574"/>
      <c r="L62" s="575"/>
      <c r="M62" s="576"/>
      <c r="N62" s="577"/>
      <c r="O62" s="578"/>
      <c r="P62" s="578"/>
      <c r="Q62" s="578"/>
      <c r="R62" s="578"/>
      <c r="S62" s="578"/>
      <c r="W62" s="570"/>
    </row>
    <row r="63" spans="1:23" ht="16.5" customHeight="1" thickBot="1" thickTop="1">
      <c r="A63" s="32"/>
      <c r="B63" s="490"/>
      <c r="C63" s="492"/>
      <c r="D63" s="504"/>
      <c r="E63" s="612"/>
      <c r="F63" s="612"/>
      <c r="G63" s="579"/>
      <c r="H63" s="172"/>
      <c r="I63" s="500" t="s">
        <v>42</v>
      </c>
      <c r="J63" s="627">
        <f>+G58+O57+F60</f>
        <v>1364300.32</v>
      </c>
      <c r="L63" s="581"/>
      <c r="M63" s="172"/>
      <c r="N63" s="582"/>
      <c r="O63" s="611"/>
      <c r="P63" s="611"/>
      <c r="Q63" s="611"/>
      <c r="R63" s="611"/>
      <c r="S63" s="611"/>
      <c r="W63" s="570"/>
    </row>
    <row r="64" spans="1:23" ht="16.5" customHeight="1" thickTop="1">
      <c r="A64" s="32"/>
      <c r="B64" s="490"/>
      <c r="C64" s="492"/>
      <c r="D64" s="484"/>
      <c r="E64" s="496"/>
      <c r="F64" s="504"/>
      <c r="G64" s="504"/>
      <c r="H64" s="505"/>
      <c r="J64" s="504"/>
      <c r="L64" s="585"/>
      <c r="M64" s="577"/>
      <c r="N64" s="577"/>
      <c r="O64" s="578"/>
      <c r="P64" s="578"/>
      <c r="Q64" s="578"/>
      <c r="R64" s="578"/>
      <c r="S64" s="578"/>
      <c r="W64" s="570"/>
    </row>
    <row r="65" spans="2:23" ht="16.5" customHeight="1">
      <c r="B65" s="490"/>
      <c r="C65" s="571" t="s">
        <v>94</v>
      </c>
      <c r="D65" s="586" t="s">
        <v>95</v>
      </c>
      <c r="E65" s="504"/>
      <c r="F65" s="587"/>
      <c r="G65" s="503"/>
      <c r="H65" s="484"/>
      <c r="I65" s="484"/>
      <c r="J65" s="484"/>
      <c r="K65" s="504"/>
      <c r="L65" s="504"/>
      <c r="M65" s="484"/>
      <c r="N65" s="504"/>
      <c r="O65" s="484"/>
      <c r="P65" s="484"/>
      <c r="Q65" s="484"/>
      <c r="R65" s="484"/>
      <c r="S65" s="484"/>
      <c r="T65" s="484"/>
      <c r="U65" s="484"/>
      <c r="W65" s="570"/>
    </row>
    <row r="66" spans="2:23" s="32" customFormat="1" ht="16.5" customHeight="1">
      <c r="B66" s="490"/>
      <c r="C66" s="492"/>
      <c r="D66" s="573" t="s">
        <v>96</v>
      </c>
      <c r="E66" s="588">
        <f>10*J48*J25/J63</f>
        <v>1639.1994689274868</v>
      </c>
      <c r="G66" s="503"/>
      <c r="L66" s="504"/>
      <c r="N66" s="504"/>
      <c r="O66" s="505"/>
      <c r="V66"/>
      <c r="W66" s="570"/>
    </row>
    <row r="67" spans="2:23" s="32" customFormat="1" ht="12.75" customHeight="1">
      <c r="B67" s="490"/>
      <c r="C67" s="492"/>
      <c r="E67" s="589"/>
      <c r="F67" s="499"/>
      <c r="G67" s="503"/>
      <c r="J67" s="503"/>
      <c r="K67" s="507"/>
      <c r="L67" s="504"/>
      <c r="M67" s="504"/>
      <c r="N67" s="504"/>
      <c r="O67" s="505"/>
      <c r="P67" s="504"/>
      <c r="Q67" s="504"/>
      <c r="R67" s="506"/>
      <c r="S67" s="506"/>
      <c r="T67" s="506"/>
      <c r="U67" s="590"/>
      <c r="V67"/>
      <c r="W67" s="570"/>
    </row>
    <row r="68" spans="2:23" ht="16.5" customHeight="1">
      <c r="B68" s="490"/>
      <c r="C68" s="492"/>
      <c r="D68" s="591" t="s">
        <v>112</v>
      </c>
      <c r="E68" s="592"/>
      <c r="F68" s="499"/>
      <c r="G68" s="503"/>
      <c r="H68" s="484"/>
      <c r="I68" s="484"/>
      <c r="N68" s="504"/>
      <c r="O68" s="505"/>
      <c r="P68" s="504"/>
      <c r="Q68" s="504"/>
      <c r="R68" s="576"/>
      <c r="S68" s="576"/>
      <c r="T68" s="576"/>
      <c r="U68" s="577"/>
      <c r="W68" s="570"/>
    </row>
    <row r="69" spans="2:23" ht="13.5" customHeight="1" thickBot="1">
      <c r="B69" s="490"/>
      <c r="C69" s="492"/>
      <c r="D69" s="591"/>
      <c r="E69" s="592"/>
      <c r="F69" s="499"/>
      <c r="G69" s="503"/>
      <c r="H69" s="484"/>
      <c r="I69" s="484"/>
      <c r="N69" s="504"/>
      <c r="O69" s="505"/>
      <c r="P69" s="504"/>
      <c r="Q69" s="504"/>
      <c r="R69" s="576"/>
      <c r="S69" s="576"/>
      <c r="T69" s="576"/>
      <c r="U69" s="577"/>
      <c r="W69" s="570"/>
    </row>
    <row r="70" spans="2:23" s="593" customFormat="1" ht="21" thickBot="1" thickTop="1">
      <c r="B70" s="594"/>
      <c r="C70" s="595"/>
      <c r="D70" s="596"/>
      <c r="E70" s="597"/>
      <c r="F70" s="598"/>
      <c r="G70" s="599"/>
      <c r="I70" s="600" t="s">
        <v>97</v>
      </c>
      <c r="J70" s="601">
        <f>IF(E66&gt;3*J25,J25*3,E66)</f>
        <v>1639.1994689274868</v>
      </c>
      <c r="M70" s="602"/>
      <c r="N70" s="602"/>
      <c r="O70" s="603"/>
      <c r="P70" s="602"/>
      <c r="Q70" s="602"/>
      <c r="R70" s="604"/>
      <c r="S70" s="604"/>
      <c r="T70" s="604"/>
      <c r="U70" s="605"/>
      <c r="V70"/>
      <c r="W70" s="606"/>
    </row>
    <row r="71" spans="2:23" ht="16.5" customHeight="1" thickBot="1" thickTop="1">
      <c r="B71" s="57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192"/>
      <c r="W71" s="607"/>
    </row>
    <row r="72" spans="2:23" ht="16.5" customHeight="1" thickTop="1">
      <c r="B72" s="1"/>
      <c r="C72" s="73"/>
      <c r="W72" s="1"/>
    </row>
  </sheetData>
  <sheetProtection password="CC12"/>
  <mergeCells count="23">
    <mergeCell ref="E43:F43"/>
    <mergeCell ref="E44:F44"/>
    <mergeCell ref="E45:F45"/>
    <mergeCell ref="G57:I57"/>
    <mergeCell ref="G58:I58"/>
    <mergeCell ref="G53:I53"/>
    <mergeCell ref="G54:I54"/>
    <mergeCell ref="G55:I55"/>
    <mergeCell ref="G56:I56"/>
    <mergeCell ref="O56:U56"/>
    <mergeCell ref="O57:U57"/>
    <mergeCell ref="O54:U54"/>
    <mergeCell ref="O55:U55"/>
    <mergeCell ref="O53:U53"/>
    <mergeCell ref="E46:F46"/>
    <mergeCell ref="N36:O36"/>
    <mergeCell ref="E36:F36"/>
    <mergeCell ref="E37:F37"/>
    <mergeCell ref="E38:F38"/>
    <mergeCell ref="E39:F39"/>
    <mergeCell ref="E40:F40"/>
    <mergeCell ref="E41:F41"/>
    <mergeCell ref="E42:F4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1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GL114"/>
  <sheetViews>
    <sheetView zoomScale="50" zoomScaleNormal="50" workbookViewId="0" topLeftCell="A1">
      <selection activeCell="C2" sqref="C2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804"/>
      <c r="V1" s="805"/>
    </row>
    <row r="2" spans="2:22" s="18" customFormat="1" ht="26.25">
      <c r="B2" s="413" t="str">
        <f>+'SUP-TIBA'!B3</f>
        <v>ANEXO III al Memorándum D.T.E.E. N°  366 / 2010            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806"/>
    </row>
    <row r="3" spans="1:22" s="25" customFormat="1" ht="11.25">
      <c r="A3" s="23" t="s">
        <v>1</v>
      </c>
      <c r="B3" s="123"/>
      <c r="U3" s="807"/>
      <c r="V3" s="807"/>
    </row>
    <row r="4" spans="1:22" s="25" customFormat="1" ht="11.25">
      <c r="A4" s="23" t="s">
        <v>2</v>
      </c>
      <c r="B4" s="123"/>
      <c r="U4" s="123"/>
      <c r="V4" s="807"/>
    </row>
    <row r="5" spans="21:22" ht="9.75" customHeight="1">
      <c r="U5" s="22"/>
      <c r="V5" s="805"/>
    </row>
    <row r="6" spans="2:178" s="808" customFormat="1" ht="23.25">
      <c r="B6" s="809" t="s">
        <v>304</v>
      </c>
      <c r="C6" s="809"/>
      <c r="D6" s="810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11"/>
      <c r="W6" s="809"/>
      <c r="X6" s="809"/>
      <c r="Y6" s="809"/>
      <c r="Z6" s="809"/>
      <c r="AA6" s="809"/>
      <c r="AB6" s="809"/>
      <c r="AC6" s="809"/>
      <c r="AD6" s="809"/>
      <c r="AE6" s="809"/>
      <c r="AF6" s="809"/>
      <c r="AG6" s="809"/>
      <c r="AH6" s="809"/>
      <c r="AI6" s="809"/>
      <c r="AJ6" s="809"/>
      <c r="AK6" s="809"/>
      <c r="AL6" s="809"/>
      <c r="AM6" s="809"/>
      <c r="AN6" s="809"/>
      <c r="AO6" s="809"/>
      <c r="AP6" s="809"/>
      <c r="AQ6" s="809"/>
      <c r="AR6" s="809"/>
      <c r="AS6" s="809"/>
      <c r="AT6" s="809"/>
      <c r="AU6" s="809"/>
      <c r="AV6" s="809"/>
      <c r="AW6" s="809"/>
      <c r="AX6" s="809"/>
      <c r="AY6" s="809"/>
      <c r="AZ6" s="809"/>
      <c r="BA6" s="809"/>
      <c r="BB6" s="809"/>
      <c r="BC6" s="809"/>
      <c r="BD6" s="809"/>
      <c r="BE6" s="809"/>
      <c r="BF6" s="809"/>
      <c r="BG6" s="809"/>
      <c r="BH6" s="809"/>
      <c r="BI6" s="809"/>
      <c r="BJ6" s="809"/>
      <c r="BK6" s="809"/>
      <c r="BL6" s="809"/>
      <c r="BM6" s="809"/>
      <c r="BN6" s="809"/>
      <c r="BO6" s="809"/>
      <c r="BP6" s="809"/>
      <c r="BQ6" s="809"/>
      <c r="BR6" s="809"/>
      <c r="BS6" s="809"/>
      <c r="BT6" s="809"/>
      <c r="BU6" s="809"/>
      <c r="BV6" s="809"/>
      <c r="BW6" s="809"/>
      <c r="BX6" s="809"/>
      <c r="BY6" s="809"/>
      <c r="BZ6" s="809"/>
      <c r="CA6" s="809"/>
      <c r="CB6" s="809"/>
      <c r="CC6" s="809"/>
      <c r="CD6" s="809"/>
      <c r="CE6" s="809"/>
      <c r="CF6" s="809"/>
      <c r="CG6" s="809"/>
      <c r="CH6" s="809"/>
      <c r="CI6" s="809"/>
      <c r="CJ6" s="809"/>
      <c r="CK6" s="809"/>
      <c r="CL6" s="809"/>
      <c r="CM6" s="809"/>
      <c r="CN6" s="809"/>
      <c r="CO6" s="809"/>
      <c r="CP6" s="809"/>
      <c r="CQ6" s="809"/>
      <c r="CR6" s="809"/>
      <c r="CS6" s="809"/>
      <c r="CT6" s="809"/>
      <c r="CU6" s="809"/>
      <c r="CV6" s="809"/>
      <c r="CW6" s="809"/>
      <c r="CX6" s="809"/>
      <c r="CY6" s="809"/>
      <c r="CZ6" s="809"/>
      <c r="DA6" s="809"/>
      <c r="DB6" s="809"/>
      <c r="DC6" s="809"/>
      <c r="DD6" s="809"/>
      <c r="DE6" s="809"/>
      <c r="DF6" s="809"/>
      <c r="DG6" s="809"/>
      <c r="DH6" s="809"/>
      <c r="DI6" s="809"/>
      <c r="DJ6" s="809"/>
      <c r="DK6" s="809"/>
      <c r="DL6" s="809"/>
      <c r="DM6" s="809"/>
      <c r="DN6" s="809"/>
      <c r="DO6" s="809"/>
      <c r="DP6" s="809"/>
      <c r="DQ6" s="809"/>
      <c r="DR6" s="809"/>
      <c r="DS6" s="809"/>
      <c r="DT6" s="809"/>
      <c r="DU6" s="809"/>
      <c r="DV6" s="809"/>
      <c r="DW6" s="809"/>
      <c r="DX6" s="809"/>
      <c r="DY6" s="809"/>
      <c r="DZ6" s="809"/>
      <c r="EA6" s="809"/>
      <c r="EB6" s="809"/>
      <c r="EC6" s="809"/>
      <c r="ED6" s="809"/>
      <c r="EE6" s="809"/>
      <c r="EF6" s="809"/>
      <c r="EG6" s="809"/>
      <c r="EH6" s="809"/>
      <c r="EI6" s="809"/>
      <c r="EJ6" s="809"/>
      <c r="EK6" s="809"/>
      <c r="EL6" s="809"/>
      <c r="EM6" s="809"/>
      <c r="EN6" s="809"/>
      <c r="EO6" s="809"/>
      <c r="EP6" s="809"/>
      <c r="EQ6" s="809"/>
      <c r="ER6" s="809"/>
      <c r="ES6" s="809"/>
      <c r="ET6" s="809"/>
      <c r="EU6" s="809"/>
      <c r="EV6" s="809"/>
      <c r="EW6" s="809"/>
      <c r="EX6" s="809"/>
      <c r="EY6" s="809"/>
      <c r="EZ6" s="809"/>
      <c r="FA6" s="809"/>
      <c r="FB6" s="809"/>
      <c r="FC6" s="809"/>
      <c r="FD6" s="809"/>
      <c r="FE6" s="809"/>
      <c r="FF6" s="809"/>
      <c r="FG6" s="809"/>
      <c r="FH6" s="809"/>
      <c r="FI6" s="809"/>
      <c r="FJ6" s="809"/>
      <c r="FK6" s="809"/>
      <c r="FL6" s="809"/>
      <c r="FM6" s="809"/>
      <c r="FN6" s="809"/>
      <c r="FO6" s="809"/>
      <c r="FP6" s="809"/>
      <c r="FQ6" s="809"/>
      <c r="FR6" s="809"/>
      <c r="FS6" s="809"/>
      <c r="FT6" s="809"/>
      <c r="FU6" s="809"/>
      <c r="FV6" s="809"/>
    </row>
    <row r="7" spans="2:178" s="32" customFormat="1" ht="9.75" customHeight="1"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797"/>
      <c r="V7" s="797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  <c r="BB7" s="583"/>
      <c r="BC7" s="583"/>
      <c r="BD7" s="583"/>
      <c r="BE7" s="583"/>
      <c r="BF7" s="583"/>
      <c r="BG7" s="583"/>
      <c r="BH7" s="583"/>
      <c r="BI7" s="583"/>
      <c r="BJ7" s="583"/>
      <c r="BK7" s="583"/>
      <c r="BL7" s="583"/>
      <c r="BM7" s="583"/>
      <c r="BN7" s="583"/>
      <c r="BO7" s="583"/>
      <c r="BP7" s="583"/>
      <c r="BQ7" s="583"/>
      <c r="BR7" s="583"/>
      <c r="BS7" s="583"/>
      <c r="BT7" s="583"/>
      <c r="BU7" s="583"/>
      <c r="BV7" s="583"/>
      <c r="BW7" s="583"/>
      <c r="BX7" s="583"/>
      <c r="BY7" s="583"/>
      <c r="BZ7" s="583"/>
      <c r="CA7" s="583"/>
      <c r="CB7" s="583"/>
      <c r="CC7" s="583"/>
      <c r="CD7" s="583"/>
      <c r="CE7" s="583"/>
      <c r="CF7" s="583"/>
      <c r="CG7" s="583"/>
      <c r="CH7" s="583"/>
      <c r="CI7" s="583"/>
      <c r="CJ7" s="583"/>
      <c r="CK7" s="583"/>
      <c r="CL7" s="583"/>
      <c r="CM7" s="583"/>
      <c r="CN7" s="583"/>
      <c r="CO7" s="583"/>
      <c r="CP7" s="583"/>
      <c r="CQ7" s="583"/>
      <c r="CR7" s="583"/>
      <c r="CS7" s="583"/>
      <c r="CT7" s="583"/>
      <c r="CU7" s="583"/>
      <c r="CV7" s="583"/>
      <c r="CW7" s="583"/>
      <c r="CX7" s="583"/>
      <c r="CY7" s="583"/>
      <c r="CZ7" s="583"/>
      <c r="DA7" s="583"/>
      <c r="DB7" s="583"/>
      <c r="DC7" s="583"/>
      <c r="DD7" s="583"/>
      <c r="DE7" s="583"/>
      <c r="DF7" s="583"/>
      <c r="DG7" s="583"/>
      <c r="DH7" s="583"/>
      <c r="DI7" s="583"/>
      <c r="DJ7" s="583"/>
      <c r="DK7" s="583"/>
      <c r="DL7" s="583"/>
      <c r="DM7" s="583"/>
      <c r="DN7" s="583"/>
      <c r="DO7" s="583"/>
      <c r="DP7" s="583"/>
      <c r="DQ7" s="583"/>
      <c r="DR7" s="583"/>
      <c r="DS7" s="583"/>
      <c r="DT7" s="583"/>
      <c r="DU7" s="583"/>
      <c r="DV7" s="583"/>
      <c r="DW7" s="583"/>
      <c r="DX7" s="583"/>
      <c r="DY7" s="583"/>
      <c r="DZ7" s="583"/>
      <c r="EA7" s="583"/>
      <c r="EB7" s="583"/>
      <c r="EC7" s="583"/>
      <c r="ED7" s="583"/>
      <c r="EE7" s="583"/>
      <c r="EF7" s="583"/>
      <c r="EG7" s="583"/>
      <c r="EH7" s="583"/>
      <c r="EI7" s="583"/>
      <c r="EJ7" s="583"/>
      <c r="EK7" s="583"/>
      <c r="EL7" s="583"/>
      <c r="EM7" s="583"/>
      <c r="EN7" s="583"/>
      <c r="EO7" s="583"/>
      <c r="EP7" s="583"/>
      <c r="EQ7" s="583"/>
      <c r="ER7" s="583"/>
      <c r="ES7" s="583"/>
      <c r="ET7" s="583"/>
      <c r="EU7" s="583"/>
      <c r="EV7" s="583"/>
      <c r="EW7" s="583"/>
      <c r="EX7" s="583"/>
      <c r="EY7" s="583"/>
      <c r="EZ7" s="583"/>
      <c r="FA7" s="583"/>
      <c r="FB7" s="583"/>
      <c r="FC7" s="583"/>
      <c r="FD7" s="583"/>
      <c r="FE7" s="583"/>
      <c r="FF7" s="583"/>
      <c r="FG7" s="583"/>
      <c r="FH7" s="583"/>
      <c r="FI7" s="583"/>
      <c r="FJ7" s="583"/>
      <c r="FK7" s="583"/>
      <c r="FL7" s="583"/>
      <c r="FM7" s="583"/>
      <c r="FN7" s="583"/>
      <c r="FO7" s="583"/>
      <c r="FP7" s="583"/>
      <c r="FQ7" s="583"/>
      <c r="FR7" s="583"/>
      <c r="FS7" s="583"/>
      <c r="FT7" s="583"/>
      <c r="FU7" s="583"/>
      <c r="FV7" s="583"/>
    </row>
    <row r="8" spans="2:178" s="812" customFormat="1" ht="23.25">
      <c r="B8" s="809" t="s">
        <v>60</v>
      </c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3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810"/>
      <c r="AJ8" s="810"/>
      <c r="AK8" s="810"/>
      <c r="AL8" s="810"/>
      <c r="AM8" s="810"/>
      <c r="AN8" s="810"/>
      <c r="AO8" s="810"/>
      <c r="AP8" s="810"/>
      <c r="AQ8" s="810"/>
      <c r="AR8" s="810"/>
      <c r="AS8" s="810"/>
      <c r="AT8" s="810"/>
      <c r="AU8" s="810"/>
      <c r="AV8" s="810"/>
      <c r="AW8" s="810"/>
      <c r="AX8" s="810"/>
      <c r="AY8" s="810"/>
      <c r="AZ8" s="810"/>
      <c r="BA8" s="810"/>
      <c r="BB8" s="810"/>
      <c r="BC8" s="810"/>
      <c r="BD8" s="810"/>
      <c r="BE8" s="810"/>
      <c r="BF8" s="810"/>
      <c r="BG8" s="810"/>
      <c r="BH8" s="810"/>
      <c r="BI8" s="810"/>
      <c r="BJ8" s="810"/>
      <c r="BK8" s="810"/>
      <c r="BL8" s="810"/>
      <c r="BM8" s="810"/>
      <c r="BN8" s="810"/>
      <c r="BO8" s="810"/>
      <c r="BP8" s="810"/>
      <c r="BQ8" s="810"/>
      <c r="BR8" s="810"/>
      <c r="BS8" s="810"/>
      <c r="BT8" s="810"/>
      <c r="BU8" s="810"/>
      <c r="BV8" s="810"/>
      <c r="BW8" s="810"/>
      <c r="BX8" s="810"/>
      <c r="BY8" s="810"/>
      <c r="BZ8" s="810"/>
      <c r="CA8" s="810"/>
      <c r="CB8" s="810"/>
      <c r="CC8" s="810"/>
      <c r="CD8" s="810"/>
      <c r="CE8" s="810"/>
      <c r="CF8" s="810"/>
      <c r="CG8" s="810"/>
      <c r="CH8" s="810"/>
      <c r="CI8" s="810"/>
      <c r="CJ8" s="810"/>
      <c r="CK8" s="810"/>
      <c r="CL8" s="810"/>
      <c r="CM8" s="810"/>
      <c r="CN8" s="810"/>
      <c r="CO8" s="810"/>
      <c r="CP8" s="810"/>
      <c r="CQ8" s="810"/>
      <c r="CR8" s="810"/>
      <c r="CS8" s="810"/>
      <c r="CT8" s="810"/>
      <c r="CU8" s="810"/>
      <c r="CV8" s="810"/>
      <c r="CW8" s="810"/>
      <c r="CX8" s="810"/>
      <c r="CY8" s="810"/>
      <c r="CZ8" s="810"/>
      <c r="DA8" s="810"/>
      <c r="DB8" s="810"/>
      <c r="DC8" s="810"/>
      <c r="DD8" s="810"/>
      <c r="DE8" s="810"/>
      <c r="DF8" s="810"/>
      <c r="DG8" s="810"/>
      <c r="DH8" s="810"/>
      <c r="DI8" s="810"/>
      <c r="DJ8" s="810"/>
      <c r="DK8" s="810"/>
      <c r="DL8" s="810"/>
      <c r="DM8" s="810"/>
      <c r="DN8" s="810"/>
      <c r="DO8" s="810"/>
      <c r="DP8" s="810"/>
      <c r="DQ8" s="810"/>
      <c r="DR8" s="810"/>
      <c r="DS8" s="810"/>
      <c r="DT8" s="810"/>
      <c r="DU8" s="810"/>
      <c r="DV8" s="810"/>
      <c r="DW8" s="810"/>
      <c r="DX8" s="810"/>
      <c r="DY8" s="810"/>
      <c r="DZ8" s="810"/>
      <c r="EA8" s="810"/>
      <c r="EB8" s="810"/>
      <c r="EC8" s="810"/>
      <c r="ED8" s="810"/>
      <c r="EE8" s="810"/>
      <c r="EF8" s="810"/>
      <c r="EG8" s="810"/>
      <c r="EH8" s="810"/>
      <c r="EI8" s="810"/>
      <c r="EJ8" s="810"/>
      <c r="EK8" s="810"/>
      <c r="EL8" s="810"/>
      <c r="EM8" s="810"/>
      <c r="EN8" s="810"/>
      <c r="EO8" s="810"/>
      <c r="EP8" s="810"/>
      <c r="EQ8" s="810"/>
      <c r="ER8" s="810"/>
      <c r="ES8" s="810"/>
      <c r="ET8" s="810"/>
      <c r="EU8" s="810"/>
      <c r="EV8" s="810"/>
      <c r="EW8" s="810"/>
      <c r="EX8" s="810"/>
      <c r="EY8" s="810"/>
      <c r="EZ8" s="810"/>
      <c r="FA8" s="810"/>
      <c r="FB8" s="810"/>
      <c r="FC8" s="810"/>
      <c r="FD8" s="810"/>
      <c r="FE8" s="810"/>
      <c r="FF8" s="810"/>
      <c r="FG8" s="810"/>
      <c r="FH8" s="810"/>
      <c r="FI8" s="810"/>
      <c r="FJ8" s="810"/>
      <c r="FK8" s="810"/>
      <c r="FL8" s="810"/>
      <c r="FM8" s="810"/>
      <c r="FN8" s="810"/>
      <c r="FO8" s="810"/>
      <c r="FP8" s="810"/>
      <c r="FQ8" s="810"/>
      <c r="FR8" s="810"/>
      <c r="FS8" s="810"/>
      <c r="FT8" s="810"/>
      <c r="FU8" s="810"/>
      <c r="FV8" s="810"/>
    </row>
    <row r="9" spans="2:178" s="32" customFormat="1" ht="9.75" customHeight="1"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797"/>
      <c r="V9" s="797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  <c r="AO9" s="583"/>
      <c r="AP9" s="583"/>
      <c r="AQ9" s="583"/>
      <c r="AR9" s="583"/>
      <c r="AS9" s="583"/>
      <c r="AT9" s="583"/>
      <c r="AU9" s="583"/>
      <c r="AV9" s="583"/>
      <c r="AW9" s="583"/>
      <c r="AX9" s="583"/>
      <c r="AY9" s="583"/>
      <c r="AZ9" s="583"/>
      <c r="BA9" s="583"/>
      <c r="BB9" s="583"/>
      <c r="BC9" s="583"/>
      <c r="BD9" s="583"/>
      <c r="BE9" s="583"/>
      <c r="BF9" s="583"/>
      <c r="BG9" s="583"/>
      <c r="BH9" s="583"/>
      <c r="BI9" s="583"/>
      <c r="BJ9" s="583"/>
      <c r="BK9" s="583"/>
      <c r="BL9" s="583"/>
      <c r="BM9" s="583"/>
      <c r="BN9" s="583"/>
      <c r="BO9" s="583"/>
      <c r="BP9" s="583"/>
      <c r="BQ9" s="583"/>
      <c r="BR9" s="583"/>
      <c r="BS9" s="583"/>
      <c r="BT9" s="583"/>
      <c r="BU9" s="583"/>
      <c r="BV9" s="583"/>
      <c r="BW9" s="583"/>
      <c r="BX9" s="583"/>
      <c r="BY9" s="583"/>
      <c r="BZ9" s="583"/>
      <c r="CA9" s="583"/>
      <c r="CB9" s="583"/>
      <c r="CC9" s="583"/>
      <c r="CD9" s="583"/>
      <c r="CE9" s="583"/>
      <c r="CF9" s="583"/>
      <c r="CG9" s="583"/>
      <c r="CH9" s="583"/>
      <c r="CI9" s="583"/>
      <c r="CJ9" s="583"/>
      <c r="CK9" s="583"/>
      <c r="CL9" s="583"/>
      <c r="CM9" s="583"/>
      <c r="CN9" s="583"/>
      <c r="CO9" s="583"/>
      <c r="CP9" s="583"/>
      <c r="CQ9" s="583"/>
      <c r="CR9" s="583"/>
      <c r="CS9" s="583"/>
      <c r="CT9" s="583"/>
      <c r="CU9" s="583"/>
      <c r="CV9" s="583"/>
      <c r="CW9" s="583"/>
      <c r="CX9" s="583"/>
      <c r="CY9" s="583"/>
      <c r="CZ9" s="583"/>
      <c r="DA9" s="583"/>
      <c r="DB9" s="583"/>
      <c r="DC9" s="583"/>
      <c r="DD9" s="583"/>
      <c r="DE9" s="583"/>
      <c r="DF9" s="583"/>
      <c r="DG9" s="583"/>
      <c r="DH9" s="583"/>
      <c r="DI9" s="583"/>
      <c r="DJ9" s="583"/>
      <c r="DK9" s="583"/>
      <c r="DL9" s="583"/>
      <c r="DM9" s="583"/>
      <c r="DN9" s="583"/>
      <c r="DO9" s="583"/>
      <c r="DP9" s="583"/>
      <c r="DQ9" s="583"/>
      <c r="DR9" s="583"/>
      <c r="DS9" s="583"/>
      <c r="DT9" s="583"/>
      <c r="DU9" s="583"/>
      <c r="DV9" s="583"/>
      <c r="DW9" s="583"/>
      <c r="DX9" s="583"/>
      <c r="DY9" s="583"/>
      <c r="DZ9" s="583"/>
      <c r="EA9" s="583"/>
      <c r="EB9" s="583"/>
      <c r="EC9" s="583"/>
      <c r="ED9" s="583"/>
      <c r="EE9" s="583"/>
      <c r="EF9" s="583"/>
      <c r="EG9" s="583"/>
      <c r="EH9" s="583"/>
      <c r="EI9" s="583"/>
      <c r="EJ9" s="583"/>
      <c r="EK9" s="583"/>
      <c r="EL9" s="583"/>
      <c r="EM9" s="583"/>
      <c r="EN9" s="583"/>
      <c r="EO9" s="583"/>
      <c r="EP9" s="583"/>
      <c r="EQ9" s="583"/>
      <c r="ER9" s="583"/>
      <c r="ES9" s="583"/>
      <c r="ET9" s="583"/>
      <c r="EU9" s="583"/>
      <c r="EV9" s="583"/>
      <c r="EW9" s="583"/>
      <c r="EX9" s="583"/>
      <c r="EY9" s="583"/>
      <c r="EZ9" s="583"/>
      <c r="FA9" s="583"/>
      <c r="FB9" s="583"/>
      <c r="FC9" s="583"/>
      <c r="FD9" s="583"/>
      <c r="FE9" s="583"/>
      <c r="FF9" s="583"/>
      <c r="FG9" s="583"/>
      <c r="FH9" s="583"/>
      <c r="FI9" s="583"/>
      <c r="FJ9" s="583"/>
      <c r="FK9" s="583"/>
      <c r="FL9" s="583"/>
      <c r="FM9" s="583"/>
      <c r="FN9" s="583"/>
      <c r="FO9" s="583"/>
      <c r="FP9" s="583"/>
      <c r="FQ9" s="583"/>
      <c r="FR9" s="583"/>
      <c r="FS9" s="583"/>
      <c r="FT9" s="583"/>
      <c r="FU9" s="583"/>
      <c r="FV9" s="583"/>
    </row>
    <row r="10" spans="2:178" s="812" customFormat="1" ht="23.25">
      <c r="B10" s="809" t="s">
        <v>305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3"/>
      <c r="W10" s="810"/>
      <c r="X10" s="810"/>
      <c r="Y10" s="810"/>
      <c r="Z10" s="810"/>
      <c r="AA10" s="810"/>
      <c r="AB10" s="810"/>
      <c r="AC10" s="810"/>
      <c r="AD10" s="810"/>
      <c r="AE10" s="810"/>
      <c r="AF10" s="810"/>
      <c r="AG10" s="810"/>
      <c r="AH10" s="810"/>
      <c r="AI10" s="810"/>
      <c r="AJ10" s="810"/>
      <c r="AK10" s="810"/>
      <c r="AL10" s="810"/>
      <c r="AM10" s="810"/>
      <c r="AN10" s="810"/>
      <c r="AO10" s="810"/>
      <c r="AP10" s="810"/>
      <c r="AQ10" s="810"/>
      <c r="AR10" s="810"/>
      <c r="AS10" s="810"/>
      <c r="AT10" s="810"/>
      <c r="AU10" s="810"/>
      <c r="AV10" s="810"/>
      <c r="AW10" s="810"/>
      <c r="AX10" s="810"/>
      <c r="AY10" s="810"/>
      <c r="AZ10" s="810"/>
      <c r="BA10" s="810"/>
      <c r="BB10" s="810"/>
      <c r="BC10" s="810"/>
      <c r="BD10" s="810"/>
      <c r="BE10" s="810"/>
      <c r="BF10" s="810"/>
      <c r="BG10" s="810"/>
      <c r="BH10" s="810"/>
      <c r="BI10" s="810"/>
      <c r="BJ10" s="810"/>
      <c r="BK10" s="810"/>
      <c r="BL10" s="810"/>
      <c r="BM10" s="810"/>
      <c r="BN10" s="810"/>
      <c r="BO10" s="810"/>
      <c r="BP10" s="810"/>
      <c r="BQ10" s="810"/>
      <c r="BR10" s="810"/>
      <c r="BS10" s="810"/>
      <c r="BT10" s="810"/>
      <c r="BU10" s="810"/>
      <c r="BV10" s="810"/>
      <c r="BW10" s="810"/>
      <c r="BX10" s="810"/>
      <c r="BY10" s="810"/>
      <c r="BZ10" s="810"/>
      <c r="CA10" s="810"/>
      <c r="CB10" s="810"/>
      <c r="CC10" s="810"/>
      <c r="CD10" s="810"/>
      <c r="CE10" s="810"/>
      <c r="CF10" s="810"/>
      <c r="CG10" s="810"/>
      <c r="CH10" s="810"/>
      <c r="CI10" s="810"/>
      <c r="CJ10" s="810"/>
      <c r="CK10" s="810"/>
      <c r="CL10" s="810"/>
      <c r="CM10" s="810"/>
      <c r="CN10" s="810"/>
      <c r="CO10" s="810"/>
      <c r="CP10" s="810"/>
      <c r="CQ10" s="810"/>
      <c r="CR10" s="810"/>
      <c r="CS10" s="810"/>
      <c r="CT10" s="810"/>
      <c r="CU10" s="810"/>
      <c r="CV10" s="810"/>
      <c r="CW10" s="810"/>
      <c r="CX10" s="810"/>
      <c r="CY10" s="810"/>
      <c r="CZ10" s="810"/>
      <c r="DA10" s="810"/>
      <c r="DB10" s="810"/>
      <c r="DC10" s="810"/>
      <c r="DD10" s="810"/>
      <c r="DE10" s="810"/>
      <c r="DF10" s="810"/>
      <c r="DG10" s="810"/>
      <c r="DH10" s="810"/>
      <c r="DI10" s="810"/>
      <c r="DJ10" s="810"/>
      <c r="DK10" s="810"/>
      <c r="DL10" s="810"/>
      <c r="DM10" s="810"/>
      <c r="DN10" s="810"/>
      <c r="DO10" s="810"/>
      <c r="DP10" s="810"/>
      <c r="DQ10" s="810"/>
      <c r="DR10" s="810"/>
      <c r="DS10" s="810"/>
      <c r="DT10" s="810"/>
      <c r="DU10" s="810"/>
      <c r="DV10" s="810"/>
      <c r="DW10" s="810"/>
      <c r="DX10" s="810"/>
      <c r="DY10" s="810"/>
      <c r="DZ10" s="810"/>
      <c r="EA10" s="810"/>
      <c r="EB10" s="810"/>
      <c r="EC10" s="810"/>
      <c r="ED10" s="810"/>
      <c r="EE10" s="810"/>
      <c r="EF10" s="810"/>
      <c r="EG10" s="810"/>
      <c r="EH10" s="810"/>
      <c r="EI10" s="810"/>
      <c r="EJ10" s="810"/>
      <c r="EK10" s="810"/>
      <c r="EL10" s="810"/>
      <c r="EM10" s="810"/>
      <c r="EN10" s="810"/>
      <c r="EO10" s="810"/>
      <c r="EP10" s="810"/>
      <c r="EQ10" s="810"/>
      <c r="ER10" s="810"/>
      <c r="ES10" s="810"/>
      <c r="ET10" s="810"/>
      <c r="EU10" s="810"/>
      <c r="EV10" s="810"/>
      <c r="EW10" s="810"/>
      <c r="EX10" s="810"/>
      <c r="EY10" s="810"/>
      <c r="EZ10" s="810"/>
      <c r="FA10" s="810"/>
      <c r="FB10" s="810"/>
      <c r="FC10" s="810"/>
      <c r="FD10" s="810"/>
      <c r="FE10" s="810"/>
      <c r="FF10" s="810"/>
      <c r="FG10" s="810"/>
      <c r="FH10" s="810"/>
      <c r="FI10" s="810"/>
      <c r="FJ10" s="810"/>
      <c r="FK10" s="810"/>
      <c r="FL10" s="810"/>
      <c r="FM10" s="810"/>
      <c r="FN10" s="810"/>
      <c r="FO10" s="810"/>
      <c r="FP10" s="810"/>
      <c r="FQ10" s="810"/>
      <c r="FR10" s="810"/>
      <c r="FS10" s="810"/>
      <c r="FT10" s="810"/>
      <c r="FU10" s="810"/>
      <c r="FV10" s="810"/>
    </row>
    <row r="11" spans="2:178" s="32" customFormat="1" ht="9.75" customHeight="1" thickBot="1"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797"/>
      <c r="V11" s="797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3"/>
      <c r="BS11" s="583"/>
      <c r="BT11" s="583"/>
      <c r="BU11" s="583"/>
      <c r="BV11" s="583"/>
      <c r="BW11" s="583"/>
      <c r="BX11" s="583"/>
      <c r="BY11" s="583"/>
      <c r="BZ11" s="583"/>
      <c r="CA11" s="583"/>
      <c r="CB11" s="583"/>
      <c r="CC11" s="583"/>
      <c r="CD11" s="583"/>
      <c r="CE11" s="583"/>
      <c r="CF11" s="583"/>
      <c r="CG11" s="583"/>
      <c r="CH11" s="583"/>
      <c r="CI11" s="583"/>
      <c r="CJ11" s="583"/>
      <c r="CK11" s="583"/>
      <c r="CL11" s="583"/>
      <c r="CM11" s="583"/>
      <c r="CN11" s="583"/>
      <c r="CO11" s="583"/>
      <c r="CP11" s="583"/>
      <c r="CQ11" s="583"/>
      <c r="CR11" s="583"/>
      <c r="CS11" s="583"/>
      <c r="CT11" s="583"/>
      <c r="CU11" s="583"/>
      <c r="CV11" s="583"/>
      <c r="CW11" s="583"/>
      <c r="CX11" s="583"/>
      <c r="CY11" s="583"/>
      <c r="CZ11" s="583"/>
      <c r="DA11" s="583"/>
      <c r="DB11" s="583"/>
      <c r="DC11" s="583"/>
      <c r="DD11" s="583"/>
      <c r="DE11" s="583"/>
      <c r="DF11" s="583"/>
      <c r="DG11" s="583"/>
      <c r="DH11" s="583"/>
      <c r="DI11" s="583"/>
      <c r="DJ11" s="583"/>
      <c r="DK11" s="583"/>
      <c r="DL11" s="583"/>
      <c r="DM11" s="583"/>
      <c r="DN11" s="583"/>
      <c r="DO11" s="583"/>
      <c r="DP11" s="583"/>
      <c r="DQ11" s="583"/>
      <c r="DR11" s="583"/>
      <c r="DS11" s="583"/>
      <c r="DT11" s="583"/>
      <c r="DU11" s="583"/>
      <c r="DV11" s="583"/>
      <c r="DW11" s="583"/>
      <c r="DX11" s="583"/>
      <c r="DY11" s="583"/>
      <c r="DZ11" s="583"/>
      <c r="EA11" s="583"/>
      <c r="EB11" s="583"/>
      <c r="EC11" s="583"/>
      <c r="ED11" s="583"/>
      <c r="EE11" s="583"/>
      <c r="EF11" s="583"/>
      <c r="EG11" s="583"/>
      <c r="EH11" s="583"/>
      <c r="EI11" s="583"/>
      <c r="EJ11" s="583"/>
      <c r="EK11" s="583"/>
      <c r="EL11" s="583"/>
      <c r="EM11" s="583"/>
      <c r="EN11" s="583"/>
      <c r="EO11" s="583"/>
      <c r="EP11" s="583"/>
      <c r="EQ11" s="583"/>
      <c r="ER11" s="583"/>
      <c r="ES11" s="583"/>
      <c r="ET11" s="583"/>
      <c r="EU11" s="583"/>
      <c r="EV11" s="583"/>
      <c r="EW11" s="583"/>
      <c r="EX11" s="583"/>
      <c r="EY11" s="583"/>
      <c r="EZ11" s="583"/>
      <c r="FA11" s="583"/>
      <c r="FB11" s="583"/>
      <c r="FC11" s="583"/>
      <c r="FD11" s="583"/>
      <c r="FE11" s="583"/>
      <c r="FF11" s="583"/>
      <c r="FG11" s="583"/>
      <c r="FH11" s="583"/>
      <c r="FI11" s="583"/>
      <c r="FJ11" s="583"/>
      <c r="FK11" s="583"/>
      <c r="FL11" s="583"/>
      <c r="FM11" s="583"/>
      <c r="FN11" s="583"/>
      <c r="FO11" s="583"/>
      <c r="FP11" s="583"/>
      <c r="FQ11" s="583"/>
      <c r="FR11" s="583"/>
      <c r="FS11" s="583"/>
      <c r="FT11" s="583"/>
      <c r="FU11" s="583"/>
      <c r="FV11" s="583"/>
    </row>
    <row r="12" spans="2:177" s="32" customFormat="1" ht="9.75" customHeight="1" thickTop="1">
      <c r="B12" s="814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6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  <c r="BE12" s="583"/>
      <c r="BF12" s="583"/>
      <c r="BG12" s="583"/>
      <c r="BH12" s="583"/>
      <c r="BI12" s="583"/>
      <c r="BJ12" s="583"/>
      <c r="BK12" s="583"/>
      <c r="BL12" s="583"/>
      <c r="BM12" s="583"/>
      <c r="BN12" s="583"/>
      <c r="BO12" s="583"/>
      <c r="BP12" s="583"/>
      <c r="BQ12" s="583"/>
      <c r="BR12" s="583"/>
      <c r="BS12" s="583"/>
      <c r="BT12" s="583"/>
      <c r="BU12" s="583"/>
      <c r="BV12" s="583"/>
      <c r="BW12" s="583"/>
      <c r="BX12" s="583"/>
      <c r="BY12" s="583"/>
      <c r="BZ12" s="583"/>
      <c r="CA12" s="583"/>
      <c r="CB12" s="583"/>
      <c r="CC12" s="583"/>
      <c r="CD12" s="583"/>
      <c r="CE12" s="583"/>
      <c r="CF12" s="583"/>
      <c r="CG12" s="583"/>
      <c r="CH12" s="583"/>
      <c r="CI12" s="583"/>
      <c r="CJ12" s="583"/>
      <c r="CK12" s="583"/>
      <c r="CL12" s="583"/>
      <c r="CM12" s="583"/>
      <c r="CN12" s="583"/>
      <c r="CO12" s="583"/>
      <c r="CP12" s="583"/>
      <c r="CQ12" s="583"/>
      <c r="CR12" s="583"/>
      <c r="CS12" s="583"/>
      <c r="CT12" s="583"/>
      <c r="CU12" s="583"/>
      <c r="CV12" s="583"/>
      <c r="CW12" s="583"/>
      <c r="CX12" s="583"/>
      <c r="CY12" s="583"/>
      <c r="CZ12" s="583"/>
      <c r="DA12" s="583"/>
      <c r="DB12" s="583"/>
      <c r="DC12" s="583"/>
      <c r="DD12" s="583"/>
      <c r="DE12" s="583"/>
      <c r="DF12" s="583"/>
      <c r="DG12" s="583"/>
      <c r="DH12" s="583"/>
      <c r="DI12" s="583"/>
      <c r="DJ12" s="583"/>
      <c r="DK12" s="583"/>
      <c r="DL12" s="583"/>
      <c r="DM12" s="583"/>
      <c r="DN12" s="583"/>
      <c r="DO12" s="583"/>
      <c r="DP12" s="583"/>
      <c r="DQ12" s="583"/>
      <c r="DR12" s="583"/>
      <c r="DS12" s="583"/>
      <c r="DT12" s="583"/>
      <c r="DU12" s="583"/>
      <c r="DV12" s="583"/>
      <c r="DW12" s="583"/>
      <c r="DX12" s="583"/>
      <c r="DY12" s="583"/>
      <c r="DZ12" s="583"/>
      <c r="EA12" s="583"/>
      <c r="EB12" s="583"/>
      <c r="EC12" s="583"/>
      <c r="ED12" s="583"/>
      <c r="EE12" s="583"/>
      <c r="EF12" s="583"/>
      <c r="EG12" s="583"/>
      <c r="EH12" s="583"/>
      <c r="EI12" s="583"/>
      <c r="EJ12" s="583"/>
      <c r="EK12" s="583"/>
      <c r="EL12" s="583"/>
      <c r="EM12" s="583"/>
      <c r="EN12" s="583"/>
      <c r="EO12" s="583"/>
      <c r="EP12" s="583"/>
      <c r="EQ12" s="583"/>
      <c r="ER12" s="583"/>
      <c r="ES12" s="583"/>
      <c r="ET12" s="583"/>
      <c r="EU12" s="583"/>
      <c r="EV12" s="583"/>
      <c r="EW12" s="583"/>
      <c r="EX12" s="583"/>
      <c r="EY12" s="583"/>
      <c r="EZ12" s="583"/>
      <c r="FA12" s="583"/>
      <c r="FB12" s="583"/>
      <c r="FC12" s="583"/>
      <c r="FD12" s="583"/>
      <c r="FE12" s="583"/>
      <c r="FF12" s="583"/>
      <c r="FG12" s="583"/>
      <c r="FH12" s="583"/>
      <c r="FI12" s="583"/>
      <c r="FJ12" s="583"/>
      <c r="FK12" s="583"/>
      <c r="FL12" s="583"/>
      <c r="FM12" s="583"/>
      <c r="FN12" s="583"/>
      <c r="FO12" s="583"/>
      <c r="FP12" s="583"/>
      <c r="FQ12" s="583"/>
      <c r="FR12" s="583"/>
      <c r="FS12" s="583"/>
      <c r="FT12" s="583"/>
      <c r="FU12" s="583"/>
    </row>
    <row r="13" spans="2:177" s="32" customFormat="1" ht="19.5">
      <c r="B13" s="37" t="s">
        <v>306</v>
      </c>
      <c r="C13" s="817"/>
      <c r="D13" s="817"/>
      <c r="E13" s="817"/>
      <c r="F13" s="817"/>
      <c r="G13" s="817"/>
      <c r="H13" s="817"/>
      <c r="I13" s="817"/>
      <c r="J13" s="817"/>
      <c r="K13" s="817"/>
      <c r="L13" s="817"/>
      <c r="M13" s="817"/>
      <c r="N13" s="817"/>
      <c r="O13" s="817"/>
      <c r="P13" s="817"/>
      <c r="Q13" s="817"/>
      <c r="R13" s="817"/>
      <c r="S13" s="817"/>
      <c r="T13" s="817"/>
      <c r="U13" s="818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/>
      <c r="AV13" s="583"/>
      <c r="AW13" s="583"/>
      <c r="AX13" s="583"/>
      <c r="AY13" s="583"/>
      <c r="AZ13" s="583"/>
      <c r="BA13" s="583"/>
      <c r="BB13" s="583"/>
      <c r="BC13" s="583"/>
      <c r="BD13" s="583"/>
      <c r="BE13" s="583"/>
      <c r="BF13" s="583"/>
      <c r="BG13" s="583"/>
      <c r="BH13" s="583"/>
      <c r="BI13" s="583"/>
      <c r="BJ13" s="583"/>
      <c r="BK13" s="583"/>
      <c r="BL13" s="583"/>
      <c r="BM13" s="583"/>
      <c r="BN13" s="583"/>
      <c r="BO13" s="583"/>
      <c r="BP13" s="583"/>
      <c r="BQ13" s="583"/>
      <c r="BR13" s="583"/>
      <c r="BS13" s="583"/>
      <c r="BT13" s="583"/>
      <c r="BU13" s="583"/>
      <c r="BV13" s="583"/>
      <c r="BW13" s="583"/>
      <c r="BX13" s="583"/>
      <c r="BY13" s="583"/>
      <c r="BZ13" s="583"/>
      <c r="CA13" s="583"/>
      <c r="CB13" s="583"/>
      <c r="CC13" s="583"/>
      <c r="CD13" s="583"/>
      <c r="CE13" s="583"/>
      <c r="CF13" s="583"/>
      <c r="CG13" s="583"/>
      <c r="CH13" s="583"/>
      <c r="CI13" s="583"/>
      <c r="CJ13" s="583"/>
      <c r="CK13" s="583"/>
      <c r="CL13" s="583"/>
      <c r="CM13" s="583"/>
      <c r="CN13" s="583"/>
      <c r="CO13" s="583"/>
      <c r="CP13" s="583"/>
      <c r="CQ13" s="583"/>
      <c r="CR13" s="583"/>
      <c r="CS13" s="583"/>
      <c r="CT13" s="583"/>
      <c r="CU13" s="583"/>
      <c r="CV13" s="583"/>
      <c r="CW13" s="583"/>
      <c r="CX13" s="583"/>
      <c r="CY13" s="583"/>
      <c r="CZ13" s="583"/>
      <c r="DA13" s="583"/>
      <c r="DB13" s="583"/>
      <c r="DC13" s="583"/>
      <c r="DD13" s="583"/>
      <c r="DE13" s="583"/>
      <c r="DF13" s="583"/>
      <c r="DG13" s="583"/>
      <c r="DH13" s="583"/>
      <c r="DI13" s="583"/>
      <c r="DJ13" s="583"/>
      <c r="DK13" s="583"/>
      <c r="DL13" s="583"/>
      <c r="DM13" s="583"/>
      <c r="DN13" s="583"/>
      <c r="DO13" s="583"/>
      <c r="DP13" s="583"/>
      <c r="DQ13" s="583"/>
      <c r="DR13" s="583"/>
      <c r="DS13" s="583"/>
      <c r="DT13" s="583"/>
      <c r="DU13" s="583"/>
      <c r="DV13" s="583"/>
      <c r="DW13" s="583"/>
      <c r="DX13" s="583"/>
      <c r="DY13" s="583"/>
      <c r="DZ13" s="583"/>
      <c r="EA13" s="583"/>
      <c r="EB13" s="583"/>
      <c r="EC13" s="583"/>
      <c r="ED13" s="583"/>
      <c r="EE13" s="583"/>
      <c r="EF13" s="583"/>
      <c r="EG13" s="583"/>
      <c r="EH13" s="583"/>
      <c r="EI13" s="583"/>
      <c r="EJ13" s="583"/>
      <c r="EK13" s="583"/>
      <c r="EL13" s="583"/>
      <c r="EM13" s="583"/>
      <c r="EN13" s="583"/>
      <c r="EO13" s="583"/>
      <c r="EP13" s="583"/>
      <c r="EQ13" s="583"/>
      <c r="ER13" s="583"/>
      <c r="ES13" s="583"/>
      <c r="ET13" s="583"/>
      <c r="EU13" s="583"/>
      <c r="EV13" s="583"/>
      <c r="EW13" s="583"/>
      <c r="EX13" s="583"/>
      <c r="EY13" s="583"/>
      <c r="EZ13" s="583"/>
      <c r="FA13" s="583"/>
      <c r="FB13" s="583"/>
      <c r="FC13" s="583"/>
      <c r="FD13" s="583"/>
      <c r="FE13" s="583"/>
      <c r="FF13" s="583"/>
      <c r="FG13" s="583"/>
      <c r="FH13" s="583"/>
      <c r="FI13" s="583"/>
      <c r="FJ13" s="583"/>
      <c r="FK13" s="583"/>
      <c r="FL13" s="583"/>
      <c r="FM13" s="583"/>
      <c r="FN13" s="583"/>
      <c r="FO13" s="583"/>
      <c r="FP13" s="583"/>
      <c r="FQ13" s="583"/>
      <c r="FR13" s="583"/>
      <c r="FS13" s="583"/>
      <c r="FT13" s="583"/>
      <c r="FU13" s="583"/>
    </row>
    <row r="14" spans="2:21" s="32" customFormat="1" ht="9.75" customHeight="1" thickBot="1">
      <c r="B14" s="49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819"/>
    </row>
    <row r="15" spans="2:21" s="820" customFormat="1" ht="33.75" customHeight="1" thickBot="1" thickTop="1">
      <c r="B15" s="821"/>
      <c r="C15" s="84"/>
      <c r="D15" s="84" t="s">
        <v>0</v>
      </c>
      <c r="E15" s="131" t="s">
        <v>13</v>
      </c>
      <c r="F15" s="131" t="s">
        <v>14</v>
      </c>
      <c r="G15" s="822" t="s">
        <v>307</v>
      </c>
      <c r="H15" s="822">
        <v>39295</v>
      </c>
      <c r="I15" s="822">
        <v>39326</v>
      </c>
      <c r="J15" s="822">
        <v>39356</v>
      </c>
      <c r="K15" s="822">
        <v>39387</v>
      </c>
      <c r="L15" s="822">
        <v>39417</v>
      </c>
      <c r="M15" s="822">
        <v>39448</v>
      </c>
      <c r="N15" s="822">
        <v>39479</v>
      </c>
      <c r="O15" s="822">
        <v>39508</v>
      </c>
      <c r="P15" s="822">
        <v>39539</v>
      </c>
      <c r="Q15" s="822">
        <v>39569</v>
      </c>
      <c r="R15" s="822">
        <v>39600</v>
      </c>
      <c r="S15" s="822">
        <v>39630</v>
      </c>
      <c r="T15" s="822">
        <v>39661</v>
      </c>
      <c r="U15" s="823"/>
    </row>
    <row r="16" spans="2:21" s="800" customFormat="1" ht="9.75" customHeight="1" thickTop="1">
      <c r="B16" s="801"/>
      <c r="C16" s="802"/>
      <c r="D16" s="824"/>
      <c r="E16" s="824"/>
      <c r="F16" s="824"/>
      <c r="G16" s="824"/>
      <c r="H16" s="825"/>
      <c r="I16" s="825"/>
      <c r="J16" s="825"/>
      <c r="K16" s="825"/>
      <c r="L16" s="825"/>
      <c r="M16" s="825"/>
      <c r="N16" s="825"/>
      <c r="O16" s="825"/>
      <c r="P16" s="825"/>
      <c r="Q16" s="825"/>
      <c r="R16" s="825"/>
      <c r="S16" s="825"/>
      <c r="T16" s="826"/>
      <c r="U16" s="827"/>
    </row>
    <row r="17" spans="2:21" s="800" customFormat="1" ht="19.5" customHeight="1">
      <c r="B17" s="801"/>
      <c r="C17" s="828">
        <f>IF('[2]BASE'!C17=0,"",'[2]BASE'!C17)</f>
        <v>1</v>
      </c>
      <c r="D17" s="828" t="str">
        <f>IF('[2]BASE'!D17=0,"",'[2]BASE'!D17)</f>
        <v>ABASTO - OLAVARRIA 1</v>
      </c>
      <c r="E17" s="828">
        <f>IF('[2]BASE'!E17=0,"",'[2]BASE'!E17)</f>
        <v>500</v>
      </c>
      <c r="F17" s="828">
        <f>IF('[2]BASE'!F17=0,"",'[2]BASE'!F17)</f>
        <v>291</v>
      </c>
      <c r="G17" s="829" t="str">
        <f>IF('[2]BASE'!G17=0,"",'[2]BASE'!G17)</f>
        <v>B</v>
      </c>
      <c r="H17" s="830">
        <f>IF('[2]BASE'!FP17=0,"",'[2]BASE'!FP17)</f>
      </c>
      <c r="I17" s="830">
        <f>IF('[2]BASE'!FQ17=0,"",'[2]BASE'!FQ17)</f>
      </c>
      <c r="J17" s="830">
        <f>IF('[2]BASE'!FR17=0,"",'[2]BASE'!FR17)</f>
      </c>
      <c r="K17" s="830">
        <f>IF('[2]BASE'!FS17=0,"",'[2]BASE'!FS17)</f>
      </c>
      <c r="L17" s="830">
        <f>IF('[2]BASE'!FT17=0,"",'[2]BASE'!FT17)</f>
      </c>
      <c r="M17" s="830">
        <f>IF('[2]BASE'!FU17=0,"",'[2]BASE'!FU17)</f>
      </c>
      <c r="N17" s="830">
        <f>IF('[2]BASE'!FV17=0,"",'[2]BASE'!FV17)</f>
      </c>
      <c r="O17" s="830">
        <f>IF('[2]BASE'!FW17=0,"",'[2]BASE'!FW17)</f>
      </c>
      <c r="P17" s="830">
        <f>IF('[2]BASE'!FX17=0,"",'[2]BASE'!FX17)</f>
      </c>
      <c r="Q17" s="830">
        <f>IF('[2]BASE'!FY17=0,"",'[2]BASE'!FY17)</f>
      </c>
      <c r="R17" s="830">
        <f>IF('[2]BASE'!FZ17=0,"",'[2]BASE'!FZ17)</f>
      </c>
      <c r="S17" s="830">
        <f>IF('[2]BASE'!GA17=0,"",'[2]BASE'!GA17)</f>
      </c>
      <c r="T17" s="831"/>
      <c r="U17" s="827"/>
    </row>
    <row r="18" spans="2:21" s="800" customFormat="1" ht="19.5" customHeight="1">
      <c r="B18" s="801"/>
      <c r="C18" s="832">
        <f>IF('[2]BASE'!C18=0,"",'[2]BASE'!C18)</f>
        <v>2</v>
      </c>
      <c r="D18" s="832" t="str">
        <f>IF('[2]BASE'!D18=0,"",'[2]BASE'!D18)</f>
        <v>ABASTO - OLAVARRIA 2</v>
      </c>
      <c r="E18" s="832">
        <f>IF('[2]BASE'!E18=0,"",'[2]BASE'!E18)</f>
        <v>500</v>
      </c>
      <c r="F18" s="832">
        <f>IF('[2]BASE'!F18=0,"",'[2]BASE'!F18)</f>
        <v>301.9</v>
      </c>
      <c r="G18" s="833">
        <f>IF('[2]BASE'!G18=0,"",'[2]BASE'!G18)</f>
      </c>
      <c r="H18" s="830">
        <f>IF('[2]BASE'!FP18=0,"",'[2]BASE'!FP18)</f>
      </c>
      <c r="I18" s="830">
        <f>IF('[2]BASE'!FQ18=0,"",'[2]BASE'!FQ18)</f>
      </c>
      <c r="J18" s="830">
        <f>IF('[2]BASE'!FR18=0,"",'[2]BASE'!FR18)</f>
      </c>
      <c r="K18" s="830">
        <f>IF('[2]BASE'!FS18=0,"",'[2]BASE'!FS18)</f>
      </c>
      <c r="L18" s="830">
        <f>IF('[2]BASE'!FT18=0,"",'[2]BASE'!FT18)</f>
      </c>
      <c r="M18" s="830">
        <f>IF('[2]BASE'!FU18=0,"",'[2]BASE'!FU18)</f>
      </c>
      <c r="N18" s="830">
        <f>IF('[2]BASE'!FV18=0,"",'[2]BASE'!FV18)</f>
      </c>
      <c r="O18" s="830">
        <f>IF('[2]BASE'!FW18=0,"",'[2]BASE'!FW18)</f>
      </c>
      <c r="P18" s="830">
        <f>IF('[2]BASE'!FX18=0,"",'[2]BASE'!FX18)</f>
      </c>
      <c r="Q18" s="830">
        <f>IF('[2]BASE'!FY18=0,"",'[2]BASE'!FY18)</f>
      </c>
      <c r="R18" s="830">
        <f>IF('[2]BASE'!FZ18=0,"",'[2]BASE'!FZ18)</f>
      </c>
      <c r="S18" s="830">
        <f>IF('[2]BASE'!GA18=0,"",'[2]BASE'!GA18)</f>
      </c>
      <c r="T18" s="831"/>
      <c r="U18" s="827"/>
    </row>
    <row r="19" spans="2:21" s="800" customFormat="1" ht="19.5" customHeight="1">
      <c r="B19" s="801"/>
      <c r="C19" s="834">
        <f>IF('[2]BASE'!C19=0,"",'[2]BASE'!C19)</f>
        <v>3</v>
      </c>
      <c r="D19" s="834" t="str">
        <f>IF('[2]BASE'!D19=0,"",'[2]BASE'!D19)</f>
        <v>AGUA DEL CAJON - CHOCON OESTE</v>
      </c>
      <c r="E19" s="834">
        <f>IF('[2]BASE'!E19=0,"",'[2]BASE'!E19)</f>
        <v>500</v>
      </c>
      <c r="F19" s="834">
        <f>IF('[2]BASE'!F19=0,"",'[2]BASE'!F19)</f>
        <v>52</v>
      </c>
      <c r="G19" s="835">
        <f>IF('[2]BASE'!G19=0,"",'[2]BASE'!G19)</f>
      </c>
      <c r="H19" s="830">
        <f>IF('[2]BASE'!FP19=0,"",'[2]BASE'!FP19)</f>
      </c>
      <c r="I19" s="830">
        <f>IF('[2]BASE'!FQ19=0,"",'[2]BASE'!FQ19)</f>
      </c>
      <c r="J19" s="830">
        <f>IF('[2]BASE'!FR19=0,"",'[2]BASE'!FR19)</f>
      </c>
      <c r="K19" s="830">
        <f>IF('[2]BASE'!FS19=0,"",'[2]BASE'!FS19)</f>
      </c>
      <c r="L19" s="830">
        <f>IF('[2]BASE'!FT19=0,"",'[2]BASE'!FT19)</f>
      </c>
      <c r="M19" s="830">
        <f>IF('[2]BASE'!FU19=0,"",'[2]BASE'!FU19)</f>
      </c>
      <c r="N19" s="830">
        <f>IF('[2]BASE'!FV19=0,"",'[2]BASE'!FV19)</f>
      </c>
      <c r="O19" s="830">
        <f>IF('[2]BASE'!FW19=0,"",'[2]BASE'!FW19)</f>
      </c>
      <c r="P19" s="830">
        <f>IF('[2]BASE'!FX19=0,"",'[2]BASE'!FX19)</f>
      </c>
      <c r="Q19" s="830">
        <f>IF('[2]BASE'!FY19=0,"",'[2]BASE'!FY19)</f>
      </c>
      <c r="R19" s="830">
        <f>IF('[2]BASE'!FZ19=0,"",'[2]BASE'!FZ19)</f>
      </c>
      <c r="S19" s="830">
        <f>IF('[2]BASE'!GA19=0,"",'[2]BASE'!GA19)</f>
      </c>
      <c r="T19" s="831"/>
      <c r="U19" s="827"/>
    </row>
    <row r="20" spans="2:21" s="800" customFormat="1" ht="19.5" customHeight="1">
      <c r="B20" s="801"/>
      <c r="C20" s="832">
        <f>IF('[2]BASE'!C20=0,"",'[2]BASE'!C20)</f>
        <v>4</v>
      </c>
      <c r="D20" s="832" t="str">
        <f>IF('[2]BASE'!D20=0,"",'[2]BASE'!D20)</f>
        <v>ALICURA - E.T. P.del A. 1 (5LG1)</v>
      </c>
      <c r="E20" s="832">
        <f>IF('[2]BASE'!E20=0,"",'[2]BASE'!E20)</f>
        <v>500</v>
      </c>
      <c r="F20" s="832">
        <f>IF('[2]BASE'!F20=0,"",'[2]BASE'!F20)</f>
        <v>76</v>
      </c>
      <c r="G20" s="833" t="str">
        <f>IF('[2]BASE'!G20=0,"",'[2]BASE'!G20)</f>
        <v>C</v>
      </c>
      <c r="H20" s="830">
        <f>IF('[2]BASE'!FP20=0,"",'[2]BASE'!FP20)</f>
      </c>
      <c r="I20" s="830">
        <f>IF('[2]BASE'!FQ20=0,"",'[2]BASE'!FQ20)</f>
      </c>
      <c r="J20" s="830">
        <f>IF('[2]BASE'!FR20=0,"",'[2]BASE'!FR20)</f>
      </c>
      <c r="K20" s="830">
        <f>IF('[2]BASE'!FS20=0,"",'[2]BASE'!FS20)</f>
      </c>
      <c r="L20" s="830">
        <f>IF('[2]BASE'!FT20=0,"",'[2]BASE'!FT20)</f>
        <v>1</v>
      </c>
      <c r="M20" s="830">
        <f>IF('[2]BASE'!FU20=0,"",'[2]BASE'!FU20)</f>
      </c>
      <c r="N20" s="830">
        <f>IF('[2]BASE'!FV20=0,"",'[2]BASE'!FV20)</f>
      </c>
      <c r="O20" s="830">
        <f>IF('[2]BASE'!FW20=0,"",'[2]BASE'!FW20)</f>
      </c>
      <c r="P20" s="830">
        <f>IF('[2]BASE'!FX20=0,"",'[2]BASE'!FX20)</f>
      </c>
      <c r="Q20" s="830">
        <f>IF('[2]BASE'!FY20=0,"",'[2]BASE'!FY20)</f>
      </c>
      <c r="R20" s="830">
        <f>IF('[2]BASE'!FZ20=0,"",'[2]BASE'!FZ20)</f>
      </c>
      <c r="S20" s="830">
        <f>IF('[2]BASE'!GA20=0,"",'[2]BASE'!GA20)</f>
      </c>
      <c r="T20" s="831"/>
      <c r="U20" s="827"/>
    </row>
    <row r="21" spans="2:21" s="800" customFormat="1" ht="19.5" customHeight="1">
      <c r="B21" s="801"/>
      <c r="C21" s="834">
        <f>IF('[2]BASE'!C21=0,"",'[2]BASE'!C21)</f>
        <v>5</v>
      </c>
      <c r="D21" s="834" t="str">
        <f>IF('[2]BASE'!D21=0,"",'[2]BASE'!D21)</f>
        <v>ALICURA - E.T. P.del A. 2 (5LG2)</v>
      </c>
      <c r="E21" s="834">
        <f>IF('[2]BASE'!E21=0,"",'[2]BASE'!E21)</f>
        <v>500</v>
      </c>
      <c r="F21" s="834">
        <f>IF('[2]BASE'!F21=0,"",'[2]BASE'!F21)</f>
        <v>76</v>
      </c>
      <c r="G21" s="835" t="str">
        <f>IF('[2]BASE'!G21=0,"",'[2]BASE'!G21)</f>
        <v>C</v>
      </c>
      <c r="H21" s="830">
        <f>IF('[2]BASE'!FP21=0,"",'[2]BASE'!FP21)</f>
      </c>
      <c r="I21" s="830">
        <f>IF('[2]BASE'!FQ21=0,"",'[2]BASE'!FQ21)</f>
      </c>
      <c r="J21" s="830">
        <f>IF('[2]BASE'!FR21=0,"",'[2]BASE'!FR21)</f>
      </c>
      <c r="K21" s="830">
        <f>IF('[2]BASE'!FS21=0,"",'[2]BASE'!FS21)</f>
      </c>
      <c r="L21" s="830">
        <f>IF('[2]BASE'!FT21=0,"",'[2]BASE'!FT21)</f>
      </c>
      <c r="M21" s="830">
        <f>IF('[2]BASE'!FU21=0,"",'[2]BASE'!FU21)</f>
      </c>
      <c r="N21" s="830">
        <f>IF('[2]BASE'!FV21=0,"",'[2]BASE'!FV21)</f>
      </c>
      <c r="O21" s="830">
        <f>IF('[2]BASE'!FW21=0,"",'[2]BASE'!FW21)</f>
      </c>
      <c r="P21" s="830">
        <f>IF('[2]BASE'!FX21=0,"",'[2]BASE'!FX21)</f>
      </c>
      <c r="Q21" s="830">
        <f>IF('[2]BASE'!FY21=0,"",'[2]BASE'!FY21)</f>
      </c>
      <c r="R21" s="830">
        <f>IF('[2]BASE'!FZ21=0,"",'[2]BASE'!FZ21)</f>
      </c>
      <c r="S21" s="830">
        <f>IF('[2]BASE'!GA21=0,"",'[2]BASE'!GA21)</f>
      </c>
      <c r="T21" s="831"/>
      <c r="U21" s="827"/>
    </row>
    <row r="22" spans="2:21" s="800" customFormat="1" ht="19.5" customHeight="1">
      <c r="B22" s="801"/>
      <c r="C22" s="832">
        <f>IF('[2]BASE'!C22=0,"",'[2]BASE'!C22)</f>
        <v>6</v>
      </c>
      <c r="D22" s="832" t="str">
        <f>IF('[2]BASE'!D22=0,"",'[2]BASE'!D22)</f>
        <v>ALMAFUERTE - EMBALSE </v>
      </c>
      <c r="E22" s="832">
        <f>IF('[2]BASE'!E22=0,"",'[2]BASE'!E22)</f>
        <v>500</v>
      </c>
      <c r="F22" s="832">
        <f>IF('[2]BASE'!F22=0,"",'[2]BASE'!F22)</f>
        <v>12</v>
      </c>
      <c r="G22" s="833" t="str">
        <f>IF('[2]BASE'!G22=0,"",'[2]BASE'!G22)</f>
        <v>A</v>
      </c>
      <c r="H22" s="830">
        <f>IF('[2]BASE'!FP22=0,"",'[2]BASE'!FP22)</f>
      </c>
      <c r="I22" s="830">
        <f>IF('[2]BASE'!FQ22=0,"",'[2]BASE'!FQ22)</f>
      </c>
      <c r="J22" s="830">
        <f>IF('[2]BASE'!FR22=0,"",'[2]BASE'!FR22)</f>
      </c>
      <c r="K22" s="830">
        <f>IF('[2]BASE'!FS22=0,"",'[2]BASE'!FS22)</f>
      </c>
      <c r="L22" s="830">
        <f>IF('[2]BASE'!FT22=0,"",'[2]BASE'!FT22)</f>
      </c>
      <c r="M22" s="830">
        <f>IF('[2]BASE'!FU22=0,"",'[2]BASE'!FU22)</f>
      </c>
      <c r="N22" s="830">
        <f>IF('[2]BASE'!FV22=0,"",'[2]BASE'!FV22)</f>
      </c>
      <c r="O22" s="830">
        <f>IF('[2]BASE'!FW22=0,"",'[2]BASE'!FW22)</f>
      </c>
      <c r="P22" s="830">
        <f>IF('[2]BASE'!FX22=0,"",'[2]BASE'!FX22)</f>
      </c>
      <c r="Q22" s="830">
        <f>IF('[2]BASE'!FY22=0,"",'[2]BASE'!FY22)</f>
      </c>
      <c r="R22" s="830">
        <f>IF('[2]BASE'!FZ22=0,"",'[2]BASE'!FZ22)</f>
      </c>
      <c r="S22" s="830">
        <f>IF('[2]BASE'!GA22=0,"",'[2]BASE'!GA22)</f>
      </c>
      <c r="T22" s="831"/>
      <c r="U22" s="827"/>
    </row>
    <row r="23" spans="2:21" s="800" customFormat="1" ht="19.5" customHeight="1">
      <c r="B23" s="801"/>
      <c r="C23" s="834">
        <f>IF('[2]BASE'!C23=0,"",'[2]BASE'!C23)</f>
        <v>7</v>
      </c>
      <c r="D23" s="834" t="str">
        <f>IF('[2]BASE'!D23=0,"",'[2]BASE'!D23)</f>
        <v> ALMAFUERTE - ROSARIO OESTE</v>
      </c>
      <c r="E23" s="834">
        <f>IF('[2]BASE'!E23=0,"",'[2]BASE'!E23)</f>
        <v>500</v>
      </c>
      <c r="F23" s="834">
        <f>IF('[2]BASE'!F23=0,"",'[2]BASE'!F23)</f>
        <v>345</v>
      </c>
      <c r="G23" s="835" t="str">
        <f>IF('[2]BASE'!G23=0,"",'[2]BASE'!G23)</f>
        <v>B</v>
      </c>
      <c r="H23" s="830">
        <f>IF('[2]BASE'!FP23=0,"",'[2]BASE'!FP23)</f>
      </c>
      <c r="I23" s="830">
        <f>IF('[2]BASE'!FQ23=0,"",'[2]BASE'!FQ23)</f>
      </c>
      <c r="J23" s="830">
        <f>IF('[2]BASE'!FR23=0,"",'[2]BASE'!FR23)</f>
      </c>
      <c r="K23" s="830">
        <f>IF('[2]BASE'!FS23=0,"",'[2]BASE'!FS23)</f>
      </c>
      <c r="L23" s="830">
        <f>IF('[2]BASE'!FT23=0,"",'[2]BASE'!FT23)</f>
      </c>
      <c r="M23" s="830">
        <f>IF('[2]BASE'!FU23=0,"",'[2]BASE'!FU23)</f>
      </c>
      <c r="N23" s="830">
        <f>IF('[2]BASE'!FV23=0,"",'[2]BASE'!FV23)</f>
      </c>
      <c r="O23" s="830">
        <f>IF('[2]BASE'!FW23=0,"",'[2]BASE'!FW23)</f>
      </c>
      <c r="P23" s="830">
        <f>IF('[2]BASE'!FX23=0,"",'[2]BASE'!FX23)</f>
      </c>
      <c r="Q23" s="830">
        <f>IF('[2]BASE'!FY23=0,"",'[2]BASE'!FY23)</f>
      </c>
      <c r="R23" s="830">
        <f>IF('[2]BASE'!FZ23=0,"",'[2]BASE'!FZ23)</f>
      </c>
      <c r="S23" s="830">
        <f>IF('[2]BASE'!GA23=0,"",'[2]BASE'!GA23)</f>
        <v>1</v>
      </c>
      <c r="T23" s="831"/>
      <c r="U23" s="827"/>
    </row>
    <row r="24" spans="2:21" s="800" customFormat="1" ht="19.5" customHeight="1">
      <c r="B24" s="801"/>
      <c r="C24" s="832">
        <f>IF('[2]BASE'!C24=0,"",'[2]BASE'!C24)</f>
        <v>8</v>
      </c>
      <c r="D24" s="832" t="str">
        <f>IF('[2]BASE'!D24=0,"",'[2]BASE'!D24)</f>
        <v>BAHIA BLANCA - CHOELE CHOEL 1</v>
      </c>
      <c r="E24" s="832">
        <f>IF('[2]BASE'!E24=0,"",'[2]BASE'!E24)</f>
        <v>500</v>
      </c>
      <c r="F24" s="832">
        <f>IF('[2]BASE'!F24=0,"",'[2]BASE'!F24)</f>
        <v>346</v>
      </c>
      <c r="G24" s="833" t="str">
        <f>IF('[2]BASE'!G24=0,"",'[2]BASE'!G24)</f>
        <v>B</v>
      </c>
      <c r="H24" s="830">
        <f>IF('[2]BASE'!FP24=0,"",'[2]BASE'!FP24)</f>
        <v>1</v>
      </c>
      <c r="I24" s="830">
        <f>IF('[2]BASE'!FQ24=0,"",'[2]BASE'!FQ24)</f>
      </c>
      <c r="J24" s="830">
        <f>IF('[2]BASE'!FR24=0,"",'[2]BASE'!FR24)</f>
      </c>
      <c r="K24" s="830">
        <f>IF('[2]BASE'!FS24=0,"",'[2]BASE'!FS24)</f>
        <v>1</v>
      </c>
      <c r="L24" s="830">
        <f>IF('[2]BASE'!FT24=0,"",'[2]BASE'!FT24)</f>
      </c>
      <c r="M24" s="830">
        <f>IF('[2]BASE'!FU24=0,"",'[2]BASE'!FU24)</f>
      </c>
      <c r="N24" s="830">
        <f>IF('[2]BASE'!FV24=0,"",'[2]BASE'!FV24)</f>
      </c>
      <c r="O24" s="830">
        <f>IF('[2]BASE'!FW24=0,"",'[2]BASE'!FW24)</f>
      </c>
      <c r="P24" s="830">
        <f>IF('[2]BASE'!FX24=0,"",'[2]BASE'!FX24)</f>
      </c>
      <c r="Q24" s="830">
        <f>IF('[2]BASE'!FY24=0,"",'[2]BASE'!FY24)</f>
      </c>
      <c r="R24" s="830">
        <f>IF('[2]BASE'!FZ24=0,"",'[2]BASE'!FZ24)</f>
      </c>
      <c r="S24" s="830">
        <f>IF('[2]BASE'!GA24=0,"",'[2]BASE'!GA24)</f>
      </c>
      <c r="T24" s="831"/>
      <c r="U24" s="827"/>
    </row>
    <row r="25" spans="2:21" s="800" customFormat="1" ht="19.5" customHeight="1">
      <c r="B25" s="801"/>
      <c r="C25" s="834">
        <f>IF('[2]BASE'!C25=0,"",'[2]BASE'!C25)</f>
        <v>9</v>
      </c>
      <c r="D25" s="834" t="str">
        <f>IF('[2]BASE'!D25=0,"",'[2]BASE'!D25)</f>
        <v>BAHIA BLANCA - CHOELE CHOEL 2</v>
      </c>
      <c r="E25" s="834">
        <f>IF('[2]BASE'!E25=0,"",'[2]BASE'!E25)</f>
        <v>500</v>
      </c>
      <c r="F25" s="834">
        <f>IF('[2]BASE'!F25=0,"",'[2]BASE'!F25)</f>
        <v>348.4</v>
      </c>
      <c r="G25" s="835">
        <f>IF('[2]BASE'!G25=0,"",'[2]BASE'!G25)</f>
      </c>
      <c r="H25" s="830">
        <f>IF('[2]BASE'!FP25=0,"",'[2]BASE'!FP25)</f>
      </c>
      <c r="I25" s="830">
        <f>IF('[2]BASE'!FQ25=0,"",'[2]BASE'!FQ25)</f>
      </c>
      <c r="J25" s="830">
        <f>IF('[2]BASE'!FR25=0,"",'[2]BASE'!FR25)</f>
      </c>
      <c r="K25" s="830">
        <f>IF('[2]BASE'!FS25=0,"",'[2]BASE'!FS25)</f>
      </c>
      <c r="L25" s="830">
        <f>IF('[2]BASE'!FT25=0,"",'[2]BASE'!FT25)</f>
      </c>
      <c r="M25" s="830">
        <f>IF('[2]BASE'!FU25=0,"",'[2]BASE'!FU25)</f>
      </c>
      <c r="N25" s="830">
        <f>IF('[2]BASE'!FV25=0,"",'[2]BASE'!FV25)</f>
      </c>
      <c r="O25" s="830">
        <f>IF('[2]BASE'!FW25=0,"",'[2]BASE'!FW25)</f>
      </c>
      <c r="P25" s="830">
        <f>IF('[2]BASE'!FX25=0,"",'[2]BASE'!FX25)</f>
      </c>
      <c r="Q25" s="830">
        <f>IF('[2]BASE'!FY25=0,"",'[2]BASE'!FY25)</f>
      </c>
      <c r="R25" s="830">
        <f>IF('[2]BASE'!FZ25=0,"",'[2]BASE'!FZ25)</f>
      </c>
      <c r="S25" s="830">
        <f>IF('[2]BASE'!GA25=0,"",'[2]BASE'!GA25)</f>
      </c>
      <c r="T25" s="831"/>
      <c r="U25" s="827"/>
    </row>
    <row r="26" spans="2:21" s="800" customFormat="1" ht="19.5" customHeight="1">
      <c r="B26" s="801"/>
      <c r="C26" s="832">
        <f>IF('[2]BASE'!C26=0,"",'[2]BASE'!C26)</f>
        <v>10</v>
      </c>
      <c r="D26" s="832" t="str">
        <f>IF('[2]BASE'!D26=0,"",'[2]BASE'!D26)</f>
        <v>CERR. de la CTA - P.BAND. (A3)</v>
      </c>
      <c r="E26" s="832">
        <f>IF('[2]BASE'!E26=0,"",'[2]BASE'!E26)</f>
        <v>500</v>
      </c>
      <c r="F26" s="832">
        <f>IF('[2]BASE'!F26=0,"",'[2]BASE'!F26)</f>
        <v>27</v>
      </c>
      <c r="G26" s="833" t="str">
        <f>IF('[2]BASE'!G26=0,"",'[2]BASE'!G26)</f>
        <v>C</v>
      </c>
      <c r="H26" s="830">
        <f>IF('[2]BASE'!FP26=0,"",'[2]BASE'!FP26)</f>
      </c>
      <c r="I26" s="830">
        <f>IF('[2]BASE'!FQ26=0,"",'[2]BASE'!FQ26)</f>
      </c>
      <c r="J26" s="830">
        <f>IF('[2]BASE'!FR26=0,"",'[2]BASE'!FR26)</f>
      </c>
      <c r="K26" s="830">
        <f>IF('[2]BASE'!FS26=0,"",'[2]BASE'!FS26)</f>
        <v>2</v>
      </c>
      <c r="L26" s="830">
        <f>IF('[2]BASE'!FT26=0,"",'[2]BASE'!FT26)</f>
      </c>
      <c r="M26" s="830">
        <f>IF('[2]BASE'!FU26=0,"",'[2]BASE'!FU26)</f>
      </c>
      <c r="N26" s="830">
        <f>IF('[2]BASE'!FV26=0,"",'[2]BASE'!FV26)</f>
      </c>
      <c r="O26" s="830">
        <f>IF('[2]BASE'!FW26=0,"",'[2]BASE'!FW26)</f>
      </c>
      <c r="P26" s="830">
        <f>IF('[2]BASE'!FX26=0,"",'[2]BASE'!FX26)</f>
        <v>2</v>
      </c>
      <c r="Q26" s="830">
        <f>IF('[2]BASE'!FY26=0,"",'[2]BASE'!FY26)</f>
      </c>
      <c r="R26" s="830">
        <f>IF('[2]BASE'!FZ26=0,"",'[2]BASE'!FZ26)</f>
      </c>
      <c r="S26" s="830">
        <f>IF('[2]BASE'!GA26=0,"",'[2]BASE'!GA26)</f>
        <v>1</v>
      </c>
      <c r="T26" s="831"/>
      <c r="U26" s="827"/>
    </row>
    <row r="27" spans="2:21" s="800" customFormat="1" ht="19.5" customHeight="1">
      <c r="B27" s="801"/>
      <c r="C27" s="834">
        <f>IF('[2]BASE'!C27=0,"",'[2]BASE'!C27)</f>
        <v>11</v>
      </c>
      <c r="D27" s="834" t="str">
        <f>IF('[2]BASE'!D27=0,"",'[2]BASE'!D27)</f>
        <v>COLONIA ELIA - CAMPANA</v>
      </c>
      <c r="E27" s="834">
        <f>IF('[2]BASE'!E27=0,"",'[2]BASE'!E27)</f>
        <v>500</v>
      </c>
      <c r="F27" s="834">
        <f>IF('[2]BASE'!F27=0,"",'[2]BASE'!F27)</f>
        <v>194</v>
      </c>
      <c r="G27" s="835" t="str">
        <f>IF('[2]BASE'!G27=0,"",'[2]BASE'!G27)</f>
        <v>C</v>
      </c>
      <c r="H27" s="830">
        <f>IF('[2]BASE'!FP27=0,"",'[2]BASE'!FP27)</f>
      </c>
      <c r="I27" s="830">
        <f>IF('[2]BASE'!FQ27=0,"",'[2]BASE'!FQ27)</f>
      </c>
      <c r="J27" s="830">
        <f>IF('[2]BASE'!FR27=0,"",'[2]BASE'!FR27)</f>
      </c>
      <c r="K27" s="830">
        <f>IF('[2]BASE'!FS27=0,"",'[2]BASE'!FS27)</f>
      </c>
      <c r="L27" s="830">
        <f>IF('[2]BASE'!FT27=0,"",'[2]BASE'!FT27)</f>
      </c>
      <c r="M27" s="830">
        <f>IF('[2]BASE'!FU27=0,"",'[2]BASE'!FU27)</f>
      </c>
      <c r="N27" s="830">
        <f>IF('[2]BASE'!FV27=0,"",'[2]BASE'!FV27)</f>
      </c>
      <c r="O27" s="830">
        <f>IF('[2]BASE'!FW27=0,"",'[2]BASE'!FW27)</f>
      </c>
      <c r="P27" s="830">
        <f>IF('[2]BASE'!FX27=0,"",'[2]BASE'!FX27)</f>
      </c>
      <c r="Q27" s="830">
        <f>IF('[2]BASE'!FY27=0,"",'[2]BASE'!FY27)</f>
      </c>
      <c r="R27" s="830">
        <f>IF('[2]BASE'!FZ27=0,"",'[2]BASE'!FZ27)</f>
      </c>
      <c r="S27" s="830">
        <f>IF('[2]BASE'!GA27=0,"",'[2]BASE'!GA27)</f>
      </c>
      <c r="T27" s="831"/>
      <c r="U27" s="827"/>
    </row>
    <row r="28" spans="2:21" s="800" customFormat="1" ht="19.5" customHeight="1">
      <c r="B28" s="801"/>
      <c r="C28" s="832">
        <f>IF('[2]BASE'!C28=0,"",'[2]BASE'!C28)</f>
        <v>12</v>
      </c>
      <c r="D28" s="832" t="str">
        <f>IF('[2]BASE'!D28=0,"",'[2]BASE'!D28)</f>
        <v>CHO. W. - CHOELE CHOEL (5WH1)</v>
      </c>
      <c r="E28" s="832">
        <f>IF('[2]BASE'!E28=0,"",'[2]BASE'!E28)</f>
        <v>500</v>
      </c>
      <c r="F28" s="832">
        <f>IF('[2]BASE'!F28=0,"",'[2]BASE'!F28)</f>
        <v>269</v>
      </c>
      <c r="G28" s="833" t="str">
        <f>IF('[2]BASE'!G28=0,"",'[2]BASE'!G28)</f>
        <v>B</v>
      </c>
      <c r="H28" s="830">
        <f>IF('[2]BASE'!FP28=0,"",'[2]BASE'!FP28)</f>
      </c>
      <c r="I28" s="830">
        <f>IF('[2]BASE'!FQ28=0,"",'[2]BASE'!FQ28)</f>
      </c>
      <c r="J28" s="830">
        <f>IF('[2]BASE'!FR28=0,"",'[2]BASE'!FR28)</f>
      </c>
      <c r="K28" s="830">
        <f>IF('[2]BASE'!FS28=0,"",'[2]BASE'!FS28)</f>
      </c>
      <c r="L28" s="830">
        <f>IF('[2]BASE'!FT28=0,"",'[2]BASE'!FT28)</f>
      </c>
      <c r="M28" s="830">
        <f>IF('[2]BASE'!FU28=0,"",'[2]BASE'!FU28)</f>
      </c>
      <c r="N28" s="830">
        <f>IF('[2]BASE'!FV28=0,"",'[2]BASE'!FV28)</f>
      </c>
      <c r="O28" s="830">
        <f>IF('[2]BASE'!FW28=0,"",'[2]BASE'!FW28)</f>
      </c>
      <c r="P28" s="830">
        <f>IF('[2]BASE'!FX28=0,"",'[2]BASE'!FX28)</f>
      </c>
      <c r="Q28" s="830">
        <f>IF('[2]BASE'!FY28=0,"",'[2]BASE'!FY28)</f>
      </c>
      <c r="R28" s="830">
        <f>IF('[2]BASE'!FZ28=0,"",'[2]BASE'!FZ28)</f>
      </c>
      <c r="S28" s="830">
        <f>IF('[2]BASE'!GA28=0,"",'[2]BASE'!GA28)</f>
      </c>
      <c r="T28" s="831"/>
      <c r="U28" s="827"/>
    </row>
    <row r="29" spans="2:21" s="800" customFormat="1" ht="19.5" customHeight="1">
      <c r="B29" s="801"/>
      <c r="C29" s="834">
        <f>IF('[2]BASE'!C29=0,"",'[2]BASE'!C29)</f>
        <v>13</v>
      </c>
      <c r="D29" s="834" t="str">
        <f>IF('[2]BASE'!D29=0,"",'[2]BASE'!D29)</f>
        <v>CHO.W. - CHO. 1 (5WC1)</v>
      </c>
      <c r="E29" s="834">
        <f>IF('[2]BASE'!E29=0,"",'[2]BASE'!E29)</f>
        <v>500</v>
      </c>
      <c r="F29" s="834">
        <f>IF('[2]BASE'!F29=0,"",'[2]BASE'!F29)</f>
        <v>4.5</v>
      </c>
      <c r="G29" s="835" t="str">
        <f>IF('[2]BASE'!G29=0,"",'[2]BASE'!G29)</f>
        <v>C</v>
      </c>
      <c r="H29" s="830">
        <f>IF('[2]BASE'!FP29=0,"",'[2]BASE'!FP29)</f>
      </c>
      <c r="I29" s="830">
        <f>IF('[2]BASE'!FQ29=0,"",'[2]BASE'!FQ29)</f>
      </c>
      <c r="J29" s="830">
        <f>IF('[2]BASE'!FR29=0,"",'[2]BASE'!FR29)</f>
      </c>
      <c r="K29" s="830">
        <f>IF('[2]BASE'!FS29=0,"",'[2]BASE'!FS29)</f>
      </c>
      <c r="L29" s="830">
        <f>IF('[2]BASE'!FT29=0,"",'[2]BASE'!FT29)</f>
      </c>
      <c r="M29" s="830">
        <f>IF('[2]BASE'!FU29=0,"",'[2]BASE'!FU29)</f>
      </c>
      <c r="N29" s="830">
        <f>IF('[2]BASE'!FV29=0,"",'[2]BASE'!FV29)</f>
      </c>
      <c r="O29" s="830">
        <f>IF('[2]BASE'!FW29=0,"",'[2]BASE'!FW29)</f>
      </c>
      <c r="P29" s="830">
        <f>IF('[2]BASE'!FX29=0,"",'[2]BASE'!FX29)</f>
      </c>
      <c r="Q29" s="830">
        <f>IF('[2]BASE'!FY29=0,"",'[2]BASE'!FY29)</f>
      </c>
      <c r="R29" s="830">
        <f>IF('[2]BASE'!FZ29=0,"",'[2]BASE'!FZ29)</f>
      </c>
      <c r="S29" s="830">
        <f>IF('[2]BASE'!GA29=0,"",'[2]BASE'!GA29)</f>
      </c>
      <c r="T29" s="831"/>
      <c r="U29" s="827"/>
    </row>
    <row r="30" spans="2:21" s="800" customFormat="1" ht="19.5" customHeight="1">
      <c r="B30" s="801"/>
      <c r="C30" s="832">
        <f>IF('[2]BASE'!C30=0,"",'[2]BASE'!C30)</f>
        <v>14</v>
      </c>
      <c r="D30" s="832" t="str">
        <f>IF('[2]BASE'!D30=0,"",'[2]BASE'!D30)</f>
        <v>CHO.W. - CHO. 2 (5WC2)</v>
      </c>
      <c r="E30" s="832">
        <f>IF('[2]BASE'!E30=0,"",'[2]BASE'!E30)</f>
        <v>500</v>
      </c>
      <c r="F30" s="832">
        <f>IF('[2]BASE'!F30=0,"",'[2]BASE'!F30)</f>
        <v>4.5</v>
      </c>
      <c r="G30" s="833" t="str">
        <f>IF('[2]BASE'!G30=0,"",'[2]BASE'!G30)</f>
        <v>C</v>
      </c>
      <c r="H30" s="830">
        <f>IF('[2]BASE'!FP30=0,"",'[2]BASE'!FP30)</f>
      </c>
      <c r="I30" s="830">
        <f>IF('[2]BASE'!FQ30=0,"",'[2]BASE'!FQ30)</f>
      </c>
      <c r="J30" s="830">
        <f>IF('[2]BASE'!FR30=0,"",'[2]BASE'!FR30)</f>
      </c>
      <c r="K30" s="830">
        <f>IF('[2]BASE'!FS30=0,"",'[2]BASE'!FS30)</f>
      </c>
      <c r="L30" s="830">
        <f>IF('[2]BASE'!FT30=0,"",'[2]BASE'!FT30)</f>
      </c>
      <c r="M30" s="830">
        <f>IF('[2]BASE'!FU30=0,"",'[2]BASE'!FU30)</f>
      </c>
      <c r="N30" s="830">
        <f>IF('[2]BASE'!FV30=0,"",'[2]BASE'!FV30)</f>
      </c>
      <c r="O30" s="830">
        <f>IF('[2]BASE'!FW30=0,"",'[2]BASE'!FW30)</f>
      </c>
      <c r="P30" s="830">
        <f>IF('[2]BASE'!FX30=0,"",'[2]BASE'!FX30)</f>
      </c>
      <c r="Q30" s="830">
        <f>IF('[2]BASE'!FY30=0,"",'[2]BASE'!FY30)</f>
      </c>
      <c r="R30" s="830">
        <f>IF('[2]BASE'!FZ30=0,"",'[2]BASE'!FZ30)</f>
      </c>
      <c r="S30" s="830">
        <f>IF('[2]BASE'!GA30=0,"",'[2]BASE'!GA30)</f>
      </c>
      <c r="T30" s="831"/>
      <c r="U30" s="827"/>
    </row>
    <row r="31" spans="2:21" s="800" customFormat="1" ht="19.5" customHeight="1">
      <c r="B31" s="801"/>
      <c r="C31" s="834">
        <f>IF('[2]BASE'!C31=0,"",'[2]BASE'!C31)</f>
        <v>15</v>
      </c>
      <c r="D31" s="834" t="str">
        <f>IF('[2]BASE'!D31=0,"",'[2]BASE'!D31)</f>
        <v>CHOCON - C.H. CHOCON 1</v>
      </c>
      <c r="E31" s="834">
        <f>IF('[2]BASE'!E31=0,"",'[2]BASE'!E31)</f>
        <v>500</v>
      </c>
      <c r="F31" s="834">
        <f>IF('[2]BASE'!F31=0,"",'[2]BASE'!F31)</f>
        <v>3</v>
      </c>
      <c r="G31" s="835" t="str">
        <f>IF('[2]BASE'!G31=0,"",'[2]BASE'!G31)</f>
        <v>C</v>
      </c>
      <c r="H31" s="830">
        <f>IF('[2]BASE'!FP31=0,"",'[2]BASE'!FP31)</f>
      </c>
      <c r="I31" s="830">
        <f>IF('[2]BASE'!FQ31=0,"",'[2]BASE'!FQ31)</f>
      </c>
      <c r="J31" s="830">
        <f>IF('[2]BASE'!FR31=0,"",'[2]BASE'!FR31)</f>
      </c>
      <c r="K31" s="830">
        <f>IF('[2]BASE'!FS31=0,"",'[2]BASE'!FS31)</f>
      </c>
      <c r="L31" s="830">
        <f>IF('[2]BASE'!FT31=0,"",'[2]BASE'!FT31)</f>
      </c>
      <c r="M31" s="830">
        <f>IF('[2]BASE'!FU31=0,"",'[2]BASE'!FU31)</f>
      </c>
      <c r="N31" s="830">
        <f>IF('[2]BASE'!FV31=0,"",'[2]BASE'!FV31)</f>
      </c>
      <c r="O31" s="830">
        <f>IF('[2]BASE'!FW31=0,"",'[2]BASE'!FW31)</f>
      </c>
      <c r="P31" s="830">
        <f>IF('[2]BASE'!FX31=0,"",'[2]BASE'!FX31)</f>
      </c>
      <c r="Q31" s="830">
        <f>IF('[2]BASE'!FY31=0,"",'[2]BASE'!FY31)</f>
      </c>
      <c r="R31" s="830">
        <f>IF('[2]BASE'!FZ31=0,"",'[2]BASE'!FZ31)</f>
      </c>
      <c r="S31" s="830">
        <f>IF('[2]BASE'!GA31=0,"",'[2]BASE'!GA31)</f>
      </c>
      <c r="T31" s="831"/>
      <c r="U31" s="827"/>
    </row>
    <row r="32" spans="2:21" s="800" customFormat="1" ht="19.5" customHeight="1">
      <c r="B32" s="801"/>
      <c r="C32" s="832">
        <f>IF('[2]BASE'!C32=0,"",'[2]BASE'!C32)</f>
        <v>16</v>
      </c>
      <c r="D32" s="832" t="str">
        <f>IF('[2]BASE'!D32=0,"",'[2]BASE'!D32)</f>
        <v>CHOCON - C.H. CHOCON 2</v>
      </c>
      <c r="E32" s="832">
        <f>IF('[2]BASE'!E32=0,"",'[2]BASE'!E32)</f>
        <v>500</v>
      </c>
      <c r="F32" s="832">
        <f>IF('[2]BASE'!F32=0,"",'[2]BASE'!F32)</f>
        <v>3</v>
      </c>
      <c r="G32" s="833" t="str">
        <f>IF('[2]BASE'!G32=0,"",'[2]BASE'!G32)</f>
        <v>C</v>
      </c>
      <c r="H32" s="830">
        <f>IF('[2]BASE'!FP32=0,"",'[2]BASE'!FP32)</f>
      </c>
      <c r="I32" s="830">
        <f>IF('[2]BASE'!FQ32=0,"",'[2]BASE'!FQ32)</f>
      </c>
      <c r="J32" s="830">
        <f>IF('[2]BASE'!FR32=0,"",'[2]BASE'!FR32)</f>
      </c>
      <c r="K32" s="830">
        <f>IF('[2]BASE'!FS32=0,"",'[2]BASE'!FS32)</f>
      </c>
      <c r="L32" s="830">
        <f>IF('[2]BASE'!FT32=0,"",'[2]BASE'!FT32)</f>
      </c>
      <c r="M32" s="830">
        <f>IF('[2]BASE'!FU32=0,"",'[2]BASE'!FU32)</f>
      </c>
      <c r="N32" s="830">
        <f>IF('[2]BASE'!FV32=0,"",'[2]BASE'!FV32)</f>
      </c>
      <c r="O32" s="830">
        <f>IF('[2]BASE'!FW32=0,"",'[2]BASE'!FW32)</f>
      </c>
      <c r="P32" s="830">
        <f>IF('[2]BASE'!FX32=0,"",'[2]BASE'!FX32)</f>
      </c>
      <c r="Q32" s="830">
        <f>IF('[2]BASE'!FY32=0,"",'[2]BASE'!FY32)</f>
      </c>
      <c r="R32" s="830">
        <f>IF('[2]BASE'!FZ32=0,"",'[2]BASE'!FZ32)</f>
      </c>
      <c r="S32" s="830">
        <f>IF('[2]BASE'!GA32=0,"",'[2]BASE'!GA32)</f>
      </c>
      <c r="T32" s="831"/>
      <c r="U32" s="827"/>
    </row>
    <row r="33" spans="2:21" s="800" customFormat="1" ht="19.5" customHeight="1">
      <c r="B33" s="801"/>
      <c r="C33" s="834">
        <f>IF('[2]BASE'!C33=0,"",'[2]BASE'!C33)</f>
        <v>17</v>
      </c>
      <c r="D33" s="834" t="str">
        <f>IF('[2]BASE'!D33=0,"",'[2]BASE'!D33)</f>
        <v>CHOCON - C.H. CHOCON 3</v>
      </c>
      <c r="E33" s="834">
        <f>IF('[2]BASE'!E33=0,"",'[2]BASE'!E33)</f>
        <v>500</v>
      </c>
      <c r="F33" s="834">
        <f>IF('[2]BASE'!F33=0,"",'[2]BASE'!F33)</f>
        <v>3</v>
      </c>
      <c r="G33" s="835" t="str">
        <f>IF('[2]BASE'!G33=0,"",'[2]BASE'!G33)</f>
        <v>C</v>
      </c>
      <c r="H33" s="830">
        <f>IF('[2]BASE'!FP33=0,"",'[2]BASE'!FP33)</f>
      </c>
      <c r="I33" s="830">
        <f>IF('[2]BASE'!FQ33=0,"",'[2]BASE'!FQ33)</f>
      </c>
      <c r="J33" s="830">
        <f>IF('[2]BASE'!FR33=0,"",'[2]BASE'!FR33)</f>
      </c>
      <c r="K33" s="830">
        <f>IF('[2]BASE'!FS33=0,"",'[2]BASE'!FS33)</f>
      </c>
      <c r="L33" s="830">
        <f>IF('[2]BASE'!FT33=0,"",'[2]BASE'!FT33)</f>
      </c>
      <c r="M33" s="830">
        <f>IF('[2]BASE'!FU33=0,"",'[2]BASE'!FU33)</f>
      </c>
      <c r="N33" s="830">
        <f>IF('[2]BASE'!FV33=0,"",'[2]BASE'!FV33)</f>
      </c>
      <c r="O33" s="830">
        <f>IF('[2]BASE'!FW33=0,"",'[2]BASE'!FW33)</f>
      </c>
      <c r="P33" s="830">
        <f>IF('[2]BASE'!FX33=0,"",'[2]BASE'!FX33)</f>
        <v>1</v>
      </c>
      <c r="Q33" s="830">
        <f>IF('[2]BASE'!FY33=0,"",'[2]BASE'!FY33)</f>
      </c>
      <c r="R33" s="830">
        <f>IF('[2]BASE'!FZ33=0,"",'[2]BASE'!FZ33)</f>
      </c>
      <c r="S33" s="830">
        <f>IF('[2]BASE'!GA33=0,"",'[2]BASE'!GA33)</f>
      </c>
      <c r="T33" s="831"/>
      <c r="U33" s="827"/>
    </row>
    <row r="34" spans="2:21" s="800" customFormat="1" ht="19.5" customHeight="1">
      <c r="B34" s="801"/>
      <c r="C34" s="832">
        <f>IF('[2]BASE'!C34=0,"",'[2]BASE'!C34)</f>
        <v>18</v>
      </c>
      <c r="D34" s="832" t="str">
        <f>IF('[2]BASE'!D34=0,"",'[2]BASE'!D34)</f>
        <v>CHOCON - PUELCHES 1</v>
      </c>
      <c r="E34" s="832">
        <f>IF('[2]BASE'!E34=0,"",'[2]BASE'!E34)</f>
        <v>500</v>
      </c>
      <c r="F34" s="832">
        <f>IF('[2]BASE'!F34=0,"",'[2]BASE'!F34)</f>
        <v>304</v>
      </c>
      <c r="G34" s="833" t="str">
        <f>IF('[2]BASE'!G34=0,"",'[2]BASE'!G34)</f>
        <v>A</v>
      </c>
      <c r="H34" s="830">
        <f>IF('[2]BASE'!FP34=0,"",'[2]BASE'!FP34)</f>
      </c>
      <c r="I34" s="830">
        <f>IF('[2]BASE'!FQ34=0,"",'[2]BASE'!FQ34)</f>
      </c>
      <c r="J34" s="830">
        <f>IF('[2]BASE'!FR34=0,"",'[2]BASE'!FR34)</f>
      </c>
      <c r="K34" s="830">
        <f>IF('[2]BASE'!FS34=0,"",'[2]BASE'!FS34)</f>
      </c>
      <c r="L34" s="830">
        <f>IF('[2]BASE'!FT34=0,"",'[2]BASE'!FT34)</f>
      </c>
      <c r="M34" s="830">
        <f>IF('[2]BASE'!FU34=0,"",'[2]BASE'!FU34)</f>
      </c>
      <c r="N34" s="830">
        <f>IF('[2]BASE'!FV34=0,"",'[2]BASE'!FV34)</f>
      </c>
      <c r="O34" s="830">
        <f>IF('[2]BASE'!FW34=0,"",'[2]BASE'!FW34)</f>
      </c>
      <c r="P34" s="830">
        <f>IF('[2]BASE'!FX34=0,"",'[2]BASE'!FX34)</f>
      </c>
      <c r="Q34" s="830">
        <f>IF('[2]BASE'!FY34=0,"",'[2]BASE'!FY34)</f>
      </c>
      <c r="R34" s="830">
        <f>IF('[2]BASE'!FZ34=0,"",'[2]BASE'!FZ34)</f>
      </c>
      <c r="S34" s="830">
        <f>IF('[2]BASE'!GA34=0,"",'[2]BASE'!GA34)</f>
      </c>
      <c r="T34" s="831"/>
      <c r="U34" s="827"/>
    </row>
    <row r="35" spans="2:21" s="800" customFormat="1" ht="19.5" customHeight="1">
      <c r="B35" s="801"/>
      <c r="C35" s="834">
        <f>IF('[2]BASE'!C35=0,"",'[2]BASE'!C35)</f>
        <v>19</v>
      </c>
      <c r="D35" s="834" t="str">
        <f>IF('[2]BASE'!D35=0,"",'[2]BASE'!D35)</f>
        <v>CHOCON - PUELCHES 2</v>
      </c>
      <c r="E35" s="834">
        <f>IF('[2]BASE'!E35=0,"",'[2]BASE'!E35)</f>
        <v>500</v>
      </c>
      <c r="F35" s="834">
        <f>IF('[2]BASE'!F35=0,"",'[2]BASE'!F35)</f>
        <v>304</v>
      </c>
      <c r="G35" s="835" t="str">
        <f>IF('[2]BASE'!G35=0,"",'[2]BASE'!G35)</f>
        <v>A</v>
      </c>
      <c r="H35" s="830">
        <f>IF('[2]BASE'!FP35=0,"",'[2]BASE'!FP35)</f>
      </c>
      <c r="I35" s="830">
        <f>IF('[2]BASE'!FQ35=0,"",'[2]BASE'!FQ35)</f>
      </c>
      <c r="J35" s="830">
        <f>IF('[2]BASE'!FR35=0,"",'[2]BASE'!FR35)</f>
      </c>
      <c r="K35" s="830">
        <f>IF('[2]BASE'!FS35=0,"",'[2]BASE'!FS35)</f>
      </c>
      <c r="L35" s="830">
        <f>IF('[2]BASE'!FT35=0,"",'[2]BASE'!FT35)</f>
      </c>
      <c r="M35" s="830">
        <f>IF('[2]BASE'!FU35=0,"",'[2]BASE'!FU35)</f>
      </c>
      <c r="N35" s="830">
        <f>IF('[2]BASE'!FV35=0,"",'[2]BASE'!FV35)</f>
      </c>
      <c r="O35" s="830">
        <f>IF('[2]BASE'!FW35=0,"",'[2]BASE'!FW35)</f>
        <v>1</v>
      </c>
      <c r="P35" s="830">
        <f>IF('[2]BASE'!FX35=0,"",'[2]BASE'!FX35)</f>
      </c>
      <c r="Q35" s="830">
        <f>IF('[2]BASE'!FY35=0,"",'[2]BASE'!FY35)</f>
      </c>
      <c r="R35" s="830">
        <f>IF('[2]BASE'!FZ35=0,"",'[2]BASE'!FZ35)</f>
      </c>
      <c r="S35" s="830">
        <f>IF('[2]BASE'!GA35=0,"",'[2]BASE'!GA35)</f>
      </c>
      <c r="T35" s="831"/>
      <c r="U35" s="827"/>
    </row>
    <row r="36" spans="2:21" s="800" customFormat="1" ht="19.5" customHeight="1">
      <c r="B36" s="801"/>
      <c r="C36" s="832">
        <f>IF('[2]BASE'!C36=0,"",'[2]BASE'!C36)</f>
        <v>20</v>
      </c>
      <c r="D36" s="832" t="str">
        <f>IF('[2]BASE'!D36=0,"",'[2]BASE'!D36)</f>
        <v>E.T.P.del AGUILA - CENTRAL P.del A. 1</v>
      </c>
      <c r="E36" s="832">
        <f>IF('[2]BASE'!E36=0,"",'[2]BASE'!E36)</f>
        <v>500</v>
      </c>
      <c r="F36" s="832">
        <f>IF('[2]BASE'!F36=0,"",'[2]BASE'!F36)</f>
        <v>5.6</v>
      </c>
      <c r="G36" s="833" t="str">
        <f>IF('[2]BASE'!G36=0,"",'[2]BASE'!G36)</f>
        <v>C</v>
      </c>
      <c r="H36" s="830">
        <f>IF('[2]BASE'!FP36=0,"",'[2]BASE'!FP36)</f>
      </c>
      <c r="I36" s="830">
        <f>IF('[2]BASE'!FQ36=0,"",'[2]BASE'!FQ36)</f>
      </c>
      <c r="J36" s="830">
        <f>IF('[2]BASE'!FR36=0,"",'[2]BASE'!FR36)</f>
      </c>
      <c r="K36" s="830">
        <f>IF('[2]BASE'!FS36=0,"",'[2]BASE'!FS36)</f>
      </c>
      <c r="L36" s="830">
        <f>IF('[2]BASE'!FT36=0,"",'[2]BASE'!FT36)</f>
      </c>
      <c r="M36" s="830">
        <f>IF('[2]BASE'!FU36=0,"",'[2]BASE'!FU36)</f>
      </c>
      <c r="N36" s="830">
        <f>IF('[2]BASE'!FV36=0,"",'[2]BASE'!FV36)</f>
      </c>
      <c r="O36" s="830">
        <f>IF('[2]BASE'!FW36=0,"",'[2]BASE'!FW36)</f>
      </c>
      <c r="P36" s="830">
        <f>IF('[2]BASE'!FX36=0,"",'[2]BASE'!FX36)</f>
      </c>
      <c r="Q36" s="830">
        <f>IF('[2]BASE'!FY36=0,"",'[2]BASE'!FY36)</f>
      </c>
      <c r="R36" s="830">
        <f>IF('[2]BASE'!FZ36=0,"",'[2]BASE'!FZ36)</f>
      </c>
      <c r="S36" s="830">
        <f>IF('[2]BASE'!GA36=0,"",'[2]BASE'!GA36)</f>
      </c>
      <c r="T36" s="831"/>
      <c r="U36" s="827"/>
    </row>
    <row r="37" spans="2:21" s="800" customFormat="1" ht="19.5" customHeight="1">
      <c r="B37" s="801"/>
      <c r="C37" s="834">
        <f>IF('[2]BASE'!C37=0,"",'[2]BASE'!C37)</f>
        <v>21</v>
      </c>
      <c r="D37" s="834" t="str">
        <f>IF('[2]BASE'!D37=0,"",'[2]BASE'!D37)</f>
        <v>E.T.P.del AGUILA - CENTRAL P.del A. 2</v>
      </c>
      <c r="E37" s="834">
        <f>IF('[2]BASE'!E37=0,"",'[2]BASE'!E37)</f>
        <v>500</v>
      </c>
      <c r="F37" s="834">
        <f>IF('[2]BASE'!F37=0,"",'[2]BASE'!F37)</f>
        <v>5.6</v>
      </c>
      <c r="G37" s="835" t="str">
        <f>IF('[2]BASE'!G37=0,"",'[2]BASE'!G37)</f>
        <v>C</v>
      </c>
      <c r="H37" s="830">
        <f>IF('[2]BASE'!FP37=0,"",'[2]BASE'!FP37)</f>
      </c>
      <c r="I37" s="830">
        <f>IF('[2]BASE'!FQ37=0,"",'[2]BASE'!FQ37)</f>
      </c>
      <c r="J37" s="830">
        <f>IF('[2]BASE'!FR37=0,"",'[2]BASE'!FR37)</f>
      </c>
      <c r="K37" s="830">
        <f>IF('[2]BASE'!FS37=0,"",'[2]BASE'!FS37)</f>
      </c>
      <c r="L37" s="830">
        <f>IF('[2]BASE'!FT37=0,"",'[2]BASE'!FT37)</f>
      </c>
      <c r="M37" s="830">
        <f>IF('[2]BASE'!FU37=0,"",'[2]BASE'!FU37)</f>
      </c>
      <c r="N37" s="830">
        <f>IF('[2]BASE'!FV37=0,"",'[2]BASE'!FV37)</f>
      </c>
      <c r="O37" s="830">
        <f>IF('[2]BASE'!FW37=0,"",'[2]BASE'!FW37)</f>
      </c>
      <c r="P37" s="830">
        <f>IF('[2]BASE'!FX37=0,"",'[2]BASE'!FX37)</f>
      </c>
      <c r="Q37" s="830">
        <f>IF('[2]BASE'!FY37=0,"",'[2]BASE'!FY37)</f>
      </c>
      <c r="R37" s="830">
        <f>IF('[2]BASE'!FZ37=0,"",'[2]BASE'!FZ37)</f>
      </c>
      <c r="S37" s="830">
        <f>IF('[2]BASE'!GA37=0,"",'[2]BASE'!GA37)</f>
      </c>
      <c r="T37" s="831"/>
      <c r="U37" s="827"/>
    </row>
    <row r="38" spans="2:21" s="800" customFormat="1" ht="19.5" customHeight="1">
      <c r="B38" s="801"/>
      <c r="C38" s="832">
        <f>IF('[2]BASE'!C38=0,"",'[2]BASE'!C38)</f>
        <v>22</v>
      </c>
      <c r="D38" s="832" t="str">
        <f>IF('[2]BASE'!D38=0,"",'[2]BASE'!D38)</f>
        <v>EL BRACHO - RECREO(5)</v>
      </c>
      <c r="E38" s="832">
        <f>IF('[2]BASE'!E38=0,"",'[2]BASE'!E38)</f>
        <v>500</v>
      </c>
      <c r="F38" s="832">
        <f>IF('[2]BASE'!F38=0,"",'[2]BASE'!F38)</f>
        <v>255</v>
      </c>
      <c r="G38" s="833" t="str">
        <f>IF('[2]BASE'!G38=0,"",'[2]BASE'!G38)</f>
        <v>C</v>
      </c>
      <c r="H38" s="830">
        <f>IF('[2]BASE'!FP38=0,"",'[2]BASE'!FP38)</f>
      </c>
      <c r="I38" s="830">
        <f>IF('[2]BASE'!FQ38=0,"",'[2]BASE'!FQ38)</f>
      </c>
      <c r="J38" s="830">
        <f>IF('[2]BASE'!FR38=0,"",'[2]BASE'!FR38)</f>
      </c>
      <c r="K38" s="830">
        <f>IF('[2]BASE'!FS38=0,"",'[2]BASE'!FS38)</f>
      </c>
      <c r="L38" s="830">
        <f>IF('[2]BASE'!FT38=0,"",'[2]BASE'!FT38)</f>
      </c>
      <c r="M38" s="830">
        <f>IF('[2]BASE'!FU38=0,"",'[2]BASE'!FU38)</f>
      </c>
      <c r="N38" s="830">
        <f>IF('[2]BASE'!FV38=0,"",'[2]BASE'!FV38)</f>
      </c>
      <c r="O38" s="830">
        <f>IF('[2]BASE'!FW38=0,"",'[2]BASE'!FW38)</f>
      </c>
      <c r="P38" s="830">
        <f>IF('[2]BASE'!FX38=0,"",'[2]BASE'!FX38)</f>
      </c>
      <c r="Q38" s="830">
        <f>IF('[2]BASE'!FY38=0,"",'[2]BASE'!FY38)</f>
      </c>
      <c r="R38" s="830">
        <f>IF('[2]BASE'!FZ38=0,"",'[2]BASE'!FZ38)</f>
      </c>
      <c r="S38" s="830">
        <f>IF('[2]BASE'!GA38=0,"",'[2]BASE'!GA38)</f>
      </c>
      <c r="T38" s="831"/>
      <c r="U38" s="827"/>
    </row>
    <row r="39" spans="2:21" s="800" customFormat="1" ht="19.5" customHeight="1">
      <c r="B39" s="801"/>
      <c r="C39" s="834">
        <f>IF('[2]BASE'!C39=0,"",'[2]BASE'!C39)</f>
        <v>23</v>
      </c>
      <c r="D39" s="834" t="str">
        <f>IF('[2]BASE'!D39=0,"",'[2]BASE'!D39)</f>
        <v>EZEIZA - ABASTO 1</v>
      </c>
      <c r="E39" s="834">
        <f>IF('[2]BASE'!E39=0,"",'[2]BASE'!E39)</f>
        <v>500</v>
      </c>
      <c r="F39" s="834">
        <f>IF('[2]BASE'!F39=0,"",'[2]BASE'!F39)</f>
        <v>58</v>
      </c>
      <c r="G39" s="835" t="str">
        <f>IF('[2]BASE'!G39=0,"",'[2]BASE'!G39)</f>
        <v>C</v>
      </c>
      <c r="H39" s="830">
        <f>IF('[2]BASE'!FP39=0,"",'[2]BASE'!FP39)</f>
      </c>
      <c r="I39" s="830">
        <f>IF('[2]BASE'!FQ39=0,"",'[2]BASE'!FQ39)</f>
      </c>
      <c r="J39" s="830">
        <f>IF('[2]BASE'!FR39=0,"",'[2]BASE'!FR39)</f>
      </c>
      <c r="K39" s="830">
        <f>IF('[2]BASE'!FS39=0,"",'[2]BASE'!FS39)</f>
      </c>
      <c r="L39" s="830">
        <f>IF('[2]BASE'!FT39=0,"",'[2]BASE'!FT39)</f>
      </c>
      <c r="M39" s="830">
        <f>IF('[2]BASE'!FU39=0,"",'[2]BASE'!FU39)</f>
      </c>
      <c r="N39" s="830">
        <f>IF('[2]BASE'!FV39=0,"",'[2]BASE'!FV39)</f>
      </c>
      <c r="O39" s="830">
        <f>IF('[2]BASE'!FW39=0,"",'[2]BASE'!FW39)</f>
      </c>
      <c r="P39" s="830">
        <f>IF('[2]BASE'!FX39=0,"",'[2]BASE'!FX39)</f>
      </c>
      <c r="Q39" s="830">
        <f>IF('[2]BASE'!FY39=0,"",'[2]BASE'!FY39)</f>
      </c>
      <c r="R39" s="830">
        <f>IF('[2]BASE'!FZ39=0,"",'[2]BASE'!FZ39)</f>
      </c>
      <c r="S39" s="830">
        <f>IF('[2]BASE'!GA39=0,"",'[2]BASE'!GA39)</f>
      </c>
      <c r="T39" s="831"/>
      <c r="U39" s="827"/>
    </row>
    <row r="40" spans="2:21" s="800" customFormat="1" ht="19.5" customHeight="1">
      <c r="B40" s="801"/>
      <c r="C40" s="832">
        <f>IF('[2]BASE'!C40=0,"",'[2]BASE'!C40)</f>
        <v>24</v>
      </c>
      <c r="D40" s="832" t="str">
        <f>IF('[2]BASE'!D40=0,"",'[2]BASE'!D40)</f>
        <v>EZEIZA - ABASTO 2</v>
      </c>
      <c r="E40" s="832">
        <f>IF('[2]BASE'!E40=0,"",'[2]BASE'!E40)</f>
        <v>500</v>
      </c>
      <c r="F40" s="832">
        <f>IF('[2]BASE'!F40=0,"",'[2]BASE'!F40)</f>
        <v>58</v>
      </c>
      <c r="G40" s="833" t="str">
        <f>IF('[2]BASE'!G40=0,"",'[2]BASE'!G40)</f>
        <v>C</v>
      </c>
      <c r="H40" s="830">
        <f>IF('[2]BASE'!FP40=0,"",'[2]BASE'!FP40)</f>
      </c>
      <c r="I40" s="830">
        <f>IF('[2]BASE'!FQ40=0,"",'[2]BASE'!FQ40)</f>
      </c>
      <c r="J40" s="830">
        <f>IF('[2]BASE'!FR40=0,"",'[2]BASE'!FR40)</f>
      </c>
      <c r="K40" s="830">
        <f>IF('[2]BASE'!FS40=0,"",'[2]BASE'!FS40)</f>
      </c>
      <c r="L40" s="830">
        <f>IF('[2]BASE'!FT40=0,"",'[2]BASE'!FT40)</f>
      </c>
      <c r="M40" s="830">
        <f>IF('[2]BASE'!FU40=0,"",'[2]BASE'!FU40)</f>
      </c>
      <c r="N40" s="830">
        <f>IF('[2]BASE'!FV40=0,"",'[2]BASE'!FV40)</f>
      </c>
      <c r="O40" s="830">
        <f>IF('[2]BASE'!FW40=0,"",'[2]BASE'!FW40)</f>
      </c>
      <c r="P40" s="830">
        <f>IF('[2]BASE'!FX40=0,"",'[2]BASE'!FX40)</f>
      </c>
      <c r="Q40" s="830">
        <f>IF('[2]BASE'!FY40=0,"",'[2]BASE'!FY40)</f>
      </c>
      <c r="R40" s="830">
        <f>IF('[2]BASE'!FZ40=0,"",'[2]BASE'!FZ40)</f>
      </c>
      <c r="S40" s="830">
        <f>IF('[2]BASE'!GA40=0,"",'[2]BASE'!GA40)</f>
      </c>
      <c r="T40" s="831"/>
      <c r="U40" s="827"/>
    </row>
    <row r="41" spans="2:21" s="800" customFormat="1" ht="19.5" customHeight="1">
      <c r="B41" s="801"/>
      <c r="C41" s="834">
        <f>IF('[2]BASE'!C41=0,"",'[2]BASE'!C41)</f>
        <v>25</v>
      </c>
      <c r="D41" s="834" t="str">
        <f>IF('[2]BASE'!D41=0,"",'[2]BASE'!D41)</f>
        <v>EZEIZA - RODRIGUEZ 1</v>
      </c>
      <c r="E41" s="834">
        <f>IF('[2]BASE'!E41=0,"",'[2]BASE'!E41)</f>
        <v>500</v>
      </c>
      <c r="F41" s="834">
        <f>IF('[2]BASE'!F41=0,"",'[2]BASE'!F41)</f>
        <v>53</v>
      </c>
      <c r="G41" s="835" t="str">
        <f>IF('[2]BASE'!G41=0,"",'[2]BASE'!G41)</f>
        <v>C</v>
      </c>
      <c r="H41" s="830">
        <f>IF('[2]BASE'!FP41=0,"",'[2]BASE'!FP41)</f>
      </c>
      <c r="I41" s="830">
        <f>IF('[2]BASE'!FQ41=0,"",'[2]BASE'!FQ41)</f>
      </c>
      <c r="J41" s="830">
        <f>IF('[2]BASE'!FR41=0,"",'[2]BASE'!FR41)</f>
      </c>
      <c r="K41" s="830">
        <f>IF('[2]BASE'!FS41=0,"",'[2]BASE'!FS41)</f>
      </c>
      <c r="L41" s="830">
        <f>IF('[2]BASE'!FT41=0,"",'[2]BASE'!FT41)</f>
      </c>
      <c r="M41" s="830">
        <f>IF('[2]BASE'!FU41=0,"",'[2]BASE'!FU41)</f>
      </c>
      <c r="N41" s="830">
        <f>IF('[2]BASE'!FV41=0,"",'[2]BASE'!FV41)</f>
      </c>
      <c r="O41" s="830">
        <f>IF('[2]BASE'!FW41=0,"",'[2]BASE'!FW41)</f>
      </c>
      <c r="P41" s="830">
        <f>IF('[2]BASE'!FX41=0,"",'[2]BASE'!FX41)</f>
      </c>
      <c r="Q41" s="830">
        <f>IF('[2]BASE'!FY41=0,"",'[2]BASE'!FY41)</f>
      </c>
      <c r="R41" s="830">
        <f>IF('[2]BASE'!FZ41=0,"",'[2]BASE'!FZ41)</f>
      </c>
      <c r="S41" s="830">
        <f>IF('[2]BASE'!GA41=0,"",'[2]BASE'!GA41)</f>
      </c>
      <c r="T41" s="831"/>
      <c r="U41" s="827"/>
    </row>
    <row r="42" spans="2:21" s="800" customFormat="1" ht="19.5" customHeight="1">
      <c r="B42" s="801"/>
      <c r="C42" s="832">
        <f>IF('[2]BASE'!C42=0,"",'[2]BASE'!C42)</f>
        <v>26</v>
      </c>
      <c r="D42" s="832" t="str">
        <f>IF('[2]BASE'!D42=0,"",'[2]BASE'!D42)</f>
        <v>EZEIZA - RODRIGUEZ 2</v>
      </c>
      <c r="E42" s="832">
        <f>IF('[2]BASE'!E42=0,"",'[2]BASE'!E42)</f>
        <v>500</v>
      </c>
      <c r="F42" s="832">
        <f>IF('[2]BASE'!F42=0,"",'[2]BASE'!F42)</f>
        <v>53</v>
      </c>
      <c r="G42" s="833" t="str">
        <f>IF('[2]BASE'!G42=0,"",'[2]BASE'!G42)</f>
        <v>C</v>
      </c>
      <c r="H42" s="830">
        <f>IF('[2]BASE'!FP42=0,"",'[2]BASE'!FP42)</f>
      </c>
      <c r="I42" s="830">
        <f>IF('[2]BASE'!FQ42=0,"",'[2]BASE'!FQ42)</f>
      </c>
      <c r="J42" s="830">
        <f>IF('[2]BASE'!FR42=0,"",'[2]BASE'!FR42)</f>
      </c>
      <c r="K42" s="830">
        <f>IF('[2]BASE'!FS42=0,"",'[2]BASE'!FS42)</f>
      </c>
      <c r="L42" s="830">
        <f>IF('[2]BASE'!FT42=0,"",'[2]BASE'!FT42)</f>
      </c>
      <c r="M42" s="830">
        <f>IF('[2]BASE'!FU42=0,"",'[2]BASE'!FU42)</f>
      </c>
      <c r="N42" s="830">
        <f>IF('[2]BASE'!FV42=0,"",'[2]BASE'!FV42)</f>
      </c>
      <c r="O42" s="830">
        <f>IF('[2]BASE'!FW42=0,"",'[2]BASE'!FW42)</f>
      </c>
      <c r="P42" s="830">
        <f>IF('[2]BASE'!FX42=0,"",'[2]BASE'!FX42)</f>
      </c>
      <c r="Q42" s="830">
        <f>IF('[2]BASE'!FY42=0,"",'[2]BASE'!FY42)</f>
      </c>
      <c r="R42" s="830">
        <f>IF('[2]BASE'!FZ42=0,"",'[2]BASE'!FZ42)</f>
      </c>
      <c r="S42" s="830">
        <f>IF('[2]BASE'!GA42=0,"",'[2]BASE'!GA42)</f>
      </c>
      <c r="T42" s="831"/>
      <c r="U42" s="827"/>
    </row>
    <row r="43" spans="2:21" s="800" customFormat="1" ht="19.5" customHeight="1">
      <c r="B43" s="801"/>
      <c r="C43" s="834">
        <f>IF('[2]BASE'!C43=0,"",'[2]BASE'!C43)</f>
        <v>27</v>
      </c>
      <c r="D43" s="834" t="str">
        <f>IF('[2]BASE'!D43=0,"",'[2]BASE'!D43)</f>
        <v>EZEIZA- HENDERSON 1</v>
      </c>
      <c r="E43" s="834">
        <f>IF('[2]BASE'!E43=0,"",'[2]BASE'!E43)</f>
        <v>500</v>
      </c>
      <c r="F43" s="834">
        <f>IF('[2]BASE'!F43=0,"",'[2]BASE'!F43)</f>
        <v>313</v>
      </c>
      <c r="G43" s="835" t="str">
        <f>IF('[2]BASE'!G43=0,"",'[2]BASE'!G43)</f>
        <v>A</v>
      </c>
      <c r="H43" s="830">
        <f>IF('[2]BASE'!FP43=0,"",'[2]BASE'!FP43)</f>
      </c>
      <c r="I43" s="830">
        <f>IF('[2]BASE'!FQ43=0,"",'[2]BASE'!FQ43)</f>
      </c>
      <c r="J43" s="830">
        <f>IF('[2]BASE'!FR43=0,"",'[2]BASE'!FR43)</f>
      </c>
      <c r="K43" s="830">
        <f>IF('[2]BASE'!FS43=0,"",'[2]BASE'!FS43)</f>
      </c>
      <c r="L43" s="830">
        <f>IF('[2]BASE'!FT43=0,"",'[2]BASE'!FT43)</f>
      </c>
      <c r="M43" s="830">
        <f>IF('[2]BASE'!FU43=0,"",'[2]BASE'!FU43)</f>
      </c>
      <c r="N43" s="830">
        <f>IF('[2]BASE'!FV43=0,"",'[2]BASE'!FV43)</f>
      </c>
      <c r="O43" s="830">
        <f>IF('[2]BASE'!FW43=0,"",'[2]BASE'!FW43)</f>
      </c>
      <c r="P43" s="830">
        <f>IF('[2]BASE'!FX43=0,"",'[2]BASE'!FX43)</f>
      </c>
      <c r="Q43" s="830">
        <f>IF('[2]BASE'!FY43=0,"",'[2]BASE'!FY43)</f>
      </c>
      <c r="R43" s="830">
        <f>IF('[2]BASE'!FZ43=0,"",'[2]BASE'!FZ43)</f>
      </c>
      <c r="S43" s="830">
        <f>IF('[2]BASE'!GA43=0,"",'[2]BASE'!GA43)</f>
      </c>
      <c r="T43" s="831"/>
      <c r="U43" s="827"/>
    </row>
    <row r="44" spans="2:21" s="800" customFormat="1" ht="19.5" customHeight="1">
      <c r="B44" s="801"/>
      <c r="C44" s="832">
        <f>IF('[2]BASE'!C44=0,"",'[2]BASE'!C44)</f>
        <v>28</v>
      </c>
      <c r="D44" s="832" t="str">
        <f>IF('[2]BASE'!D44=0,"",'[2]BASE'!D44)</f>
        <v>EZEIZA - HENDERSON 2</v>
      </c>
      <c r="E44" s="832">
        <f>IF('[2]BASE'!E44=0,"",'[2]BASE'!E44)</f>
        <v>500</v>
      </c>
      <c r="F44" s="832">
        <f>IF('[2]BASE'!F44=0,"",'[2]BASE'!F44)</f>
        <v>313</v>
      </c>
      <c r="G44" s="833" t="str">
        <f>IF('[2]BASE'!G44=0,"",'[2]BASE'!G44)</f>
        <v>A</v>
      </c>
      <c r="H44" s="830">
        <f>IF('[2]BASE'!FP44=0,"",'[2]BASE'!FP44)</f>
      </c>
      <c r="I44" s="830">
        <f>IF('[2]BASE'!FQ44=0,"",'[2]BASE'!FQ44)</f>
      </c>
      <c r="J44" s="830">
        <f>IF('[2]BASE'!FR44=0,"",'[2]BASE'!FR44)</f>
      </c>
      <c r="K44" s="830">
        <f>IF('[2]BASE'!FS44=0,"",'[2]BASE'!FS44)</f>
      </c>
      <c r="L44" s="830">
        <f>IF('[2]BASE'!FT44=0,"",'[2]BASE'!FT44)</f>
      </c>
      <c r="M44" s="830">
        <f>IF('[2]BASE'!FU44=0,"",'[2]BASE'!FU44)</f>
      </c>
      <c r="N44" s="830">
        <f>IF('[2]BASE'!FV44=0,"",'[2]BASE'!FV44)</f>
      </c>
      <c r="O44" s="830">
        <f>IF('[2]BASE'!FW44=0,"",'[2]BASE'!FW44)</f>
      </c>
      <c r="P44" s="830">
        <f>IF('[2]BASE'!FX44=0,"",'[2]BASE'!FX44)</f>
      </c>
      <c r="Q44" s="830">
        <f>IF('[2]BASE'!FY44=0,"",'[2]BASE'!FY44)</f>
      </c>
      <c r="R44" s="830">
        <f>IF('[2]BASE'!FZ44=0,"",'[2]BASE'!FZ44)</f>
      </c>
      <c r="S44" s="830">
        <f>IF('[2]BASE'!GA44=0,"",'[2]BASE'!GA44)</f>
      </c>
      <c r="T44" s="831"/>
      <c r="U44" s="827"/>
    </row>
    <row r="45" spans="2:21" s="800" customFormat="1" ht="19.5" customHeight="1">
      <c r="B45" s="801"/>
      <c r="C45" s="834">
        <f>IF('[2]BASE'!C45=0,"",'[2]BASE'!C45)</f>
        <v>29</v>
      </c>
      <c r="D45" s="834" t="str">
        <f>IF('[2]BASE'!D45=0,"",'[2]BASE'!D45)</f>
        <v>GRAL. RODRIGUEZ - CAMPANA </v>
      </c>
      <c r="E45" s="834">
        <f>IF('[2]BASE'!E45=0,"",'[2]BASE'!E45)</f>
        <v>500</v>
      </c>
      <c r="F45" s="834">
        <f>IF('[2]BASE'!F45=0,"",'[2]BASE'!F45)</f>
        <v>42</v>
      </c>
      <c r="G45" s="835" t="str">
        <f>IF('[2]BASE'!G45=0,"",'[2]BASE'!G45)</f>
        <v>B</v>
      </c>
      <c r="H45" s="830">
        <f>IF('[2]BASE'!FP45=0,"",'[2]BASE'!FP45)</f>
        <v>1</v>
      </c>
      <c r="I45" s="830">
        <f>IF('[2]BASE'!FQ45=0,"",'[2]BASE'!FQ45)</f>
      </c>
      <c r="J45" s="830">
        <f>IF('[2]BASE'!FR45=0,"",'[2]BASE'!FR45)</f>
      </c>
      <c r="K45" s="830">
        <f>IF('[2]BASE'!FS45=0,"",'[2]BASE'!FS45)</f>
      </c>
      <c r="L45" s="830">
        <f>IF('[2]BASE'!FT45=0,"",'[2]BASE'!FT45)</f>
      </c>
      <c r="M45" s="830">
        <f>IF('[2]BASE'!FU45=0,"",'[2]BASE'!FU45)</f>
      </c>
      <c r="N45" s="830">
        <f>IF('[2]BASE'!FV45=0,"",'[2]BASE'!FV45)</f>
      </c>
      <c r="O45" s="830">
        <f>IF('[2]BASE'!FW45=0,"",'[2]BASE'!FW45)</f>
      </c>
      <c r="P45" s="830">
        <f>IF('[2]BASE'!FX45=0,"",'[2]BASE'!FX45)</f>
      </c>
      <c r="Q45" s="830">
        <f>IF('[2]BASE'!FY45=0,"",'[2]BASE'!FY45)</f>
      </c>
      <c r="R45" s="830">
        <f>IF('[2]BASE'!FZ45=0,"",'[2]BASE'!FZ45)</f>
      </c>
      <c r="S45" s="830">
        <f>IF('[2]BASE'!GA45=0,"",'[2]BASE'!GA45)</f>
      </c>
      <c r="T45" s="831"/>
      <c r="U45" s="827"/>
    </row>
    <row r="46" spans="2:21" s="800" customFormat="1" ht="19.5" customHeight="1">
      <c r="B46" s="801"/>
      <c r="C46" s="832">
        <f>IF('[2]BASE'!C46=0,"",'[2]BASE'!C46)</f>
        <v>30</v>
      </c>
      <c r="D46" s="832" t="str">
        <f>IF('[2]BASE'!D46=0,"",'[2]BASE'!D46)</f>
        <v>GRAL. RODRIGUEZ- ROSARIO OESTE </v>
      </c>
      <c r="E46" s="832">
        <f>IF('[2]BASE'!E46=0,"",'[2]BASE'!E46)</f>
        <v>500</v>
      </c>
      <c r="F46" s="832">
        <f>IF('[2]BASE'!F46=0,"",'[2]BASE'!F46)</f>
        <v>258</v>
      </c>
      <c r="G46" s="833" t="str">
        <f>IF('[2]BASE'!G46=0,"",'[2]BASE'!G46)</f>
        <v>C</v>
      </c>
      <c r="H46" s="830" t="str">
        <f>IF('[2]BASE'!FP46=0,"",'[2]BASE'!FP46)</f>
        <v>XXXX</v>
      </c>
      <c r="I46" s="830" t="str">
        <f>IF('[2]BASE'!FQ46=0,"",'[2]BASE'!FQ46)</f>
        <v>XXXX</v>
      </c>
      <c r="J46" s="830" t="str">
        <f>IF('[2]BASE'!FR46=0,"",'[2]BASE'!FR46)</f>
        <v>XXXX</v>
      </c>
      <c r="K46" s="830" t="str">
        <f>IF('[2]BASE'!FS46=0,"",'[2]BASE'!FS46)</f>
        <v>XXXX</v>
      </c>
      <c r="L46" s="830" t="str">
        <f>IF('[2]BASE'!FT46=0,"",'[2]BASE'!FT46)</f>
        <v>XXXX</v>
      </c>
      <c r="M46" s="830" t="str">
        <f>IF('[2]BASE'!FU46=0,"",'[2]BASE'!FU46)</f>
        <v>XXXX</v>
      </c>
      <c r="N46" s="830" t="str">
        <f>IF('[2]BASE'!FV46=0,"",'[2]BASE'!FV46)</f>
        <v>XXXX</v>
      </c>
      <c r="O46" s="830" t="str">
        <f>IF('[2]BASE'!FW46=0,"",'[2]BASE'!FW46)</f>
        <v>XXXX</v>
      </c>
      <c r="P46" s="830" t="str">
        <f>IF('[2]BASE'!FX46=0,"",'[2]BASE'!FX46)</f>
        <v>XXXX</v>
      </c>
      <c r="Q46" s="830" t="str">
        <f>IF('[2]BASE'!FY46=0,"",'[2]BASE'!FY46)</f>
        <v>XXXX</v>
      </c>
      <c r="R46" s="830" t="str">
        <f>IF('[2]BASE'!FZ46=0,"",'[2]BASE'!FZ46)</f>
        <v>XXXX</v>
      </c>
      <c r="S46" s="830" t="str">
        <f>IF('[2]BASE'!GA46=0,"",'[2]BASE'!GA46)</f>
        <v>XXXX</v>
      </c>
      <c r="T46" s="831"/>
      <c r="U46" s="827"/>
    </row>
    <row r="47" spans="2:21" s="800" customFormat="1" ht="19.5" customHeight="1">
      <c r="B47" s="801"/>
      <c r="C47" s="834">
        <f>IF('[2]BASE'!C47=0,"",'[2]BASE'!C47)</f>
        <v>31</v>
      </c>
      <c r="D47" s="834" t="str">
        <f>IF('[2]BASE'!D47=0,"",'[2]BASE'!D47)</f>
        <v>MALVINAS ARG. - ALMAFUERTE </v>
      </c>
      <c r="E47" s="834">
        <f>IF('[2]BASE'!E47=0,"",'[2]BASE'!E47)</f>
        <v>500</v>
      </c>
      <c r="F47" s="834">
        <f>IF('[2]BASE'!F47=0,"",'[2]BASE'!F47)</f>
        <v>105</v>
      </c>
      <c r="G47" s="835" t="str">
        <f>IF('[2]BASE'!G47=0,"",'[2]BASE'!G47)</f>
        <v>B</v>
      </c>
      <c r="H47" s="830">
        <f>IF('[2]BASE'!FP47=0,"",'[2]BASE'!FP47)</f>
      </c>
      <c r="I47" s="830">
        <f>IF('[2]BASE'!FQ47=0,"",'[2]BASE'!FQ47)</f>
      </c>
      <c r="J47" s="830">
        <f>IF('[2]BASE'!FR47=0,"",'[2]BASE'!FR47)</f>
        <v>1</v>
      </c>
      <c r="K47" s="830">
        <f>IF('[2]BASE'!FS47=0,"",'[2]BASE'!FS47)</f>
      </c>
      <c r="L47" s="830">
        <f>IF('[2]BASE'!FT47=0,"",'[2]BASE'!FT47)</f>
      </c>
      <c r="M47" s="830">
        <f>IF('[2]BASE'!FU47=0,"",'[2]BASE'!FU47)</f>
      </c>
      <c r="N47" s="830">
        <f>IF('[2]BASE'!FV47=0,"",'[2]BASE'!FV47)</f>
      </c>
      <c r="O47" s="830">
        <f>IF('[2]BASE'!FW47=0,"",'[2]BASE'!FW47)</f>
      </c>
      <c r="P47" s="830">
        <f>IF('[2]BASE'!FX47=0,"",'[2]BASE'!FX47)</f>
      </c>
      <c r="Q47" s="830">
        <f>IF('[2]BASE'!FY47=0,"",'[2]BASE'!FY47)</f>
      </c>
      <c r="R47" s="830">
        <f>IF('[2]BASE'!FZ47=0,"",'[2]BASE'!FZ47)</f>
      </c>
      <c r="S47" s="830">
        <f>IF('[2]BASE'!GA47=0,"",'[2]BASE'!GA47)</f>
      </c>
      <c r="T47" s="831"/>
      <c r="U47" s="827"/>
    </row>
    <row r="48" spans="2:21" s="800" customFormat="1" ht="19.5" customHeight="1">
      <c r="B48" s="801"/>
      <c r="C48" s="832">
        <f>IF('[2]BASE'!C48=0,"",'[2]BASE'!C48)</f>
        <v>32</v>
      </c>
      <c r="D48" s="832" t="str">
        <f>IF('[2]BASE'!D48=0,"",'[2]BASE'!D48)</f>
        <v>OLAVARRIA - BAHIA BLANCA 1</v>
      </c>
      <c r="E48" s="832">
        <f>IF('[2]BASE'!E48=0,"",'[2]BASE'!E48)</f>
        <v>500</v>
      </c>
      <c r="F48" s="832">
        <f>IF('[2]BASE'!F48=0,"",'[2]BASE'!F48)</f>
        <v>255</v>
      </c>
      <c r="G48" s="833" t="str">
        <f>IF('[2]BASE'!G48=0,"",'[2]BASE'!G48)</f>
        <v>B</v>
      </c>
      <c r="H48" s="830">
        <f>IF('[2]BASE'!FP48=0,"",'[2]BASE'!FP48)</f>
      </c>
      <c r="I48" s="830">
        <f>IF('[2]BASE'!FQ48=0,"",'[2]BASE'!FQ48)</f>
      </c>
      <c r="J48" s="830">
        <f>IF('[2]BASE'!FR48=0,"",'[2]BASE'!FR48)</f>
      </c>
      <c r="K48" s="830">
        <f>IF('[2]BASE'!FS48=0,"",'[2]BASE'!FS48)</f>
      </c>
      <c r="L48" s="830">
        <f>IF('[2]BASE'!FT48=0,"",'[2]BASE'!FT48)</f>
      </c>
      <c r="M48" s="830">
        <f>IF('[2]BASE'!FU48=0,"",'[2]BASE'!FU48)</f>
      </c>
      <c r="N48" s="830">
        <f>IF('[2]BASE'!FV48=0,"",'[2]BASE'!FV48)</f>
      </c>
      <c r="O48" s="830">
        <f>IF('[2]BASE'!FW48=0,"",'[2]BASE'!FW48)</f>
      </c>
      <c r="P48" s="830">
        <f>IF('[2]BASE'!FX48=0,"",'[2]BASE'!FX48)</f>
      </c>
      <c r="Q48" s="830">
        <f>IF('[2]BASE'!FY48=0,"",'[2]BASE'!FY48)</f>
        <v>1</v>
      </c>
      <c r="R48" s="830">
        <f>IF('[2]BASE'!FZ48=0,"",'[2]BASE'!FZ48)</f>
      </c>
      <c r="S48" s="830">
        <f>IF('[2]BASE'!GA48=0,"",'[2]BASE'!GA48)</f>
      </c>
      <c r="T48" s="831"/>
      <c r="U48" s="827"/>
    </row>
    <row r="49" spans="2:21" s="800" customFormat="1" ht="19.5" customHeight="1">
      <c r="B49" s="801"/>
      <c r="C49" s="834">
        <f>IF('[2]BASE'!C49=0,"",'[2]BASE'!C49)</f>
        <v>33</v>
      </c>
      <c r="D49" s="834" t="str">
        <f>IF('[2]BASE'!D49=0,"",'[2]BASE'!D49)</f>
        <v>OLAVARRIA - BAHIA BLANCA 2</v>
      </c>
      <c r="E49" s="834">
        <f>IF('[2]BASE'!E49=0,"",'[2]BASE'!E49)</f>
        <v>500</v>
      </c>
      <c r="F49" s="834">
        <f>IF('[2]BASE'!F49=0,"",'[2]BASE'!F49)</f>
        <v>254.8</v>
      </c>
      <c r="G49" s="835">
        <f>IF('[2]BASE'!G49=0,"",'[2]BASE'!G49)</f>
      </c>
      <c r="H49" s="830">
        <f>IF('[2]BASE'!FP49=0,"",'[2]BASE'!FP49)</f>
      </c>
      <c r="I49" s="830">
        <f>IF('[2]BASE'!FQ49=0,"",'[2]BASE'!FQ49)</f>
      </c>
      <c r="J49" s="830">
        <f>IF('[2]BASE'!FR49=0,"",'[2]BASE'!FR49)</f>
      </c>
      <c r="K49" s="830">
        <f>IF('[2]BASE'!FS49=0,"",'[2]BASE'!FS49)</f>
      </c>
      <c r="L49" s="830">
        <f>IF('[2]BASE'!FT49=0,"",'[2]BASE'!FT49)</f>
      </c>
      <c r="M49" s="830">
        <f>IF('[2]BASE'!FU49=0,"",'[2]BASE'!FU49)</f>
      </c>
      <c r="N49" s="830">
        <f>IF('[2]BASE'!FV49=0,"",'[2]BASE'!FV49)</f>
      </c>
      <c r="O49" s="830">
        <f>IF('[2]BASE'!FW49=0,"",'[2]BASE'!FW49)</f>
      </c>
      <c r="P49" s="830">
        <f>IF('[2]BASE'!FX49=0,"",'[2]BASE'!FX49)</f>
      </c>
      <c r="Q49" s="830">
        <f>IF('[2]BASE'!FY49=0,"",'[2]BASE'!FY49)</f>
      </c>
      <c r="R49" s="830">
        <f>IF('[2]BASE'!FZ49=0,"",'[2]BASE'!FZ49)</f>
      </c>
      <c r="S49" s="830">
        <f>IF('[2]BASE'!GA49=0,"",'[2]BASE'!GA49)</f>
      </c>
      <c r="T49" s="831"/>
      <c r="U49" s="827"/>
    </row>
    <row r="50" spans="2:21" s="800" customFormat="1" ht="19.5" customHeight="1">
      <c r="B50" s="801"/>
      <c r="C50" s="832">
        <f>IF('[2]BASE'!C50=0,"",'[2]BASE'!C50)</f>
        <v>34</v>
      </c>
      <c r="D50" s="832" t="str">
        <f>IF('[2]BASE'!D50=0,"",'[2]BASE'!D50)</f>
        <v>P.del AGUILA  - CHOELE CHOEL</v>
      </c>
      <c r="E50" s="832">
        <f>IF('[2]BASE'!E50=0,"",'[2]BASE'!E50)</f>
        <v>500</v>
      </c>
      <c r="F50" s="832">
        <f>IF('[2]BASE'!F50=0,"",'[2]BASE'!F50)</f>
        <v>386.7</v>
      </c>
      <c r="G50" s="833">
        <f>IF('[2]BASE'!G50=0,"",'[2]BASE'!G50)</f>
      </c>
      <c r="H50" s="830">
        <f>IF('[2]BASE'!FP50=0,"",'[2]BASE'!FP50)</f>
      </c>
      <c r="I50" s="830">
        <f>IF('[2]BASE'!FQ50=0,"",'[2]BASE'!FQ50)</f>
      </c>
      <c r="J50" s="830">
        <f>IF('[2]BASE'!FR50=0,"",'[2]BASE'!FR50)</f>
      </c>
      <c r="K50" s="830">
        <f>IF('[2]BASE'!FS50=0,"",'[2]BASE'!FS50)</f>
      </c>
      <c r="L50" s="830">
        <f>IF('[2]BASE'!FT50=0,"",'[2]BASE'!FT50)</f>
      </c>
      <c r="M50" s="830">
        <f>IF('[2]BASE'!FU50=0,"",'[2]BASE'!FU50)</f>
      </c>
      <c r="N50" s="830">
        <f>IF('[2]BASE'!FV50=0,"",'[2]BASE'!FV50)</f>
      </c>
      <c r="O50" s="830">
        <f>IF('[2]BASE'!FW50=0,"",'[2]BASE'!FW50)</f>
      </c>
      <c r="P50" s="830">
        <f>IF('[2]BASE'!FX50=0,"",'[2]BASE'!FX50)</f>
      </c>
      <c r="Q50" s="830">
        <f>IF('[2]BASE'!FY50=0,"",'[2]BASE'!FY50)</f>
      </c>
      <c r="R50" s="830">
        <f>IF('[2]BASE'!FZ50=0,"",'[2]BASE'!FZ50)</f>
      </c>
      <c r="S50" s="830">
        <f>IF('[2]BASE'!GA50=0,"",'[2]BASE'!GA50)</f>
      </c>
      <c r="T50" s="831"/>
      <c r="U50" s="827"/>
    </row>
    <row r="51" spans="2:21" s="800" customFormat="1" ht="19.5" customHeight="1">
      <c r="B51" s="801"/>
      <c r="C51" s="834">
        <f>IF('[2]BASE'!C51=0,"",'[2]BASE'!C51)</f>
        <v>35</v>
      </c>
      <c r="D51" s="834" t="str">
        <f>IF('[2]BASE'!D51=0,"",'[2]BASE'!D51)</f>
        <v>P.del AGUILA  - CHO. W. 1 (5GW1)</v>
      </c>
      <c r="E51" s="834">
        <f>IF('[2]BASE'!E51=0,"",'[2]BASE'!E51)</f>
        <v>500</v>
      </c>
      <c r="F51" s="834">
        <f>IF('[2]BASE'!F51=0,"",'[2]BASE'!F51)</f>
        <v>165</v>
      </c>
      <c r="G51" s="835" t="str">
        <f>IF('[2]BASE'!G51=0,"",'[2]BASE'!G51)</f>
        <v>A</v>
      </c>
      <c r="H51" s="830">
        <f>IF('[2]BASE'!FP51=0,"",'[2]BASE'!FP51)</f>
      </c>
      <c r="I51" s="830">
        <f>IF('[2]BASE'!FQ51=0,"",'[2]BASE'!FQ51)</f>
      </c>
      <c r="J51" s="830">
        <f>IF('[2]BASE'!FR51=0,"",'[2]BASE'!FR51)</f>
      </c>
      <c r="K51" s="830">
        <f>IF('[2]BASE'!FS51=0,"",'[2]BASE'!FS51)</f>
        <v>1</v>
      </c>
      <c r="L51" s="830">
        <f>IF('[2]BASE'!FT51=0,"",'[2]BASE'!FT51)</f>
      </c>
      <c r="M51" s="830">
        <f>IF('[2]BASE'!FU51=0,"",'[2]BASE'!FU51)</f>
      </c>
      <c r="N51" s="830">
        <f>IF('[2]BASE'!FV51=0,"",'[2]BASE'!FV51)</f>
      </c>
      <c r="O51" s="830">
        <f>IF('[2]BASE'!FW51=0,"",'[2]BASE'!FW51)</f>
      </c>
      <c r="P51" s="830">
        <f>IF('[2]BASE'!FX51=0,"",'[2]BASE'!FX51)</f>
      </c>
      <c r="Q51" s="830">
        <f>IF('[2]BASE'!FY51=0,"",'[2]BASE'!FY51)</f>
      </c>
      <c r="R51" s="830">
        <f>IF('[2]BASE'!FZ51=0,"",'[2]BASE'!FZ51)</f>
      </c>
      <c r="S51" s="830">
        <f>IF('[2]BASE'!GA51=0,"",'[2]BASE'!GA51)</f>
      </c>
      <c r="T51" s="831"/>
      <c r="U51" s="827"/>
    </row>
    <row r="52" spans="2:21" s="800" customFormat="1" ht="19.5" customHeight="1">
      <c r="B52" s="801"/>
      <c r="C52" s="832">
        <f>IF('[2]BASE'!C52=0,"",'[2]BASE'!C52)</f>
        <v>36</v>
      </c>
      <c r="D52" s="832" t="str">
        <f>IF('[2]BASE'!D52=0,"",'[2]BASE'!D52)</f>
        <v>P.del AGUILA  - CHO. W. 2 (5GW2)</v>
      </c>
      <c r="E52" s="832">
        <f>IF('[2]BASE'!E52=0,"",'[2]BASE'!E52)</f>
        <v>500</v>
      </c>
      <c r="F52" s="832">
        <f>IF('[2]BASE'!F52=0,"",'[2]BASE'!F52)</f>
        <v>170</v>
      </c>
      <c r="G52" s="833" t="str">
        <f>IF('[2]BASE'!G52=0,"",'[2]BASE'!G52)</f>
        <v>A</v>
      </c>
      <c r="H52" s="830">
        <f>IF('[2]BASE'!FP52=0,"",'[2]BASE'!FP52)</f>
      </c>
      <c r="I52" s="830">
        <f>IF('[2]BASE'!FQ52=0,"",'[2]BASE'!FQ52)</f>
      </c>
      <c r="J52" s="830">
        <f>IF('[2]BASE'!FR52=0,"",'[2]BASE'!FR52)</f>
      </c>
      <c r="K52" s="830">
        <f>IF('[2]BASE'!FS52=0,"",'[2]BASE'!FS52)</f>
      </c>
      <c r="L52" s="830">
        <f>IF('[2]BASE'!FT52=0,"",'[2]BASE'!FT52)</f>
      </c>
      <c r="M52" s="830">
        <f>IF('[2]BASE'!FU52=0,"",'[2]BASE'!FU52)</f>
      </c>
      <c r="N52" s="830">
        <f>IF('[2]BASE'!FV52=0,"",'[2]BASE'!FV52)</f>
      </c>
      <c r="O52" s="830">
        <f>IF('[2]BASE'!FW52=0,"",'[2]BASE'!FW52)</f>
      </c>
      <c r="P52" s="830">
        <f>IF('[2]BASE'!FX52=0,"",'[2]BASE'!FX52)</f>
      </c>
      <c r="Q52" s="830">
        <f>IF('[2]BASE'!FY52=0,"",'[2]BASE'!FY52)</f>
      </c>
      <c r="R52" s="830">
        <f>IF('[2]BASE'!FZ52=0,"",'[2]BASE'!FZ52)</f>
      </c>
      <c r="S52" s="830">
        <f>IF('[2]BASE'!GA52=0,"",'[2]BASE'!GA52)</f>
      </c>
      <c r="T52" s="831"/>
      <c r="U52" s="827"/>
    </row>
    <row r="53" spans="2:21" s="800" customFormat="1" ht="19.5" customHeight="1">
      <c r="B53" s="801"/>
      <c r="C53" s="834">
        <f>IF('[2]BASE'!C53=0,"",'[2]BASE'!C53)</f>
        <v>37</v>
      </c>
      <c r="D53" s="834" t="str">
        <f>IF('[2]BASE'!D53=0,"",'[2]BASE'!D53)</f>
        <v>PUELCHES - HENDERSON 1 (B1)</v>
      </c>
      <c r="E53" s="834">
        <f>IF('[2]BASE'!E53=0,"",'[2]BASE'!E53)</f>
        <v>500</v>
      </c>
      <c r="F53" s="834">
        <f>IF('[2]BASE'!F53=0,"",'[2]BASE'!F53)</f>
        <v>421</v>
      </c>
      <c r="G53" s="835" t="str">
        <f>IF('[2]BASE'!G53=0,"",'[2]BASE'!G53)</f>
        <v>A</v>
      </c>
      <c r="H53" s="830">
        <f>IF('[2]BASE'!FP53=0,"",'[2]BASE'!FP53)</f>
      </c>
      <c r="I53" s="830">
        <f>IF('[2]BASE'!FQ53=0,"",'[2]BASE'!FQ53)</f>
      </c>
      <c r="J53" s="830">
        <f>IF('[2]BASE'!FR53=0,"",'[2]BASE'!FR53)</f>
        <v>1</v>
      </c>
      <c r="K53" s="830">
        <f>IF('[2]BASE'!FS53=0,"",'[2]BASE'!FS53)</f>
      </c>
      <c r="L53" s="830">
        <f>IF('[2]BASE'!FT53=0,"",'[2]BASE'!FT53)</f>
      </c>
      <c r="M53" s="830">
        <f>IF('[2]BASE'!FU53=0,"",'[2]BASE'!FU53)</f>
      </c>
      <c r="N53" s="830">
        <f>IF('[2]BASE'!FV53=0,"",'[2]BASE'!FV53)</f>
      </c>
      <c r="O53" s="830">
        <f>IF('[2]BASE'!FW53=0,"",'[2]BASE'!FW53)</f>
      </c>
      <c r="P53" s="830">
        <f>IF('[2]BASE'!FX53=0,"",'[2]BASE'!FX53)</f>
      </c>
      <c r="Q53" s="830">
        <f>IF('[2]BASE'!FY53=0,"",'[2]BASE'!FY53)</f>
        <v>1</v>
      </c>
      <c r="R53" s="830">
        <f>IF('[2]BASE'!FZ53=0,"",'[2]BASE'!FZ53)</f>
      </c>
      <c r="S53" s="830">
        <f>IF('[2]BASE'!GA53=0,"",'[2]BASE'!GA53)</f>
      </c>
      <c r="T53" s="831"/>
      <c r="U53" s="827"/>
    </row>
    <row r="54" spans="2:21" s="800" customFormat="1" ht="19.5" customHeight="1">
      <c r="B54" s="801"/>
      <c r="C54" s="832">
        <f>IF('[2]BASE'!C54=0,"",'[2]BASE'!C54)</f>
        <v>38</v>
      </c>
      <c r="D54" s="832" t="str">
        <f>IF('[2]BASE'!D54=0,"",'[2]BASE'!D54)</f>
        <v>PUELCHES - HENDERSON 2 (B2)</v>
      </c>
      <c r="E54" s="832">
        <f>IF('[2]BASE'!E54=0,"",'[2]BASE'!E54)</f>
        <v>500</v>
      </c>
      <c r="F54" s="832">
        <f>IF('[2]BASE'!F54=0,"",'[2]BASE'!F54)</f>
        <v>421</v>
      </c>
      <c r="G54" s="833" t="str">
        <f>IF('[2]BASE'!G54=0,"",'[2]BASE'!G54)</f>
        <v>A</v>
      </c>
      <c r="H54" s="830" t="str">
        <f>IF('[2]BASE'!FP54=0,"",'[2]BASE'!FP54)</f>
        <v>XXXX</v>
      </c>
      <c r="I54" s="830" t="str">
        <f>IF('[2]BASE'!FQ54=0,"",'[2]BASE'!FQ54)</f>
        <v>XXXX</v>
      </c>
      <c r="J54" s="830" t="str">
        <f>IF('[2]BASE'!FR54=0,"",'[2]BASE'!FR54)</f>
        <v>XXXX</v>
      </c>
      <c r="K54" s="830" t="str">
        <f>IF('[2]BASE'!FS54=0,"",'[2]BASE'!FS54)</f>
        <v>XXXX</v>
      </c>
      <c r="L54" s="830" t="str">
        <f>IF('[2]BASE'!FT54=0,"",'[2]BASE'!FT54)</f>
        <v>XXXX</v>
      </c>
      <c r="M54" s="830" t="str">
        <f>IF('[2]BASE'!FU54=0,"",'[2]BASE'!FU54)</f>
        <v>XXXX</v>
      </c>
      <c r="N54" s="830" t="str">
        <f>IF('[2]BASE'!FV54=0,"",'[2]BASE'!FV54)</f>
        <v>XXXX</v>
      </c>
      <c r="O54" s="830" t="str">
        <f>IF('[2]BASE'!FW54=0,"",'[2]BASE'!FW54)</f>
        <v>XXXX</v>
      </c>
      <c r="P54" s="830" t="str">
        <f>IF('[2]BASE'!FX54=0,"",'[2]BASE'!FX54)</f>
        <v>XXXX</v>
      </c>
      <c r="Q54" s="830" t="str">
        <f>IF('[2]BASE'!FY54=0,"",'[2]BASE'!FY54)</f>
        <v>XXXX</v>
      </c>
      <c r="R54" s="830" t="str">
        <f>IF('[2]BASE'!FZ54=0,"",'[2]BASE'!FZ54)</f>
        <v>XXXX</v>
      </c>
      <c r="S54" s="830" t="str">
        <f>IF('[2]BASE'!GA54=0,"",'[2]BASE'!GA54)</f>
        <v>XXXX</v>
      </c>
      <c r="T54" s="831"/>
      <c r="U54" s="827"/>
    </row>
    <row r="55" spans="2:21" s="800" customFormat="1" ht="19.5" customHeight="1">
      <c r="B55" s="801"/>
      <c r="C55" s="834">
        <f>IF('[2]BASE'!C55=0,"",'[2]BASE'!C55)</f>
        <v>39</v>
      </c>
      <c r="D55" s="834" t="str">
        <f>IF('[2]BASE'!D55=0,"",'[2]BASE'!D55)</f>
        <v>RECREO - MALVINAS ARG. </v>
      </c>
      <c r="E55" s="834">
        <f>IF('[2]BASE'!E55=0,"",'[2]BASE'!E55)</f>
        <v>500</v>
      </c>
      <c r="F55" s="834">
        <f>IF('[2]BASE'!F55=0,"",'[2]BASE'!F55)</f>
        <v>259</v>
      </c>
      <c r="G55" s="835" t="str">
        <f>IF('[2]BASE'!G55=0,"",'[2]BASE'!G55)</f>
        <v>C</v>
      </c>
      <c r="H55" s="830">
        <f>IF('[2]BASE'!FP55=0,"",'[2]BASE'!FP55)</f>
        <v>2</v>
      </c>
      <c r="I55" s="830">
        <f>IF('[2]BASE'!FQ55=0,"",'[2]BASE'!FQ55)</f>
      </c>
      <c r="J55" s="830">
        <f>IF('[2]BASE'!FR55=0,"",'[2]BASE'!FR55)</f>
      </c>
      <c r="K55" s="830">
        <f>IF('[2]BASE'!FS55=0,"",'[2]BASE'!FS55)</f>
      </c>
      <c r="L55" s="830">
        <f>IF('[2]BASE'!FT55=0,"",'[2]BASE'!FT55)</f>
      </c>
      <c r="M55" s="830">
        <f>IF('[2]BASE'!FU55=0,"",'[2]BASE'!FU55)</f>
      </c>
      <c r="N55" s="830">
        <f>IF('[2]BASE'!FV55=0,"",'[2]BASE'!FV55)</f>
      </c>
      <c r="O55" s="830">
        <f>IF('[2]BASE'!FW55=0,"",'[2]BASE'!FW55)</f>
      </c>
      <c r="P55" s="830">
        <f>IF('[2]BASE'!FX55=0,"",'[2]BASE'!FX55)</f>
      </c>
      <c r="Q55" s="830">
        <f>IF('[2]BASE'!FY55=0,"",'[2]BASE'!FY55)</f>
      </c>
      <c r="R55" s="830">
        <f>IF('[2]BASE'!FZ55=0,"",'[2]BASE'!FZ55)</f>
      </c>
      <c r="S55" s="830">
        <f>IF('[2]BASE'!GA55=0,"",'[2]BASE'!GA55)</f>
      </c>
      <c r="T55" s="831"/>
      <c r="U55" s="827"/>
    </row>
    <row r="56" spans="2:21" s="800" customFormat="1" ht="19.5" customHeight="1">
      <c r="B56" s="801"/>
      <c r="C56" s="832">
        <f>IF('[2]BASE'!C56=0,"",'[2]BASE'!C56)</f>
        <v>40</v>
      </c>
      <c r="D56" s="832" t="str">
        <f>IF('[2]BASE'!D56=0,"",'[2]BASE'!D56)</f>
        <v>RIO GRANDE - EMBALSE</v>
      </c>
      <c r="E56" s="832">
        <f>IF('[2]BASE'!E56=0,"",'[2]BASE'!E56)</f>
        <v>500</v>
      </c>
      <c r="F56" s="832">
        <f>IF('[2]BASE'!F56=0,"",'[2]BASE'!F56)</f>
        <v>30</v>
      </c>
      <c r="G56" s="833" t="str">
        <f>IF('[2]BASE'!G56=0,"",'[2]BASE'!G56)</f>
        <v>B</v>
      </c>
      <c r="H56" s="830">
        <f>IF('[2]BASE'!FP56=0,"",'[2]BASE'!FP56)</f>
      </c>
      <c r="I56" s="830">
        <f>IF('[2]BASE'!FQ56=0,"",'[2]BASE'!FQ56)</f>
      </c>
      <c r="J56" s="830">
        <f>IF('[2]BASE'!FR56=0,"",'[2]BASE'!FR56)</f>
      </c>
      <c r="K56" s="830">
        <f>IF('[2]BASE'!FS56=0,"",'[2]BASE'!FS56)</f>
      </c>
      <c r="L56" s="830">
        <f>IF('[2]BASE'!FT56=0,"",'[2]BASE'!FT56)</f>
      </c>
      <c r="M56" s="830">
        <f>IF('[2]BASE'!FU56=0,"",'[2]BASE'!FU56)</f>
      </c>
      <c r="N56" s="830">
        <f>IF('[2]BASE'!FV56=0,"",'[2]BASE'!FV56)</f>
      </c>
      <c r="O56" s="830">
        <f>IF('[2]BASE'!FW56=0,"",'[2]BASE'!FW56)</f>
      </c>
      <c r="P56" s="830">
        <f>IF('[2]BASE'!FX56=0,"",'[2]BASE'!FX56)</f>
      </c>
      <c r="Q56" s="830">
        <f>IF('[2]BASE'!FY56=0,"",'[2]BASE'!FY56)</f>
      </c>
      <c r="R56" s="830">
        <f>IF('[2]BASE'!FZ56=0,"",'[2]BASE'!FZ56)</f>
      </c>
      <c r="S56" s="830">
        <f>IF('[2]BASE'!GA56=0,"",'[2]BASE'!GA56)</f>
      </c>
      <c r="T56" s="831"/>
      <c r="U56" s="827"/>
    </row>
    <row r="57" spans="2:21" s="800" customFormat="1" ht="19.5" customHeight="1">
      <c r="B57" s="801"/>
      <c r="C57" s="834">
        <f>IF('[2]BASE'!C57=0,"",'[2]BASE'!C57)</f>
        <v>41</v>
      </c>
      <c r="D57" s="834" t="str">
        <f>IF('[2]BASE'!D57=0,"",'[2]BASE'!D57)</f>
        <v>RIO GRANDE - GRAN MENDOZA</v>
      </c>
      <c r="E57" s="834">
        <f>IF('[2]BASE'!E57=0,"",'[2]BASE'!E57)</f>
        <v>500</v>
      </c>
      <c r="F57" s="834">
        <f>IF('[2]BASE'!F57=0,"",'[2]BASE'!F57)</f>
        <v>407</v>
      </c>
      <c r="G57" s="835" t="str">
        <f>IF('[2]BASE'!G57=0,"",'[2]BASE'!G57)</f>
        <v>B</v>
      </c>
      <c r="H57" s="830" t="str">
        <f>IF('[2]BASE'!FP57=0,"",'[2]BASE'!FP57)</f>
        <v>XXXX</v>
      </c>
      <c r="I57" s="830" t="str">
        <f>IF('[2]BASE'!FQ57=0,"",'[2]BASE'!FQ57)</f>
        <v>XXXX</v>
      </c>
      <c r="J57" s="830" t="str">
        <f>IF('[2]BASE'!FR57=0,"",'[2]BASE'!FR57)</f>
        <v>XXXX</v>
      </c>
      <c r="K57" s="830" t="str">
        <f>IF('[2]BASE'!FS57=0,"",'[2]BASE'!FS57)</f>
        <v>XXXX</v>
      </c>
      <c r="L57" s="830" t="str">
        <f>IF('[2]BASE'!FT57=0,"",'[2]BASE'!FT57)</f>
        <v>XXXX</v>
      </c>
      <c r="M57" s="830" t="str">
        <f>IF('[2]BASE'!FU57=0,"",'[2]BASE'!FU57)</f>
        <v>XXXX</v>
      </c>
      <c r="N57" s="830" t="str">
        <f>IF('[2]BASE'!FV57=0,"",'[2]BASE'!FV57)</f>
        <v>XXXX</v>
      </c>
      <c r="O57" s="830" t="str">
        <f>IF('[2]BASE'!FW57=0,"",'[2]BASE'!FW57)</f>
        <v>XXXX</v>
      </c>
      <c r="P57" s="830" t="str">
        <f>IF('[2]BASE'!FX57=0,"",'[2]BASE'!FX57)</f>
        <v>XXXX</v>
      </c>
      <c r="Q57" s="830" t="str">
        <f>IF('[2]BASE'!FY57=0,"",'[2]BASE'!FY57)</f>
        <v>XXXX</v>
      </c>
      <c r="R57" s="830" t="str">
        <f>IF('[2]BASE'!FZ57=0,"",'[2]BASE'!FZ57)</f>
        <v>XXXX</v>
      </c>
      <c r="S57" s="830" t="str">
        <f>IF('[2]BASE'!GA57=0,"",'[2]BASE'!GA57)</f>
        <v>XXXX</v>
      </c>
      <c r="T57" s="831"/>
      <c r="U57" s="827"/>
    </row>
    <row r="58" spans="2:21" s="800" customFormat="1" ht="19.5" customHeight="1">
      <c r="B58" s="801"/>
      <c r="C58" s="832">
        <f>IF('[2]BASE'!C58=0,"",'[2]BASE'!C58)</f>
        <v>42</v>
      </c>
      <c r="D58" s="832" t="str">
        <f>IF('[2]BASE'!D58=0,"",'[2]BASE'!D58)</f>
        <v>RIO GRANDE - LUJAN</v>
      </c>
      <c r="E58" s="832">
        <f>IF('[2]BASE'!E58=0,"",'[2]BASE'!E58)</f>
        <v>500</v>
      </c>
      <c r="F58" s="832">
        <f>IF('[2]BASE'!F58=0,"",'[2]BASE'!F58)</f>
        <v>150</v>
      </c>
      <c r="G58" s="833" t="str">
        <f>IF('[2]BASE'!G58=0,"",'[2]BASE'!G58)</f>
        <v>A</v>
      </c>
      <c r="H58" s="830">
        <f>IF('[2]BASE'!FP58=0,"",'[2]BASE'!FP58)</f>
      </c>
      <c r="I58" s="830">
        <f>IF('[2]BASE'!FQ58=0,"",'[2]BASE'!FQ58)</f>
      </c>
      <c r="J58" s="830">
        <f>IF('[2]BASE'!FR58=0,"",'[2]BASE'!FR58)</f>
      </c>
      <c r="K58" s="830">
        <f>IF('[2]BASE'!FS58=0,"",'[2]BASE'!FS58)</f>
      </c>
      <c r="L58" s="830">
        <f>IF('[2]BASE'!FT58=0,"",'[2]BASE'!FT58)</f>
      </c>
      <c r="M58" s="830">
        <f>IF('[2]BASE'!FU58=0,"",'[2]BASE'!FU58)</f>
      </c>
      <c r="N58" s="830">
        <f>IF('[2]BASE'!FV58=0,"",'[2]BASE'!FV58)</f>
      </c>
      <c r="O58" s="830">
        <f>IF('[2]BASE'!FW58=0,"",'[2]BASE'!FW58)</f>
      </c>
      <c r="P58" s="830">
        <f>IF('[2]BASE'!FX58=0,"",'[2]BASE'!FX58)</f>
      </c>
      <c r="Q58" s="830">
        <f>IF('[2]BASE'!FY58=0,"",'[2]BASE'!FY58)</f>
      </c>
      <c r="R58" s="830">
        <f>IF('[2]BASE'!FZ58=0,"",'[2]BASE'!FZ58)</f>
      </c>
      <c r="S58" s="830">
        <f>IF('[2]BASE'!GA58=0,"",'[2]BASE'!GA58)</f>
      </c>
      <c r="T58" s="831"/>
      <c r="U58" s="827"/>
    </row>
    <row r="59" spans="2:21" s="800" customFormat="1" ht="19.5" customHeight="1">
      <c r="B59" s="801"/>
      <c r="C59" s="834">
        <f>IF('[2]BASE'!C59=0,"",'[2]BASE'!C59)</f>
        <v>43</v>
      </c>
      <c r="D59" s="834" t="str">
        <f>IF('[2]BASE'!D59=0,"",'[2]BASE'!D59)</f>
        <v>LUJAN - GRAN MENDOZA</v>
      </c>
      <c r="E59" s="834">
        <f>IF('[2]BASE'!E59=0,"",'[2]BASE'!E59)</f>
        <v>500</v>
      </c>
      <c r="F59" s="834">
        <f>IF('[2]BASE'!F59=0,"",'[2]BASE'!F59)</f>
        <v>257</v>
      </c>
      <c r="G59" s="835" t="str">
        <f>IF('[2]BASE'!G59=0,"",'[2]BASE'!G59)</f>
        <v>B</v>
      </c>
      <c r="H59" s="830">
        <f>IF('[2]BASE'!FP59=0,"",'[2]BASE'!FP59)</f>
      </c>
      <c r="I59" s="830">
        <f>IF('[2]BASE'!FQ59=0,"",'[2]BASE'!FQ59)</f>
      </c>
      <c r="J59" s="830">
        <f>IF('[2]BASE'!FR59=0,"",'[2]BASE'!FR59)</f>
      </c>
      <c r="K59" s="830">
        <f>IF('[2]BASE'!FS59=0,"",'[2]BASE'!FS59)</f>
      </c>
      <c r="L59" s="830">
        <f>IF('[2]BASE'!FT59=0,"",'[2]BASE'!FT59)</f>
      </c>
      <c r="M59" s="830">
        <f>IF('[2]BASE'!FU59=0,"",'[2]BASE'!FU59)</f>
      </c>
      <c r="N59" s="830">
        <f>IF('[2]BASE'!FV59=0,"",'[2]BASE'!FV59)</f>
      </c>
      <c r="O59" s="830">
        <f>IF('[2]BASE'!FW59=0,"",'[2]BASE'!FW59)</f>
      </c>
      <c r="P59" s="830">
        <f>IF('[2]BASE'!FX59=0,"",'[2]BASE'!FX59)</f>
      </c>
      <c r="Q59" s="830">
        <f>IF('[2]BASE'!FY59=0,"",'[2]BASE'!FY59)</f>
      </c>
      <c r="R59" s="830">
        <f>IF('[2]BASE'!FZ59=0,"",'[2]BASE'!FZ59)</f>
      </c>
      <c r="S59" s="830">
        <f>IF('[2]BASE'!GA59=0,"",'[2]BASE'!GA59)</f>
      </c>
      <c r="T59" s="831"/>
      <c r="U59" s="827"/>
    </row>
    <row r="60" spans="2:21" s="800" customFormat="1" ht="19.5" customHeight="1">
      <c r="B60" s="801"/>
      <c r="C60" s="832">
        <f>IF('[2]BASE'!C60=0,"",'[2]BASE'!C60)</f>
        <v>44</v>
      </c>
      <c r="D60" s="832" t="str">
        <f>IF('[2]BASE'!D60=0,"",'[2]BASE'!D60)</f>
        <v>ROMANG - RESISTENCIA</v>
      </c>
      <c r="E60" s="832">
        <f>IF('[2]BASE'!E60=0,"",'[2]BASE'!E60)</f>
        <v>500</v>
      </c>
      <c r="F60" s="832">
        <f>IF('[2]BASE'!F60=0,"",'[2]BASE'!F60)</f>
        <v>256</v>
      </c>
      <c r="G60" s="833" t="str">
        <f>IF('[2]BASE'!G60=0,"",'[2]BASE'!G60)</f>
        <v>A</v>
      </c>
      <c r="H60" s="830">
        <f>IF('[2]BASE'!FP60=0,"",'[2]BASE'!FP60)</f>
      </c>
      <c r="I60" s="830">
        <f>IF('[2]BASE'!FQ60=0,"",'[2]BASE'!FQ60)</f>
      </c>
      <c r="J60" s="830">
        <f>IF('[2]BASE'!FR60=0,"",'[2]BASE'!FR60)</f>
      </c>
      <c r="K60" s="830">
        <f>IF('[2]BASE'!FS60=0,"",'[2]BASE'!FS60)</f>
      </c>
      <c r="L60" s="830">
        <f>IF('[2]BASE'!FT60=0,"",'[2]BASE'!FT60)</f>
      </c>
      <c r="M60" s="830">
        <f>IF('[2]BASE'!FU60=0,"",'[2]BASE'!FU60)</f>
      </c>
      <c r="N60" s="830">
        <f>IF('[2]BASE'!FV60=0,"",'[2]BASE'!FV60)</f>
      </c>
      <c r="O60" s="830">
        <f>IF('[2]BASE'!FW60=0,"",'[2]BASE'!FW60)</f>
      </c>
      <c r="P60" s="830">
        <f>IF('[2]BASE'!FX60=0,"",'[2]BASE'!FX60)</f>
      </c>
      <c r="Q60" s="830">
        <f>IF('[2]BASE'!FY60=0,"",'[2]BASE'!FY60)</f>
      </c>
      <c r="R60" s="830">
        <f>IF('[2]BASE'!FZ60=0,"",'[2]BASE'!FZ60)</f>
      </c>
      <c r="S60" s="830">
        <f>IF('[2]BASE'!GA60=0,"",'[2]BASE'!GA60)</f>
        <v>1</v>
      </c>
      <c r="T60" s="831"/>
      <c r="U60" s="827"/>
    </row>
    <row r="61" spans="2:21" s="800" customFormat="1" ht="19.5" customHeight="1">
      <c r="B61" s="801"/>
      <c r="C61" s="834">
        <f>IF('[2]BASE'!C61=0,"",'[2]BASE'!C61)</f>
        <v>45</v>
      </c>
      <c r="D61" s="834" t="str">
        <f>IF('[2]BASE'!D61=0,"",'[2]BASE'!D61)</f>
        <v>ROSARIO OESTE -SANTO TOME</v>
      </c>
      <c r="E61" s="834">
        <f>IF('[2]BASE'!E61=0,"",'[2]BASE'!E61)</f>
        <v>500</v>
      </c>
      <c r="F61" s="834">
        <f>IF('[2]BASE'!F61=0,"",'[2]BASE'!F61)</f>
        <v>159</v>
      </c>
      <c r="G61" s="835" t="str">
        <f>IF('[2]BASE'!G61=0,"",'[2]BASE'!G61)</f>
        <v>C</v>
      </c>
      <c r="H61" s="830">
        <f>IF('[2]BASE'!FP61=0,"",'[2]BASE'!FP61)</f>
      </c>
      <c r="I61" s="830">
        <f>IF('[2]BASE'!FQ61=0,"",'[2]BASE'!FQ61)</f>
      </c>
      <c r="J61" s="830">
        <f>IF('[2]BASE'!FR61=0,"",'[2]BASE'!FR61)</f>
      </c>
      <c r="K61" s="830">
        <f>IF('[2]BASE'!FS61=0,"",'[2]BASE'!FS61)</f>
      </c>
      <c r="L61" s="830">
        <f>IF('[2]BASE'!FT61=0,"",'[2]BASE'!FT61)</f>
        <v>1</v>
      </c>
      <c r="M61" s="830">
        <f>IF('[2]BASE'!FU61=0,"",'[2]BASE'!FU61)</f>
        <v>1</v>
      </c>
      <c r="N61" s="830">
        <f>IF('[2]BASE'!FV61=0,"",'[2]BASE'!FV61)</f>
        <v>1</v>
      </c>
      <c r="O61" s="830">
        <f>IF('[2]BASE'!FW61=0,"",'[2]BASE'!FW61)</f>
      </c>
      <c r="P61" s="830">
        <f>IF('[2]BASE'!FX61=0,"",'[2]BASE'!FX61)</f>
      </c>
      <c r="Q61" s="830">
        <f>IF('[2]BASE'!FY61=0,"",'[2]BASE'!FY61)</f>
      </c>
      <c r="R61" s="830">
        <f>IF('[2]BASE'!FZ61=0,"",'[2]BASE'!FZ61)</f>
      </c>
      <c r="S61" s="830">
        <f>IF('[2]BASE'!GA61=0,"",'[2]BASE'!GA61)</f>
      </c>
      <c r="T61" s="831"/>
      <c r="U61" s="827"/>
    </row>
    <row r="62" spans="2:21" s="800" customFormat="1" ht="19.5" customHeight="1">
      <c r="B62" s="801"/>
      <c r="C62" s="832">
        <f>IF('[2]BASE'!C62=0,"",'[2]BASE'!C62)</f>
        <v>46</v>
      </c>
      <c r="D62" s="832" t="str">
        <f>IF('[2]BASE'!D62=0,"",'[2]BASE'!D62)</f>
        <v>SALTO GRANDE - SANTO TOME </v>
      </c>
      <c r="E62" s="832">
        <f>IF('[2]BASE'!E62=0,"",'[2]BASE'!E62)</f>
        <v>500</v>
      </c>
      <c r="F62" s="832">
        <f>IF('[2]BASE'!F62=0,"",'[2]BASE'!F62)</f>
        <v>289</v>
      </c>
      <c r="G62" s="833" t="str">
        <f>IF('[2]BASE'!G62=0,"",'[2]BASE'!G62)</f>
        <v>C</v>
      </c>
      <c r="H62" s="830">
        <f>IF('[2]BASE'!FP62=0,"",'[2]BASE'!FP62)</f>
      </c>
      <c r="I62" s="830">
        <f>IF('[2]BASE'!FQ62=0,"",'[2]BASE'!FQ62)</f>
      </c>
      <c r="J62" s="830">
        <f>IF('[2]BASE'!FR62=0,"",'[2]BASE'!FR62)</f>
      </c>
      <c r="K62" s="830">
        <f>IF('[2]BASE'!FS62=0,"",'[2]BASE'!FS62)</f>
      </c>
      <c r="L62" s="830">
        <f>IF('[2]BASE'!FT62=0,"",'[2]BASE'!FT62)</f>
      </c>
      <c r="M62" s="830">
        <f>IF('[2]BASE'!FU62=0,"",'[2]BASE'!FU62)</f>
      </c>
      <c r="N62" s="830">
        <f>IF('[2]BASE'!FV62=0,"",'[2]BASE'!FV62)</f>
      </c>
      <c r="O62" s="830">
        <f>IF('[2]BASE'!FW62=0,"",'[2]BASE'!FW62)</f>
      </c>
      <c r="P62" s="830">
        <f>IF('[2]BASE'!FX62=0,"",'[2]BASE'!FX62)</f>
      </c>
      <c r="Q62" s="830">
        <f>IF('[2]BASE'!FY62=0,"",'[2]BASE'!FY62)</f>
      </c>
      <c r="R62" s="830">
        <f>IF('[2]BASE'!FZ62=0,"",'[2]BASE'!FZ62)</f>
      </c>
      <c r="S62" s="830">
        <f>IF('[2]BASE'!GA62=0,"",'[2]BASE'!GA62)</f>
        <v>1</v>
      </c>
      <c r="T62" s="831"/>
      <c r="U62" s="827"/>
    </row>
    <row r="63" spans="2:21" s="800" customFormat="1" ht="19.5" customHeight="1">
      <c r="B63" s="801"/>
      <c r="C63" s="834">
        <f>IF('[2]BASE'!C63=0,"",'[2]BASE'!C63)</f>
        <v>47</v>
      </c>
      <c r="D63" s="834" t="str">
        <f>IF('[2]BASE'!D63=0,"",'[2]BASE'!D63)</f>
        <v>SANTO TOME - ROMANG </v>
      </c>
      <c r="E63" s="834">
        <f>IF('[2]BASE'!E63=0,"",'[2]BASE'!E63)</f>
        <v>500</v>
      </c>
      <c r="F63" s="834">
        <f>IF('[2]BASE'!F63=0,"",'[2]BASE'!F63)</f>
        <v>270</v>
      </c>
      <c r="G63" s="835" t="str">
        <f>IF('[2]BASE'!G63=0,"",'[2]BASE'!G63)</f>
        <v>A</v>
      </c>
      <c r="H63" s="830">
        <f>IF('[2]BASE'!FP63=0,"",'[2]BASE'!FP63)</f>
      </c>
      <c r="I63" s="830">
        <f>IF('[2]BASE'!FQ63=0,"",'[2]BASE'!FQ63)</f>
      </c>
      <c r="J63" s="830">
        <f>IF('[2]BASE'!FR63=0,"",'[2]BASE'!FR63)</f>
      </c>
      <c r="K63" s="830">
        <f>IF('[2]BASE'!FS63=0,"",'[2]BASE'!FS63)</f>
      </c>
      <c r="L63" s="830">
        <f>IF('[2]BASE'!FT63=0,"",'[2]BASE'!FT63)</f>
      </c>
      <c r="M63" s="830">
        <f>IF('[2]BASE'!FU63=0,"",'[2]BASE'!FU63)</f>
      </c>
      <c r="N63" s="830">
        <f>IF('[2]BASE'!FV63=0,"",'[2]BASE'!FV63)</f>
      </c>
      <c r="O63" s="830">
        <f>IF('[2]BASE'!FW63=0,"",'[2]BASE'!FW63)</f>
      </c>
      <c r="P63" s="830">
        <f>IF('[2]BASE'!FX63=0,"",'[2]BASE'!FX63)</f>
      </c>
      <c r="Q63" s="830">
        <f>IF('[2]BASE'!FY63=0,"",'[2]BASE'!FY63)</f>
      </c>
      <c r="R63" s="830">
        <f>IF('[2]BASE'!FZ63=0,"",'[2]BASE'!FZ63)</f>
      </c>
      <c r="S63" s="830">
        <f>IF('[2]BASE'!GA63=0,"",'[2]BASE'!GA63)</f>
      </c>
      <c r="T63" s="831"/>
      <c r="U63" s="827"/>
    </row>
    <row r="64" spans="2:21" s="800" customFormat="1" ht="9.75" customHeight="1">
      <c r="B64" s="801"/>
      <c r="C64" s="832">
        <f>IF('[2]BASE'!C64=0,"",'[2]BASE'!C64)</f>
      </c>
      <c r="D64" s="832">
        <f>IF('[2]BASE'!D64=0,"",'[2]BASE'!D64)</f>
      </c>
      <c r="E64" s="832">
        <f>IF('[2]BASE'!E64=0,"",'[2]BASE'!E64)</f>
      </c>
      <c r="F64" s="832">
        <f>IF('[2]BASE'!F64=0,"",'[2]BASE'!F64)</f>
      </c>
      <c r="G64" s="833">
        <f>IF('[2]BASE'!G64=0,"",'[2]BASE'!G64)</f>
      </c>
      <c r="H64" s="830">
        <f>IF('[2]BASE'!FP64=0,"",'[2]BASE'!FP64)</f>
      </c>
      <c r="I64" s="830">
        <f>IF('[2]BASE'!FQ64=0,"",'[2]BASE'!FQ64)</f>
      </c>
      <c r="J64" s="830">
        <f>IF('[2]BASE'!FR64=0,"",'[2]BASE'!FR64)</f>
      </c>
      <c r="K64" s="830">
        <f>IF('[2]BASE'!FS64=0,"",'[2]BASE'!FS64)</f>
      </c>
      <c r="L64" s="830">
        <f>IF('[2]BASE'!FT64=0,"",'[2]BASE'!FT64)</f>
      </c>
      <c r="M64" s="830">
        <f>IF('[2]BASE'!FU64=0,"",'[2]BASE'!FU64)</f>
      </c>
      <c r="N64" s="830">
        <f>IF('[2]BASE'!FV64=0,"",'[2]BASE'!FV64)</f>
      </c>
      <c r="O64" s="830">
        <f>IF('[2]BASE'!FW64=0,"",'[2]BASE'!FW64)</f>
      </c>
      <c r="P64" s="830">
        <f>IF('[2]BASE'!FX64=0,"",'[2]BASE'!FX64)</f>
      </c>
      <c r="Q64" s="830">
        <f>IF('[2]BASE'!FY64=0,"",'[2]BASE'!FY64)</f>
      </c>
      <c r="R64" s="830">
        <f>IF('[2]BASE'!FZ64=0,"",'[2]BASE'!FZ64)</f>
      </c>
      <c r="S64" s="830">
        <f>IF('[2]BASE'!GA64=0,"",'[2]BASE'!GA64)</f>
      </c>
      <c r="T64" s="831"/>
      <c r="U64" s="827"/>
    </row>
    <row r="65" spans="2:21" s="800" customFormat="1" ht="19.5" customHeight="1">
      <c r="B65" s="801"/>
      <c r="C65" s="834">
        <f>IF('[2]BASE'!C65=0,"",'[2]BASE'!C65)</f>
        <v>48</v>
      </c>
      <c r="D65" s="834" t="str">
        <f>IF('[2]BASE'!D65=0,"",'[2]BASE'!D65)</f>
        <v>GRAL. RODRIGUEZ - VILLA  LIA 1</v>
      </c>
      <c r="E65" s="834">
        <f>IF('[2]BASE'!E65=0,"",'[2]BASE'!E65)</f>
        <v>220</v>
      </c>
      <c r="F65" s="834">
        <f>IF('[2]BASE'!F65=0,"",'[2]BASE'!F65)</f>
        <v>61</v>
      </c>
      <c r="G65" s="835" t="str">
        <f>IF('[2]BASE'!G65=0,"",'[2]BASE'!G65)</f>
        <v>C</v>
      </c>
      <c r="H65" s="830">
        <f>IF('[2]BASE'!FP65=0,"",'[2]BASE'!FP65)</f>
      </c>
      <c r="I65" s="830">
        <f>IF('[2]BASE'!FQ65=0,"",'[2]BASE'!FQ65)</f>
      </c>
      <c r="J65" s="830">
        <f>IF('[2]BASE'!FR65=0,"",'[2]BASE'!FR65)</f>
      </c>
      <c r="K65" s="830">
        <f>IF('[2]BASE'!FS65=0,"",'[2]BASE'!FS65)</f>
      </c>
      <c r="L65" s="830">
        <f>IF('[2]BASE'!FT65=0,"",'[2]BASE'!FT65)</f>
        <v>1</v>
      </c>
      <c r="M65" s="830">
        <f>IF('[2]BASE'!FU65=0,"",'[2]BASE'!FU65)</f>
      </c>
      <c r="N65" s="830">
        <f>IF('[2]BASE'!FV65=0,"",'[2]BASE'!FV65)</f>
        <v>1</v>
      </c>
      <c r="O65" s="830">
        <f>IF('[2]BASE'!FW65=0,"",'[2]BASE'!FW65)</f>
      </c>
      <c r="P65" s="830">
        <f>IF('[2]BASE'!FX65=0,"",'[2]BASE'!FX65)</f>
        <v>1</v>
      </c>
      <c r="Q65" s="830">
        <f>IF('[2]BASE'!FY65=0,"",'[2]BASE'!FY65)</f>
      </c>
      <c r="R65" s="830">
        <f>IF('[2]BASE'!FZ65=0,"",'[2]BASE'!FZ65)</f>
      </c>
      <c r="S65" s="830">
        <f>IF('[2]BASE'!GA65=0,"",'[2]BASE'!GA65)</f>
      </c>
      <c r="T65" s="831"/>
      <c r="U65" s="827"/>
    </row>
    <row r="66" spans="2:21" s="800" customFormat="1" ht="19.5" customHeight="1">
      <c r="B66" s="801"/>
      <c r="C66" s="832">
        <f>IF('[2]BASE'!C66=0,"",'[2]BASE'!C66)</f>
        <v>49</v>
      </c>
      <c r="D66" s="832" t="str">
        <f>IF('[2]BASE'!D66=0,"",'[2]BASE'!D66)</f>
        <v>GRAL. RODRIGUEZ - VILLA  LIA 2</v>
      </c>
      <c r="E66" s="832">
        <f>IF('[2]BASE'!E66=0,"",'[2]BASE'!E66)</f>
        <v>220</v>
      </c>
      <c r="F66" s="832">
        <f>IF('[2]BASE'!F66=0,"",'[2]BASE'!F66)</f>
        <v>61</v>
      </c>
      <c r="G66" s="833" t="str">
        <f>IF('[2]BASE'!G66=0,"",'[2]BASE'!G66)</f>
        <v>C</v>
      </c>
      <c r="H66" s="830">
        <f>IF('[2]BASE'!FP66=0,"",'[2]BASE'!FP66)</f>
      </c>
      <c r="I66" s="830">
        <f>IF('[2]BASE'!FQ66=0,"",'[2]BASE'!FQ66)</f>
      </c>
      <c r="J66" s="830">
        <f>IF('[2]BASE'!FR66=0,"",'[2]BASE'!FR66)</f>
      </c>
      <c r="K66" s="830">
        <f>IF('[2]BASE'!FS66=0,"",'[2]BASE'!FS66)</f>
      </c>
      <c r="L66" s="830">
        <f>IF('[2]BASE'!FT66=0,"",'[2]BASE'!FT66)</f>
      </c>
      <c r="M66" s="830">
        <f>IF('[2]BASE'!FU66=0,"",'[2]BASE'!FU66)</f>
      </c>
      <c r="N66" s="830">
        <f>IF('[2]BASE'!FV66=0,"",'[2]BASE'!FV66)</f>
      </c>
      <c r="O66" s="830">
        <f>IF('[2]BASE'!FW66=0,"",'[2]BASE'!FW66)</f>
      </c>
      <c r="P66" s="830">
        <f>IF('[2]BASE'!FX66=0,"",'[2]BASE'!FX66)</f>
      </c>
      <c r="Q66" s="830">
        <f>IF('[2]BASE'!FY66=0,"",'[2]BASE'!FY66)</f>
      </c>
      <c r="R66" s="830">
        <f>IF('[2]BASE'!FZ66=0,"",'[2]BASE'!FZ66)</f>
      </c>
      <c r="S66" s="830">
        <f>IF('[2]BASE'!GA66=0,"",'[2]BASE'!GA66)</f>
      </c>
      <c r="T66" s="831"/>
      <c r="U66" s="827"/>
    </row>
    <row r="67" spans="2:21" s="800" customFormat="1" ht="19.5" customHeight="1">
      <c r="B67" s="801"/>
      <c r="C67" s="834">
        <f>IF('[2]BASE'!C67=0,"",'[2]BASE'!C67)</f>
        <v>50</v>
      </c>
      <c r="D67" s="834" t="str">
        <f>IF('[2]BASE'!D67=0,"",'[2]BASE'!D67)</f>
        <v>RAMALLO - SAN NICOLAS (2)</v>
      </c>
      <c r="E67" s="834">
        <f>IF('[2]BASE'!E67=0,"",'[2]BASE'!E67)</f>
        <v>220</v>
      </c>
      <c r="F67" s="834">
        <f>IF('[2]BASE'!F67=0,"",'[2]BASE'!F67)</f>
        <v>6</v>
      </c>
      <c r="G67" s="835" t="str">
        <f>IF('[2]BASE'!G67=0,"",'[2]BASE'!G67)</f>
        <v>C</v>
      </c>
      <c r="H67" s="830">
        <f>IF('[2]BASE'!FP67=0,"",'[2]BASE'!FP67)</f>
      </c>
      <c r="I67" s="830">
        <f>IF('[2]BASE'!FQ67=0,"",'[2]BASE'!FQ67)</f>
      </c>
      <c r="J67" s="830">
        <f>IF('[2]BASE'!FR67=0,"",'[2]BASE'!FR67)</f>
      </c>
      <c r="K67" s="830">
        <f>IF('[2]BASE'!FS67=0,"",'[2]BASE'!FS67)</f>
      </c>
      <c r="L67" s="830">
        <f>IF('[2]BASE'!FT67=0,"",'[2]BASE'!FT67)</f>
      </c>
      <c r="M67" s="830">
        <f>IF('[2]BASE'!FU67=0,"",'[2]BASE'!FU67)</f>
      </c>
      <c r="N67" s="830">
        <f>IF('[2]BASE'!FV67=0,"",'[2]BASE'!FV67)</f>
      </c>
      <c r="O67" s="830">
        <f>IF('[2]BASE'!FW67=0,"",'[2]BASE'!FW67)</f>
      </c>
      <c r="P67" s="830">
        <f>IF('[2]BASE'!FX67=0,"",'[2]BASE'!FX67)</f>
      </c>
      <c r="Q67" s="830">
        <f>IF('[2]BASE'!FY67=0,"",'[2]BASE'!FY67)</f>
      </c>
      <c r="R67" s="830">
        <f>IF('[2]BASE'!FZ67=0,"",'[2]BASE'!FZ67)</f>
      </c>
      <c r="S67" s="830">
        <f>IF('[2]BASE'!GA67=0,"",'[2]BASE'!GA67)</f>
      </c>
      <c r="T67" s="831"/>
      <c r="U67" s="827"/>
    </row>
    <row r="68" spans="2:21" s="800" customFormat="1" ht="19.5" customHeight="1">
      <c r="B68" s="801"/>
      <c r="C68" s="832">
        <f>IF('[2]BASE'!C68=0,"",'[2]BASE'!C68)</f>
        <v>51</v>
      </c>
      <c r="D68" s="832" t="str">
        <f>IF('[2]BASE'!D68=0,"",'[2]BASE'!D68)</f>
        <v>RAMALLO - SAN NICOLAS (1)</v>
      </c>
      <c r="E68" s="832">
        <f>IF('[2]BASE'!E68=0,"",'[2]BASE'!E68)</f>
        <v>220</v>
      </c>
      <c r="F68" s="832">
        <f>IF('[2]BASE'!F68=0,"",'[2]BASE'!F68)</f>
        <v>6</v>
      </c>
      <c r="G68" s="833" t="str">
        <f>IF('[2]BASE'!G68=0,"",'[2]BASE'!G68)</f>
        <v>C</v>
      </c>
      <c r="H68" s="830">
        <f>IF('[2]BASE'!FP68=0,"",'[2]BASE'!FP68)</f>
      </c>
      <c r="I68" s="830">
        <f>IF('[2]BASE'!FQ68=0,"",'[2]BASE'!FQ68)</f>
      </c>
      <c r="J68" s="830">
        <f>IF('[2]BASE'!FR68=0,"",'[2]BASE'!FR68)</f>
        <v>1</v>
      </c>
      <c r="K68" s="830">
        <f>IF('[2]BASE'!FS68=0,"",'[2]BASE'!FS68)</f>
      </c>
      <c r="L68" s="830">
        <f>IF('[2]BASE'!FT68=0,"",'[2]BASE'!FT68)</f>
      </c>
      <c r="M68" s="830">
        <f>IF('[2]BASE'!FU68=0,"",'[2]BASE'!FU68)</f>
      </c>
      <c r="N68" s="830">
        <f>IF('[2]BASE'!FV68=0,"",'[2]BASE'!FV68)</f>
      </c>
      <c r="O68" s="830">
        <f>IF('[2]BASE'!FW68=0,"",'[2]BASE'!FW68)</f>
      </c>
      <c r="P68" s="830">
        <f>IF('[2]BASE'!FX68=0,"",'[2]BASE'!FX68)</f>
      </c>
      <c r="Q68" s="830">
        <f>IF('[2]BASE'!FY68=0,"",'[2]BASE'!FY68)</f>
      </c>
      <c r="R68" s="830">
        <f>IF('[2]BASE'!FZ68=0,"",'[2]BASE'!FZ68)</f>
      </c>
      <c r="S68" s="830">
        <f>IF('[2]BASE'!GA68=0,"",'[2]BASE'!GA68)</f>
      </c>
      <c r="T68" s="831"/>
      <c r="U68" s="827"/>
    </row>
    <row r="69" spans="2:21" s="800" customFormat="1" ht="19.5" customHeight="1">
      <c r="B69" s="801"/>
      <c r="C69" s="834">
        <f>IF('[2]BASE'!C69=0,"",'[2]BASE'!C69)</f>
        <v>52</v>
      </c>
      <c r="D69" s="834" t="str">
        <f>IF('[2]BASE'!D69=0,"",'[2]BASE'!D69)</f>
        <v>RAMALLO - VILLA LIA  1</v>
      </c>
      <c r="E69" s="834">
        <f>IF('[2]BASE'!E69=0,"",'[2]BASE'!E69)</f>
        <v>220</v>
      </c>
      <c r="F69" s="835">
        <f>IF('[2]BASE'!F69=0,"",'[2]BASE'!F69)</f>
        <v>114</v>
      </c>
      <c r="G69" s="835" t="str">
        <f>IF('[2]BASE'!G69=0,"",'[2]BASE'!G69)</f>
        <v>C</v>
      </c>
      <c r="H69" s="830">
        <f>IF('[2]BASE'!FP69=0,"",'[2]BASE'!FP69)</f>
      </c>
      <c r="I69" s="830">
        <f>IF('[2]BASE'!FQ69=0,"",'[2]BASE'!FQ69)</f>
      </c>
      <c r="J69" s="830">
        <f>IF('[2]BASE'!FR69=0,"",'[2]BASE'!FR69)</f>
      </c>
      <c r="K69" s="830">
        <f>IF('[2]BASE'!FS69=0,"",'[2]BASE'!FS69)</f>
      </c>
      <c r="L69" s="830">
        <f>IF('[2]BASE'!FT69=0,"",'[2]BASE'!FT69)</f>
      </c>
      <c r="M69" s="830">
        <f>IF('[2]BASE'!FU69=0,"",'[2]BASE'!FU69)</f>
      </c>
      <c r="N69" s="830">
        <f>IF('[2]BASE'!FV69=0,"",'[2]BASE'!FV69)</f>
      </c>
      <c r="O69" s="830">
        <f>IF('[2]BASE'!FW69=0,"",'[2]BASE'!FW69)</f>
      </c>
      <c r="P69" s="830">
        <f>IF('[2]BASE'!FX69=0,"",'[2]BASE'!FX69)</f>
      </c>
      <c r="Q69" s="830">
        <f>IF('[2]BASE'!FY69=0,"",'[2]BASE'!FY69)</f>
      </c>
      <c r="R69" s="830">
        <f>IF('[2]BASE'!FZ69=0,"",'[2]BASE'!FZ69)</f>
      </c>
      <c r="S69" s="830">
        <f>IF('[2]BASE'!GA69=0,"",'[2]BASE'!GA69)</f>
        <v>1</v>
      </c>
      <c r="T69" s="831"/>
      <c r="U69" s="827"/>
    </row>
    <row r="70" spans="2:21" s="800" customFormat="1" ht="19.5" customHeight="1">
      <c r="B70" s="801"/>
      <c r="C70" s="832">
        <f>IF('[2]BASE'!C70=0,"",'[2]BASE'!C70)</f>
        <v>53</v>
      </c>
      <c r="D70" s="832" t="str">
        <f>IF('[2]BASE'!D70=0,"",'[2]BASE'!D70)</f>
        <v>RAMALLO - VILLA LIA  2</v>
      </c>
      <c r="E70" s="832">
        <f>IF('[2]BASE'!E70=0,"",'[2]BASE'!E70)</f>
        <v>220</v>
      </c>
      <c r="F70" s="833">
        <f>IF('[2]BASE'!F70=0,"",'[2]BASE'!F70)</f>
        <v>114</v>
      </c>
      <c r="G70" s="833" t="str">
        <f>IF('[2]BASE'!G70=0,"",'[2]BASE'!G70)</f>
        <v>C</v>
      </c>
      <c r="H70" s="830">
        <f>IF('[2]BASE'!FP70=0,"",'[2]BASE'!FP70)</f>
      </c>
      <c r="I70" s="830">
        <f>IF('[2]BASE'!FQ70=0,"",'[2]BASE'!FQ70)</f>
      </c>
      <c r="J70" s="830">
        <f>IF('[2]BASE'!FR70=0,"",'[2]BASE'!FR70)</f>
      </c>
      <c r="K70" s="830">
        <f>IF('[2]BASE'!FS70=0,"",'[2]BASE'!FS70)</f>
      </c>
      <c r="L70" s="830">
        <f>IF('[2]BASE'!FT70=0,"",'[2]BASE'!FT70)</f>
      </c>
      <c r="M70" s="830">
        <f>IF('[2]BASE'!FU70=0,"",'[2]BASE'!FU70)</f>
      </c>
      <c r="N70" s="830">
        <f>IF('[2]BASE'!FV70=0,"",'[2]BASE'!FV70)</f>
      </c>
      <c r="O70" s="830">
        <f>IF('[2]BASE'!FW70=0,"",'[2]BASE'!FW70)</f>
      </c>
      <c r="P70" s="830">
        <f>IF('[2]BASE'!FX70=0,"",'[2]BASE'!FX70)</f>
        <v>1</v>
      </c>
      <c r="Q70" s="830">
        <f>IF('[2]BASE'!FY70=0,"",'[2]BASE'!FY70)</f>
      </c>
      <c r="R70" s="830">
        <f>IF('[2]BASE'!FZ70=0,"",'[2]BASE'!FZ70)</f>
      </c>
      <c r="S70" s="830">
        <f>IF('[2]BASE'!GA70=0,"",'[2]BASE'!GA70)</f>
      </c>
      <c r="T70" s="831"/>
      <c r="U70" s="827"/>
    </row>
    <row r="71" spans="2:21" s="800" customFormat="1" ht="19.5" customHeight="1">
      <c r="B71" s="801"/>
      <c r="C71" s="834">
        <f>IF('[2]BASE'!C71=0,"",'[2]BASE'!C71)</f>
        <v>54</v>
      </c>
      <c r="D71" s="834" t="str">
        <f>IF('[2]BASE'!D71=0,"",'[2]BASE'!D71)</f>
        <v>ROSARIO OESTE - RAMALLO  1</v>
      </c>
      <c r="E71" s="834">
        <f>IF('[2]BASE'!E71=0,"",'[2]BASE'!E71)</f>
        <v>220</v>
      </c>
      <c r="F71" s="835">
        <f>IF('[2]BASE'!F71=0,"",'[2]BASE'!F71)</f>
        <v>77</v>
      </c>
      <c r="G71" s="835" t="str">
        <f>IF('[2]BASE'!G71=0,"",'[2]BASE'!G71)</f>
        <v>C</v>
      </c>
      <c r="H71" s="830">
        <f>IF('[2]BASE'!FP71=0,"",'[2]BASE'!FP71)</f>
      </c>
      <c r="I71" s="830">
        <f>IF('[2]BASE'!FQ71=0,"",'[2]BASE'!FQ71)</f>
      </c>
      <c r="J71" s="830">
        <f>IF('[2]BASE'!FR71=0,"",'[2]BASE'!FR71)</f>
        <v>1</v>
      </c>
      <c r="K71" s="830">
        <f>IF('[2]BASE'!FS71=0,"",'[2]BASE'!FS71)</f>
      </c>
      <c r="L71" s="830">
        <f>IF('[2]BASE'!FT71=0,"",'[2]BASE'!FT71)</f>
      </c>
      <c r="M71" s="830">
        <f>IF('[2]BASE'!FU71=0,"",'[2]BASE'!FU71)</f>
      </c>
      <c r="N71" s="830">
        <f>IF('[2]BASE'!FV71=0,"",'[2]BASE'!FV71)</f>
      </c>
      <c r="O71" s="830">
        <f>IF('[2]BASE'!FW71=0,"",'[2]BASE'!FW71)</f>
      </c>
      <c r="P71" s="830">
        <f>IF('[2]BASE'!FX71=0,"",'[2]BASE'!FX71)</f>
      </c>
      <c r="Q71" s="830">
        <f>IF('[2]BASE'!FY71=0,"",'[2]BASE'!FY71)</f>
      </c>
      <c r="R71" s="830">
        <f>IF('[2]BASE'!FZ71=0,"",'[2]BASE'!FZ71)</f>
      </c>
      <c r="S71" s="830">
        <f>IF('[2]BASE'!GA71=0,"",'[2]BASE'!GA71)</f>
      </c>
      <c r="T71" s="831"/>
      <c r="U71" s="827"/>
    </row>
    <row r="72" spans="2:21" s="800" customFormat="1" ht="19.5" customHeight="1">
      <c r="B72" s="801"/>
      <c r="C72" s="832">
        <f>IF('[2]BASE'!C72=0,"",'[2]BASE'!C72)</f>
        <v>55</v>
      </c>
      <c r="D72" s="832" t="str">
        <f>IF('[2]BASE'!D72=0,"",'[2]BASE'!D72)</f>
        <v>ROSARIO OESTE - RAMALLO  2</v>
      </c>
      <c r="E72" s="832">
        <f>IF('[2]BASE'!E72=0,"",'[2]BASE'!E72)</f>
        <v>220</v>
      </c>
      <c r="F72" s="833">
        <f>IF('[2]BASE'!F72=0,"",'[2]BASE'!F72)</f>
        <v>77</v>
      </c>
      <c r="G72" s="833" t="str">
        <f>IF('[2]BASE'!G72=0,"",'[2]BASE'!G72)</f>
        <v>C</v>
      </c>
      <c r="H72" s="830">
        <f>IF('[2]BASE'!FP72=0,"",'[2]BASE'!FP72)</f>
      </c>
      <c r="I72" s="830">
        <f>IF('[2]BASE'!FQ72=0,"",'[2]BASE'!FQ72)</f>
      </c>
      <c r="J72" s="830">
        <f>IF('[2]BASE'!FR72=0,"",'[2]BASE'!FR72)</f>
      </c>
      <c r="K72" s="830">
        <f>IF('[2]BASE'!FS72=0,"",'[2]BASE'!FS72)</f>
      </c>
      <c r="L72" s="830">
        <f>IF('[2]BASE'!FT72=0,"",'[2]BASE'!FT72)</f>
      </c>
      <c r="M72" s="830">
        <f>IF('[2]BASE'!FU72=0,"",'[2]BASE'!FU72)</f>
      </c>
      <c r="N72" s="830">
        <f>IF('[2]BASE'!FV72=0,"",'[2]BASE'!FV72)</f>
      </c>
      <c r="O72" s="830">
        <f>IF('[2]BASE'!FW72=0,"",'[2]BASE'!FW72)</f>
      </c>
      <c r="P72" s="830">
        <f>IF('[2]BASE'!FX72=0,"",'[2]BASE'!FX72)</f>
      </c>
      <c r="Q72" s="830">
        <f>IF('[2]BASE'!FY72=0,"",'[2]BASE'!FY72)</f>
      </c>
      <c r="R72" s="830">
        <f>IF('[2]BASE'!FZ72=0,"",'[2]BASE'!FZ72)</f>
      </c>
      <c r="S72" s="830">
        <f>IF('[2]BASE'!GA72=0,"",'[2]BASE'!GA72)</f>
      </c>
      <c r="T72" s="831"/>
      <c r="U72" s="827"/>
    </row>
    <row r="73" spans="2:21" s="800" customFormat="1" ht="19.5" customHeight="1">
      <c r="B73" s="801"/>
      <c r="C73" s="834">
        <f>IF('[2]BASE'!C73=0,"",'[2]BASE'!C73)</f>
        <v>56</v>
      </c>
      <c r="D73" s="834" t="str">
        <f>IF('[2]BASE'!D73=0,"",'[2]BASE'!D73)</f>
        <v>VILLA LIA - ATUCHA 1</v>
      </c>
      <c r="E73" s="834">
        <f>IF('[2]BASE'!E73=0,"",'[2]BASE'!E73)</f>
        <v>220</v>
      </c>
      <c r="F73" s="834">
        <f>IF('[2]BASE'!F73=0,"",'[2]BASE'!F73)</f>
        <v>26</v>
      </c>
      <c r="G73" s="835" t="str">
        <f>IF('[2]BASE'!G73=0,"",'[2]BASE'!G73)</f>
        <v>C</v>
      </c>
      <c r="H73" s="830">
        <f>IF('[2]BASE'!FP73=0,"",'[2]BASE'!FP73)</f>
      </c>
      <c r="I73" s="830">
        <f>IF('[2]BASE'!FQ73=0,"",'[2]BASE'!FQ73)</f>
      </c>
      <c r="J73" s="830">
        <f>IF('[2]BASE'!FR73=0,"",'[2]BASE'!FR73)</f>
      </c>
      <c r="K73" s="830">
        <f>IF('[2]BASE'!FS73=0,"",'[2]BASE'!FS73)</f>
      </c>
      <c r="L73" s="830">
        <f>IF('[2]BASE'!FT73=0,"",'[2]BASE'!FT73)</f>
      </c>
      <c r="M73" s="830">
        <f>IF('[2]BASE'!FU73=0,"",'[2]BASE'!FU73)</f>
      </c>
      <c r="N73" s="830">
        <f>IF('[2]BASE'!FV73=0,"",'[2]BASE'!FV73)</f>
      </c>
      <c r="O73" s="830">
        <f>IF('[2]BASE'!FW73=0,"",'[2]BASE'!FW73)</f>
      </c>
      <c r="P73" s="830">
        <f>IF('[2]BASE'!FX73=0,"",'[2]BASE'!FX73)</f>
        <v>2</v>
      </c>
      <c r="Q73" s="830">
        <f>IF('[2]BASE'!FY73=0,"",'[2]BASE'!FY73)</f>
      </c>
      <c r="R73" s="830">
        <f>IF('[2]BASE'!FZ73=0,"",'[2]BASE'!FZ73)</f>
      </c>
      <c r="S73" s="830">
        <f>IF('[2]BASE'!GA73=0,"",'[2]BASE'!GA73)</f>
      </c>
      <c r="T73" s="831"/>
      <c r="U73" s="827"/>
    </row>
    <row r="74" spans="2:21" s="800" customFormat="1" ht="19.5" customHeight="1">
      <c r="B74" s="801"/>
      <c r="C74" s="832">
        <f>IF('[2]BASE'!C74=0,"",'[2]BASE'!C74)</f>
        <v>57</v>
      </c>
      <c r="D74" s="832" t="str">
        <f>IF('[2]BASE'!D74=0,"",'[2]BASE'!D74)</f>
        <v>VILLA LIA - ATUCHA 2</v>
      </c>
      <c r="E74" s="832">
        <f>IF('[2]BASE'!E74=0,"",'[2]BASE'!E74)</f>
        <v>220</v>
      </c>
      <c r="F74" s="832">
        <f>IF('[2]BASE'!F74=0,"",'[2]BASE'!F74)</f>
        <v>26</v>
      </c>
      <c r="G74" s="833" t="str">
        <f>IF('[2]BASE'!G74=0,"",'[2]BASE'!G74)</f>
        <v>C</v>
      </c>
      <c r="H74" s="830">
        <f>IF('[2]BASE'!FP74=0,"",'[2]BASE'!FP74)</f>
      </c>
      <c r="I74" s="830">
        <f>IF('[2]BASE'!FQ74=0,"",'[2]BASE'!FQ74)</f>
      </c>
      <c r="J74" s="830">
        <f>IF('[2]BASE'!FR74=0,"",'[2]BASE'!FR74)</f>
      </c>
      <c r="K74" s="830">
        <f>IF('[2]BASE'!FS74=0,"",'[2]BASE'!FS74)</f>
      </c>
      <c r="L74" s="830">
        <f>IF('[2]BASE'!FT74=0,"",'[2]BASE'!FT74)</f>
      </c>
      <c r="M74" s="830">
        <f>IF('[2]BASE'!FU74=0,"",'[2]BASE'!FU74)</f>
      </c>
      <c r="N74" s="830">
        <f>IF('[2]BASE'!FV74=0,"",'[2]BASE'!FV74)</f>
      </c>
      <c r="O74" s="830">
        <f>IF('[2]BASE'!FW74=0,"",'[2]BASE'!FW74)</f>
      </c>
      <c r="P74" s="830">
        <f>IF('[2]BASE'!FX74=0,"",'[2]BASE'!FX74)</f>
        <v>1</v>
      </c>
      <c r="Q74" s="830">
        <f>IF('[2]BASE'!FY74=0,"",'[2]BASE'!FY74)</f>
      </c>
      <c r="R74" s="830">
        <f>IF('[2]BASE'!FZ74=0,"",'[2]BASE'!FZ74)</f>
      </c>
      <c r="S74" s="830">
        <f>IF('[2]BASE'!GA74=0,"",'[2]BASE'!GA74)</f>
      </c>
      <c r="T74" s="831"/>
      <c r="U74" s="827"/>
    </row>
    <row r="75" spans="2:21" s="800" customFormat="1" ht="9.75" customHeight="1">
      <c r="B75" s="801"/>
      <c r="C75" s="834">
        <f>IF('[2]BASE'!C75=0,"",'[2]BASE'!C75)</f>
      </c>
      <c r="D75" s="834">
        <f>IF('[2]BASE'!D75=0,"",'[2]BASE'!D75)</f>
      </c>
      <c r="E75" s="834">
        <f>IF('[2]BASE'!E75=0,"",'[2]BASE'!E75)</f>
      </c>
      <c r="F75" s="834">
        <f>IF('[2]BASE'!F75=0,"",'[2]BASE'!F75)</f>
      </c>
      <c r="G75" s="835">
        <f>IF('[2]BASE'!G75=0,"",'[2]BASE'!G75)</f>
      </c>
      <c r="H75" s="830">
        <f>IF('[2]BASE'!FP75=0,"",'[2]BASE'!FP75)</f>
      </c>
      <c r="I75" s="830">
        <f>IF('[2]BASE'!FQ75=0,"",'[2]BASE'!FQ75)</f>
      </c>
      <c r="J75" s="830">
        <f>IF('[2]BASE'!FR75=0,"",'[2]BASE'!FR75)</f>
      </c>
      <c r="K75" s="830">
        <f>IF('[2]BASE'!FS75=0,"",'[2]BASE'!FS75)</f>
      </c>
      <c r="L75" s="830">
        <f>IF('[2]BASE'!FT75=0,"",'[2]BASE'!FT75)</f>
      </c>
      <c r="M75" s="830">
        <f>IF('[2]BASE'!FU75=0,"",'[2]BASE'!FU75)</f>
      </c>
      <c r="N75" s="830">
        <f>IF('[2]BASE'!FV75=0,"",'[2]BASE'!FV75)</f>
      </c>
      <c r="O75" s="830">
        <f>IF('[2]BASE'!FW75=0,"",'[2]BASE'!FW75)</f>
      </c>
      <c r="P75" s="830">
        <f>IF('[2]BASE'!FX75=0,"",'[2]BASE'!FX75)</f>
      </c>
      <c r="Q75" s="830">
        <f>IF('[2]BASE'!FY75=0,"",'[2]BASE'!FY75)</f>
      </c>
      <c r="R75" s="830">
        <f>IF('[2]BASE'!FZ75=0,"",'[2]BASE'!FZ75)</f>
      </c>
      <c r="S75" s="830">
        <f>IF('[2]BASE'!GA75=0,"",'[2]BASE'!GA75)</f>
      </c>
      <c r="T75" s="831"/>
      <c r="U75" s="827"/>
    </row>
    <row r="76" spans="2:21" s="800" customFormat="1" ht="19.5" customHeight="1">
      <c r="B76" s="801"/>
      <c r="C76" s="832">
        <f>IF('[2]BASE'!C76=0,"",'[2]BASE'!C76)</f>
        <v>58</v>
      </c>
      <c r="D76" s="832" t="str">
        <f>IF('[2]BASE'!D76=0,"",'[2]BASE'!D76)</f>
        <v>GRAL RODRIGUEZ - RAMALLO</v>
      </c>
      <c r="E76" s="832">
        <f>IF('[2]BASE'!E76=0,"",'[2]BASE'!E76)</f>
        <v>500</v>
      </c>
      <c r="F76" s="833">
        <f>IF('[2]BASE'!F76=0,"",'[2]BASE'!F76)</f>
        <v>183.9</v>
      </c>
      <c r="G76" s="833" t="str">
        <f>IF('[2]BASE'!G76=0,"",'[2]BASE'!G76)</f>
        <v>C</v>
      </c>
      <c r="H76" s="830">
        <f>IF('[2]BASE'!FP76=0,"",'[2]BASE'!FP76)</f>
      </c>
      <c r="I76" s="830">
        <f>IF('[2]BASE'!FQ76=0,"",'[2]BASE'!FQ76)</f>
      </c>
      <c r="J76" s="830">
        <f>IF('[2]BASE'!FR76=0,"",'[2]BASE'!FR76)</f>
      </c>
      <c r="K76" s="830">
        <f>IF('[2]BASE'!FS76=0,"",'[2]BASE'!FS76)</f>
      </c>
      <c r="L76" s="830">
        <f>IF('[2]BASE'!FT76=0,"",'[2]BASE'!FT76)</f>
      </c>
      <c r="M76" s="830">
        <f>IF('[2]BASE'!FU76=0,"",'[2]BASE'!FU76)</f>
      </c>
      <c r="N76" s="830">
        <f>IF('[2]BASE'!FV76=0,"",'[2]BASE'!FV76)</f>
      </c>
      <c r="O76" s="830">
        <f>IF('[2]BASE'!FW76=0,"",'[2]BASE'!FW76)</f>
      </c>
      <c r="P76" s="830">
        <f>IF('[2]BASE'!FX76=0,"",'[2]BASE'!FX76)</f>
      </c>
      <c r="Q76" s="830">
        <f>IF('[2]BASE'!FY76=0,"",'[2]BASE'!FY76)</f>
      </c>
      <c r="R76" s="830">
        <f>IF('[2]BASE'!FZ76=0,"",'[2]BASE'!FZ76)</f>
      </c>
      <c r="S76" s="830">
        <f>IF('[2]BASE'!GA76=0,"",'[2]BASE'!GA76)</f>
      </c>
      <c r="T76" s="831"/>
      <c r="U76" s="827"/>
    </row>
    <row r="77" spans="2:21" s="800" customFormat="1" ht="19.5" customHeight="1">
      <c r="B77" s="801"/>
      <c r="C77" s="834">
        <f>IF('[2]BASE'!C77=0,"",'[2]BASE'!C77)</f>
        <v>59</v>
      </c>
      <c r="D77" s="834" t="str">
        <f>IF('[2]BASE'!D77=0,"",'[2]BASE'!D77)</f>
        <v>RAMALLO - ROSARIO OESTE</v>
      </c>
      <c r="E77" s="834">
        <f>IF('[2]BASE'!E77=0,"",'[2]BASE'!E77)</f>
        <v>500</v>
      </c>
      <c r="F77" s="835">
        <f>IF('[2]BASE'!F77=0,"",'[2]BASE'!F77)</f>
        <v>77</v>
      </c>
      <c r="G77" s="835" t="str">
        <f>IF('[2]BASE'!G77=0,"",'[2]BASE'!G77)</f>
        <v>C</v>
      </c>
      <c r="H77" s="830">
        <f>IF('[2]BASE'!FP77=0,"",'[2]BASE'!FP77)</f>
      </c>
      <c r="I77" s="830">
        <f>IF('[2]BASE'!FQ77=0,"",'[2]BASE'!FQ77)</f>
      </c>
      <c r="J77" s="830">
        <f>IF('[2]BASE'!FR77=0,"",'[2]BASE'!FR77)</f>
      </c>
      <c r="K77" s="830">
        <f>IF('[2]BASE'!FS77=0,"",'[2]BASE'!FS77)</f>
      </c>
      <c r="L77" s="830">
        <f>IF('[2]BASE'!FT77=0,"",'[2]BASE'!FT77)</f>
      </c>
      <c r="M77" s="830">
        <f>IF('[2]BASE'!FU77=0,"",'[2]BASE'!FU77)</f>
      </c>
      <c r="N77" s="830">
        <f>IF('[2]BASE'!FV77=0,"",'[2]BASE'!FV77)</f>
      </c>
      <c r="O77" s="830">
        <f>IF('[2]BASE'!FW77=0,"",'[2]BASE'!FW77)</f>
      </c>
      <c r="P77" s="830">
        <f>IF('[2]BASE'!FX77=0,"",'[2]BASE'!FX77)</f>
      </c>
      <c r="Q77" s="830">
        <f>IF('[2]BASE'!FY77=0,"",'[2]BASE'!FY77)</f>
      </c>
      <c r="R77" s="830">
        <f>IF('[2]BASE'!FZ77=0,"",'[2]BASE'!FZ77)</f>
      </c>
      <c r="S77" s="830">
        <f>IF('[2]BASE'!GA77=0,"",'[2]BASE'!GA77)</f>
      </c>
      <c r="T77" s="831"/>
      <c r="U77" s="827"/>
    </row>
    <row r="78" spans="2:21" s="800" customFormat="1" ht="19.5" customHeight="1">
      <c r="B78" s="801"/>
      <c r="C78" s="832">
        <f>IF('[2]BASE'!C78=0,"",'[2]BASE'!C78)</f>
        <v>60</v>
      </c>
      <c r="D78" s="832" t="str">
        <f>IF('[2]BASE'!D78=0,"",'[2]BASE'!D78)</f>
        <v>MACACHIN - HENDERSON</v>
      </c>
      <c r="E78" s="832">
        <f>IF('[2]BASE'!E78=0,"",'[2]BASE'!E78)</f>
        <v>500</v>
      </c>
      <c r="F78" s="833">
        <f>IF('[2]BASE'!F78=0,"",'[2]BASE'!F78)</f>
        <v>194</v>
      </c>
      <c r="G78" s="833" t="str">
        <f>IF('[2]BASE'!G78=0,"",'[2]BASE'!G78)</f>
        <v>A</v>
      </c>
      <c r="H78" s="830">
        <f>IF('[2]BASE'!FP78=0,"",'[2]BASE'!FP78)</f>
      </c>
      <c r="I78" s="830">
        <f>IF('[2]BASE'!FQ78=0,"",'[2]BASE'!FQ78)</f>
      </c>
      <c r="J78" s="830">
        <f>IF('[2]BASE'!FR78=0,"",'[2]BASE'!FR78)</f>
      </c>
      <c r="K78" s="830">
        <f>IF('[2]BASE'!FS78=0,"",'[2]BASE'!FS78)</f>
      </c>
      <c r="L78" s="830">
        <f>IF('[2]BASE'!FT78=0,"",'[2]BASE'!FT78)</f>
      </c>
      <c r="M78" s="830">
        <f>IF('[2]BASE'!FU78=0,"",'[2]BASE'!FU78)</f>
      </c>
      <c r="N78" s="830">
        <f>IF('[2]BASE'!FV78=0,"",'[2]BASE'!FV78)</f>
      </c>
      <c r="O78" s="830">
        <f>IF('[2]BASE'!FW78=0,"",'[2]BASE'!FW78)</f>
      </c>
      <c r="P78" s="830">
        <f>IF('[2]BASE'!FX78=0,"",'[2]BASE'!FX78)</f>
      </c>
      <c r="Q78" s="830">
        <f>IF('[2]BASE'!FY78=0,"",'[2]BASE'!FY78)</f>
      </c>
      <c r="R78" s="830">
        <f>IF('[2]BASE'!FZ78=0,"",'[2]BASE'!FZ78)</f>
      </c>
      <c r="S78" s="830">
        <f>IF('[2]BASE'!GA78=0,"",'[2]BASE'!GA78)</f>
      </c>
      <c r="T78" s="831"/>
      <c r="U78" s="827"/>
    </row>
    <row r="79" spans="2:21" s="800" customFormat="1" ht="19.5" customHeight="1">
      <c r="B79" s="801"/>
      <c r="C79" s="834">
        <f>IF('[2]BASE'!C79=0,"",'[2]BASE'!C79)</f>
        <v>61</v>
      </c>
      <c r="D79" s="834" t="str">
        <f>IF('[2]BASE'!D79=0,"",'[2]BASE'!D79)</f>
        <v>PUELCHES - MACACHIN</v>
      </c>
      <c r="E79" s="834">
        <f>IF('[2]BASE'!E79=0,"",'[2]BASE'!E79)</f>
        <v>500</v>
      </c>
      <c r="F79" s="834">
        <f>IF('[2]BASE'!F79=0,"",'[2]BASE'!F79)</f>
        <v>227</v>
      </c>
      <c r="G79" s="835" t="str">
        <f>IF('[2]BASE'!G79=0,"",'[2]BASE'!G79)</f>
        <v>A</v>
      </c>
      <c r="H79" s="830">
        <f>IF('[2]BASE'!FP79=0,"",'[2]BASE'!FP79)</f>
      </c>
      <c r="I79" s="830">
        <f>IF('[2]BASE'!FQ79=0,"",'[2]BASE'!FQ79)</f>
      </c>
      <c r="J79" s="830">
        <f>IF('[2]BASE'!FR79=0,"",'[2]BASE'!FR79)</f>
      </c>
      <c r="K79" s="830">
        <f>IF('[2]BASE'!FS79=0,"",'[2]BASE'!FS79)</f>
      </c>
      <c r="L79" s="830">
        <f>IF('[2]BASE'!FT79=0,"",'[2]BASE'!FT79)</f>
      </c>
      <c r="M79" s="830">
        <f>IF('[2]BASE'!FU79=0,"",'[2]BASE'!FU79)</f>
      </c>
      <c r="N79" s="830">
        <f>IF('[2]BASE'!FV79=0,"",'[2]BASE'!FV79)</f>
      </c>
      <c r="O79" s="830">
        <f>IF('[2]BASE'!FW79=0,"",'[2]BASE'!FW79)</f>
      </c>
      <c r="P79" s="830">
        <f>IF('[2]BASE'!FX79=0,"",'[2]BASE'!FX79)</f>
      </c>
      <c r="Q79" s="830">
        <f>IF('[2]BASE'!FY79=0,"",'[2]BASE'!FY79)</f>
      </c>
      <c r="R79" s="830">
        <f>IF('[2]BASE'!FZ79=0,"",'[2]BASE'!FZ79)</f>
      </c>
      <c r="S79" s="830">
        <f>IF('[2]BASE'!GA79=0,"",'[2]BASE'!GA79)</f>
      </c>
      <c r="T79" s="831"/>
      <c r="U79" s="827"/>
    </row>
    <row r="80" spans="2:21" s="800" customFormat="1" ht="9.75" customHeight="1">
      <c r="B80" s="801"/>
      <c r="C80" s="832">
        <f>IF('[2]BASE'!C80=0,"",'[2]BASE'!C80)</f>
      </c>
      <c r="D80" s="832">
        <f>IF('[2]BASE'!D80=0,"",'[2]BASE'!D80)</f>
      </c>
      <c r="E80" s="832">
        <f>IF('[2]BASE'!E80=0,"",'[2]BASE'!E80)</f>
      </c>
      <c r="F80" s="833">
        <f>IF('[2]BASE'!F80=0,"",'[2]BASE'!F80)</f>
      </c>
      <c r="G80" s="833">
        <f>IF('[2]BASE'!G80=0,"",'[2]BASE'!G80)</f>
      </c>
      <c r="H80" s="830">
        <f>IF('[2]BASE'!FP80=0,"",'[2]BASE'!FP80)</f>
      </c>
      <c r="I80" s="830">
        <f>IF('[2]BASE'!FQ80=0,"",'[2]BASE'!FQ80)</f>
      </c>
      <c r="J80" s="830">
        <f>IF('[2]BASE'!FR80=0,"",'[2]BASE'!FR80)</f>
      </c>
      <c r="K80" s="830">
        <f>IF('[2]BASE'!FS80=0,"",'[2]BASE'!FS80)</f>
      </c>
      <c r="L80" s="830">
        <f>IF('[2]BASE'!FT80=0,"",'[2]BASE'!FT80)</f>
      </c>
      <c r="M80" s="830">
        <f>IF('[2]BASE'!FU80=0,"",'[2]BASE'!FU80)</f>
      </c>
      <c r="N80" s="830">
        <f>IF('[2]BASE'!FV80=0,"",'[2]BASE'!FV80)</f>
      </c>
      <c r="O80" s="830">
        <f>IF('[2]BASE'!FW80=0,"",'[2]BASE'!FW80)</f>
      </c>
      <c r="P80" s="830">
        <f>IF('[2]BASE'!FX80=0,"",'[2]BASE'!FX80)</f>
      </c>
      <c r="Q80" s="830">
        <f>IF('[2]BASE'!FY80=0,"",'[2]BASE'!FY80)</f>
      </c>
      <c r="R80" s="830">
        <f>IF('[2]BASE'!FZ80=0,"",'[2]BASE'!FZ80)</f>
      </c>
      <c r="S80" s="830">
        <f>IF('[2]BASE'!GA80=0,"",'[2]BASE'!GA80)</f>
      </c>
      <c r="T80" s="831"/>
      <c r="U80" s="827"/>
    </row>
    <row r="81" spans="2:21" s="800" customFormat="1" ht="9.75" customHeight="1">
      <c r="B81" s="801"/>
      <c r="C81" s="834">
        <f>IF('[2]BASE'!C81=0,"",'[2]BASE'!C81)</f>
      </c>
      <c r="D81" s="834">
        <f>IF('[2]BASE'!D81=0,"",'[2]BASE'!D81)</f>
      </c>
      <c r="E81" s="834">
        <f>IF('[2]BASE'!E81=0,"",'[2]BASE'!E81)</f>
      </c>
      <c r="F81" s="835">
        <f>IF('[2]BASE'!F81=0,"",'[2]BASE'!F81)</f>
      </c>
      <c r="G81" s="835">
        <f>IF('[2]BASE'!G81=0,"",'[2]BASE'!G81)</f>
      </c>
      <c r="H81" s="830">
        <f>IF('[2]BASE'!FP81=0,"",'[2]BASE'!FP81)</f>
      </c>
      <c r="I81" s="830">
        <f>IF('[2]BASE'!FQ81=0,"",'[2]BASE'!FQ81)</f>
      </c>
      <c r="J81" s="830">
        <f>IF('[2]BASE'!FR81=0,"",'[2]BASE'!FR81)</f>
      </c>
      <c r="K81" s="830">
        <f>IF('[2]BASE'!FS81=0,"",'[2]BASE'!FS81)</f>
      </c>
      <c r="L81" s="830">
        <f>IF('[2]BASE'!FT81=0,"",'[2]BASE'!FT81)</f>
      </c>
      <c r="M81" s="830">
        <f>IF('[2]BASE'!FU81=0,"",'[2]BASE'!FU81)</f>
      </c>
      <c r="N81" s="830">
        <f>IF('[2]BASE'!FV81=0,"",'[2]BASE'!FV81)</f>
      </c>
      <c r="O81" s="830">
        <f>IF('[2]BASE'!FW81=0,"",'[2]BASE'!FW81)</f>
      </c>
      <c r="P81" s="830">
        <f>IF('[2]BASE'!FX81=0,"",'[2]BASE'!FX81)</f>
      </c>
      <c r="Q81" s="830">
        <f>IF('[2]BASE'!FY81=0,"",'[2]BASE'!FY81)</f>
      </c>
      <c r="R81" s="830">
        <f>IF('[2]BASE'!FZ81=0,"",'[2]BASE'!FZ81)</f>
      </c>
      <c r="S81" s="830">
        <f>IF('[2]BASE'!GA81=0,"",'[2]BASE'!GA81)</f>
      </c>
      <c r="T81" s="831"/>
      <c r="U81" s="827"/>
    </row>
    <row r="82" spans="2:21" s="800" customFormat="1" ht="19.5" customHeight="1">
      <c r="B82" s="801"/>
      <c r="C82" s="832">
        <f>IF('[2]BASE'!C82=0,"",'[2]BASE'!C82)</f>
        <v>62</v>
      </c>
      <c r="D82" s="832" t="str">
        <f>IF('[2]BASE'!D82=0,"",'[2]BASE'!D82)</f>
        <v>YACYRETÁ - RINCON I</v>
      </c>
      <c r="E82" s="832">
        <f>IF('[2]BASE'!E82=0,"",'[2]BASE'!E82)</f>
        <v>500</v>
      </c>
      <c r="F82" s="833">
        <f>IF('[2]BASE'!F82=0,"",'[2]BASE'!F82)</f>
        <v>3.6</v>
      </c>
      <c r="G82" s="833" t="str">
        <f>IF('[2]BASE'!G82=0,"",'[2]BASE'!G82)</f>
        <v>B</v>
      </c>
      <c r="H82" s="830">
        <f>IF('[2]BASE'!FP82=0,"",'[2]BASE'!FP82)</f>
      </c>
      <c r="I82" s="830">
        <f>IF('[2]BASE'!FQ82=0,"",'[2]BASE'!FQ82)</f>
      </c>
      <c r="J82" s="830">
        <f>IF('[2]BASE'!FR82=0,"",'[2]BASE'!FR82)</f>
      </c>
      <c r="K82" s="830">
        <f>IF('[2]BASE'!FS82=0,"",'[2]BASE'!FS82)</f>
      </c>
      <c r="L82" s="830">
        <f>IF('[2]BASE'!FT82=0,"",'[2]BASE'!FT82)</f>
      </c>
      <c r="M82" s="830">
        <f>IF('[2]BASE'!FU82=0,"",'[2]BASE'!FU82)</f>
      </c>
      <c r="N82" s="830">
        <f>IF('[2]BASE'!FV82=0,"",'[2]BASE'!FV82)</f>
      </c>
      <c r="O82" s="830">
        <f>IF('[2]BASE'!FW82=0,"",'[2]BASE'!FW82)</f>
      </c>
      <c r="P82" s="830">
        <f>IF('[2]BASE'!FX82=0,"",'[2]BASE'!FX82)</f>
      </c>
      <c r="Q82" s="830">
        <f>IF('[2]BASE'!FY82=0,"",'[2]BASE'!FY82)</f>
      </c>
      <c r="R82" s="830">
        <f>IF('[2]BASE'!FZ82=0,"",'[2]BASE'!FZ82)</f>
      </c>
      <c r="S82" s="830">
        <f>IF('[2]BASE'!GA82=0,"",'[2]BASE'!GA82)</f>
      </c>
      <c r="T82" s="831"/>
      <c r="U82" s="827"/>
    </row>
    <row r="83" spans="2:21" s="800" customFormat="1" ht="19.5" customHeight="1">
      <c r="B83" s="801"/>
      <c r="C83" s="834">
        <f>IF('[2]BASE'!C83=0,"",'[2]BASE'!C83)</f>
        <v>63</v>
      </c>
      <c r="D83" s="834" t="str">
        <f>IF('[2]BASE'!D83=0,"",'[2]BASE'!D83)</f>
        <v>YACYRETÁ - RINCON II</v>
      </c>
      <c r="E83" s="834">
        <f>IF('[2]BASE'!E83=0,"",'[2]BASE'!E83)</f>
        <v>500</v>
      </c>
      <c r="F83" s="834">
        <f>IF('[2]BASE'!F83=0,"",'[2]BASE'!F83)</f>
        <v>3.6</v>
      </c>
      <c r="G83" s="835" t="str">
        <f>IF('[2]BASE'!G83=0,"",'[2]BASE'!G83)</f>
        <v>B</v>
      </c>
      <c r="H83" s="830">
        <f>IF('[2]BASE'!FP83=0,"",'[2]BASE'!FP83)</f>
      </c>
      <c r="I83" s="830">
        <f>IF('[2]BASE'!FQ83=0,"",'[2]BASE'!FQ83)</f>
      </c>
      <c r="J83" s="830">
        <f>IF('[2]BASE'!FR83=0,"",'[2]BASE'!FR83)</f>
      </c>
      <c r="K83" s="830">
        <f>IF('[2]BASE'!FS83=0,"",'[2]BASE'!FS83)</f>
      </c>
      <c r="L83" s="830">
        <f>IF('[2]BASE'!FT83=0,"",'[2]BASE'!FT83)</f>
      </c>
      <c r="M83" s="830">
        <f>IF('[2]BASE'!FU83=0,"",'[2]BASE'!FU83)</f>
      </c>
      <c r="N83" s="830">
        <f>IF('[2]BASE'!FV83=0,"",'[2]BASE'!FV83)</f>
      </c>
      <c r="O83" s="830">
        <f>IF('[2]BASE'!FW83=0,"",'[2]BASE'!FW83)</f>
      </c>
      <c r="P83" s="830">
        <f>IF('[2]BASE'!FX83=0,"",'[2]BASE'!FX83)</f>
      </c>
      <c r="Q83" s="830">
        <f>IF('[2]BASE'!FY83=0,"",'[2]BASE'!FY83)</f>
      </c>
      <c r="R83" s="830">
        <f>IF('[2]BASE'!FZ83=0,"",'[2]BASE'!FZ83)</f>
      </c>
      <c r="S83" s="830">
        <f>IF('[2]BASE'!GA83=0,"",'[2]BASE'!GA83)</f>
      </c>
      <c r="T83" s="831"/>
      <c r="U83" s="827"/>
    </row>
    <row r="84" spans="2:21" s="800" customFormat="1" ht="19.5" customHeight="1">
      <c r="B84" s="801"/>
      <c r="C84" s="832">
        <f>IF('[2]BASE'!C84=0,"",'[2]BASE'!C84)</f>
        <v>64</v>
      </c>
      <c r="D84" s="832" t="str">
        <f>IF('[2]BASE'!D84=0,"",'[2]BASE'!D84)</f>
        <v>YACYRETÁ - RINCON III</v>
      </c>
      <c r="E84" s="832">
        <f>IF('[2]BASE'!E84=0,"",'[2]BASE'!E84)</f>
        <v>500</v>
      </c>
      <c r="F84" s="833">
        <f>IF('[2]BASE'!F84=0,"",'[2]BASE'!F84)</f>
        <v>3.6</v>
      </c>
      <c r="G84" s="833" t="str">
        <f>IF('[2]BASE'!G84=0,"",'[2]BASE'!G84)</f>
        <v>B</v>
      </c>
      <c r="H84" s="830">
        <f>IF('[2]BASE'!FP84=0,"",'[2]BASE'!FP84)</f>
      </c>
      <c r="I84" s="830">
        <f>IF('[2]BASE'!FQ84=0,"",'[2]BASE'!FQ84)</f>
      </c>
      <c r="J84" s="830">
        <f>IF('[2]BASE'!FR84=0,"",'[2]BASE'!FR84)</f>
      </c>
      <c r="K84" s="830">
        <f>IF('[2]BASE'!FS84=0,"",'[2]BASE'!FS84)</f>
      </c>
      <c r="L84" s="830">
        <f>IF('[2]BASE'!FT84=0,"",'[2]BASE'!FT84)</f>
      </c>
      <c r="M84" s="830">
        <f>IF('[2]BASE'!FU84=0,"",'[2]BASE'!FU84)</f>
      </c>
      <c r="N84" s="830">
        <f>IF('[2]BASE'!FV84=0,"",'[2]BASE'!FV84)</f>
      </c>
      <c r="O84" s="830">
        <f>IF('[2]BASE'!FW84=0,"",'[2]BASE'!FW84)</f>
      </c>
      <c r="P84" s="830">
        <f>IF('[2]BASE'!FX84=0,"",'[2]BASE'!FX84)</f>
      </c>
      <c r="Q84" s="830">
        <f>IF('[2]BASE'!FY84=0,"",'[2]BASE'!FY84)</f>
      </c>
      <c r="R84" s="830">
        <f>IF('[2]BASE'!FZ84=0,"",'[2]BASE'!FZ84)</f>
      </c>
      <c r="S84" s="830">
        <f>IF('[2]BASE'!GA84=0,"",'[2]BASE'!GA84)</f>
      </c>
      <c r="T84" s="831"/>
      <c r="U84" s="827"/>
    </row>
    <row r="85" spans="2:21" s="800" customFormat="1" ht="19.5" customHeight="1">
      <c r="B85" s="801"/>
      <c r="C85" s="834">
        <f>IF('[2]BASE'!C85=0,"",'[2]BASE'!C85)</f>
        <v>65</v>
      </c>
      <c r="D85" s="834" t="str">
        <f>IF('[2]BASE'!D85=0,"",'[2]BASE'!D85)</f>
        <v>RINCON - PASO DE LA PATRIA</v>
      </c>
      <c r="E85" s="834">
        <f>IF('[2]BASE'!E85=0,"",'[2]BASE'!E85)</f>
        <v>500</v>
      </c>
      <c r="F85" s="835">
        <f>IF('[2]BASE'!F85=0,"",'[2]BASE'!F85)</f>
        <v>227</v>
      </c>
      <c r="G85" s="835" t="str">
        <f>IF('[2]BASE'!G85=0,"",'[2]BASE'!G85)</f>
        <v>A</v>
      </c>
      <c r="H85" s="830">
        <f>IF('[2]BASE'!FP85=0,"",'[2]BASE'!FP85)</f>
      </c>
      <c r="I85" s="830">
        <f>IF('[2]BASE'!FQ85=0,"",'[2]BASE'!FQ85)</f>
      </c>
      <c r="J85" s="830">
        <f>IF('[2]BASE'!FR85=0,"",'[2]BASE'!FR85)</f>
      </c>
      <c r="K85" s="830">
        <f>IF('[2]BASE'!FS85=0,"",'[2]BASE'!FS85)</f>
      </c>
      <c r="L85" s="830">
        <f>IF('[2]BASE'!FT85=0,"",'[2]BASE'!FT85)</f>
      </c>
      <c r="M85" s="830">
        <f>IF('[2]BASE'!FU85=0,"",'[2]BASE'!FU85)</f>
      </c>
      <c r="N85" s="830">
        <f>IF('[2]BASE'!FV85=0,"",'[2]BASE'!FV85)</f>
      </c>
      <c r="O85" s="830">
        <f>IF('[2]BASE'!FW85=0,"",'[2]BASE'!FW85)</f>
      </c>
      <c r="P85" s="830">
        <f>IF('[2]BASE'!FX85=0,"",'[2]BASE'!FX85)</f>
      </c>
      <c r="Q85" s="830">
        <f>IF('[2]BASE'!FY85=0,"",'[2]BASE'!FY85)</f>
      </c>
      <c r="R85" s="830">
        <f>IF('[2]BASE'!FZ85=0,"",'[2]BASE'!FZ85)</f>
      </c>
      <c r="S85" s="830">
        <f>IF('[2]BASE'!GA85=0,"",'[2]BASE'!GA85)</f>
      </c>
      <c r="T85" s="831"/>
      <c r="U85" s="827"/>
    </row>
    <row r="86" spans="2:21" s="800" customFormat="1" ht="19.5" customHeight="1">
      <c r="B86" s="801"/>
      <c r="C86" s="832">
        <f>IF('[2]BASE'!C86=0,"",'[2]BASE'!C86)</f>
        <v>66</v>
      </c>
      <c r="D86" s="832" t="str">
        <f>IF('[2]BASE'!D86=0,"",'[2]BASE'!D86)</f>
        <v>PASO DE LA PATRIA - RESISTENCIA</v>
      </c>
      <c r="E86" s="832">
        <f>IF('[2]BASE'!E86=0,"",'[2]BASE'!E86)</f>
        <v>500</v>
      </c>
      <c r="F86" s="833">
        <f>IF('[2]BASE'!F86=0,"",'[2]BASE'!F86)</f>
        <v>40</v>
      </c>
      <c r="G86" s="833" t="str">
        <f>IF('[2]BASE'!G86=0,"",'[2]BASE'!G86)</f>
        <v>C</v>
      </c>
      <c r="H86" s="830">
        <f>IF('[2]BASE'!FP86=0,"",'[2]BASE'!FP86)</f>
      </c>
      <c r="I86" s="830">
        <f>IF('[2]BASE'!FQ86=0,"",'[2]BASE'!FQ86)</f>
      </c>
      <c r="J86" s="830">
        <f>IF('[2]BASE'!FR86=0,"",'[2]BASE'!FR86)</f>
      </c>
      <c r="K86" s="830">
        <f>IF('[2]BASE'!FS86=0,"",'[2]BASE'!FS86)</f>
      </c>
      <c r="L86" s="830">
        <f>IF('[2]BASE'!FT86=0,"",'[2]BASE'!FT86)</f>
      </c>
      <c r="M86" s="830">
        <f>IF('[2]BASE'!FU86=0,"",'[2]BASE'!FU86)</f>
      </c>
      <c r="N86" s="830">
        <f>IF('[2]BASE'!FV86=0,"",'[2]BASE'!FV86)</f>
      </c>
      <c r="O86" s="830">
        <f>IF('[2]BASE'!FW86=0,"",'[2]BASE'!FW86)</f>
      </c>
      <c r="P86" s="830">
        <f>IF('[2]BASE'!FX86=0,"",'[2]BASE'!FX86)</f>
      </c>
      <c r="Q86" s="830">
        <f>IF('[2]BASE'!FY86=0,"",'[2]BASE'!FY86)</f>
      </c>
      <c r="R86" s="830">
        <f>IF('[2]BASE'!FZ86=0,"",'[2]BASE'!FZ86)</f>
      </c>
      <c r="S86" s="830">
        <f>IF('[2]BASE'!GA86=0,"",'[2]BASE'!GA86)</f>
      </c>
      <c r="T86" s="831"/>
      <c r="U86" s="827"/>
    </row>
    <row r="87" spans="2:21" s="800" customFormat="1" ht="19.5" customHeight="1">
      <c r="B87" s="801"/>
      <c r="C87" s="834">
        <f>IF('[2]BASE'!C87=0,"",'[2]BASE'!C87)</f>
        <v>67</v>
      </c>
      <c r="D87" s="834" t="str">
        <f>IF('[2]BASE'!D87=0,"",'[2]BASE'!D87)</f>
        <v>RINCON - RESISTENCIA</v>
      </c>
      <c r="E87" s="834">
        <f>IF('[2]BASE'!E87=0,"",'[2]BASE'!E87)</f>
        <v>500</v>
      </c>
      <c r="F87" s="834">
        <f>IF('[2]BASE'!F87=0,"",'[2]BASE'!F87)</f>
        <v>267</v>
      </c>
      <c r="G87" s="835" t="str">
        <f>IF('[2]BASE'!G87=0,"",'[2]BASE'!G87)</f>
        <v>B</v>
      </c>
      <c r="H87" s="830" t="str">
        <f>IF('[2]BASE'!FP87=0,"",'[2]BASE'!FP87)</f>
        <v>XXXX</v>
      </c>
      <c r="I87" s="830" t="str">
        <f>IF('[2]BASE'!FQ87=0,"",'[2]BASE'!FQ87)</f>
        <v>XXXX</v>
      </c>
      <c r="J87" s="830" t="str">
        <f>IF('[2]BASE'!FR87=0,"",'[2]BASE'!FR87)</f>
        <v>XXXX</v>
      </c>
      <c r="K87" s="830" t="str">
        <f>IF('[2]BASE'!FS87=0,"",'[2]BASE'!FS87)</f>
        <v>XXXX</v>
      </c>
      <c r="L87" s="830" t="str">
        <f>IF('[2]BASE'!FT87=0,"",'[2]BASE'!FT87)</f>
        <v>XXXX</v>
      </c>
      <c r="M87" s="830" t="str">
        <f>IF('[2]BASE'!FU87=0,"",'[2]BASE'!FU87)</f>
        <v>XXXX</v>
      </c>
      <c r="N87" s="830" t="str">
        <f>IF('[2]BASE'!FV87=0,"",'[2]BASE'!FV87)</f>
        <v>XXXX</v>
      </c>
      <c r="O87" s="830" t="str">
        <f>IF('[2]BASE'!FW87=0,"",'[2]BASE'!FW87)</f>
        <v>XXXX</v>
      </c>
      <c r="P87" s="830" t="str">
        <f>IF('[2]BASE'!FX87=0,"",'[2]BASE'!FX87)</f>
        <v>XXXX</v>
      </c>
      <c r="Q87" s="830" t="str">
        <f>IF('[2]BASE'!FY87=0,"",'[2]BASE'!FY87)</f>
        <v>XXXX</v>
      </c>
      <c r="R87" s="830" t="str">
        <f>IF('[2]BASE'!FZ87=0,"",'[2]BASE'!FZ87)</f>
        <v>XXXX</v>
      </c>
      <c r="S87" s="830" t="str">
        <f>IF('[2]BASE'!GA87=0,"",'[2]BASE'!GA87)</f>
        <v>XXXX</v>
      </c>
      <c r="T87" s="831"/>
      <c r="U87" s="827"/>
    </row>
    <row r="88" spans="2:21" s="800" customFormat="1" ht="9.75" customHeight="1">
      <c r="B88" s="801"/>
      <c r="C88" s="832">
        <f>IF('[2]BASE'!C88=0,"",'[2]BASE'!C88)</f>
      </c>
      <c r="D88" s="832">
        <f>IF('[2]BASE'!D88=0,"",'[2]BASE'!D88)</f>
      </c>
      <c r="E88" s="832">
        <f>IF('[2]BASE'!E88=0,"",'[2]BASE'!E88)</f>
      </c>
      <c r="F88" s="833">
        <f>IF('[2]BASE'!F88=0,"",'[2]BASE'!F88)</f>
      </c>
      <c r="G88" s="833">
        <f>IF('[2]BASE'!G88=0,"",'[2]BASE'!G88)</f>
      </c>
      <c r="H88" s="830">
        <f>IF('[2]BASE'!FP88=0,"",'[2]BASE'!FP88)</f>
      </c>
      <c r="I88" s="830">
        <f>IF('[2]BASE'!FQ88=0,"",'[2]BASE'!FQ88)</f>
      </c>
      <c r="J88" s="830">
        <f>IF('[2]BASE'!FR88=0,"",'[2]BASE'!FR88)</f>
      </c>
      <c r="K88" s="830">
        <f>IF('[2]BASE'!FS88=0,"",'[2]BASE'!FS88)</f>
      </c>
      <c r="L88" s="830">
        <f>IF('[2]BASE'!FT88=0,"",'[2]BASE'!FT88)</f>
      </c>
      <c r="M88" s="830">
        <f>IF('[2]BASE'!FU88=0,"",'[2]BASE'!FU88)</f>
      </c>
      <c r="N88" s="830">
        <f>IF('[2]BASE'!FV88=0,"",'[2]BASE'!FV88)</f>
      </c>
      <c r="O88" s="830">
        <f>IF('[2]BASE'!FW88=0,"",'[2]BASE'!FW88)</f>
      </c>
      <c r="P88" s="830">
        <f>IF('[2]BASE'!FX88=0,"",'[2]BASE'!FX88)</f>
      </c>
      <c r="Q88" s="830">
        <f>IF('[2]BASE'!FY88=0,"",'[2]BASE'!FY88)</f>
      </c>
      <c r="R88" s="830">
        <f>IF('[2]BASE'!FZ88=0,"",'[2]BASE'!FZ88)</f>
      </c>
      <c r="S88" s="830">
        <f>IF('[2]BASE'!GA88=0,"",'[2]BASE'!GA88)</f>
      </c>
      <c r="T88" s="831"/>
      <c r="U88" s="827"/>
    </row>
    <row r="89" spans="2:21" s="800" customFormat="1" ht="19.5" customHeight="1">
      <c r="B89" s="801"/>
      <c r="C89" s="834">
        <f>IF('[2]BASE'!C89=0,"",'[2]BASE'!C89)</f>
        <v>68</v>
      </c>
      <c r="D89" s="834" t="str">
        <f>IF('[2]BASE'!D89=0,"",'[2]BASE'!D89)</f>
        <v>RINCON - SALTO GRANDE</v>
      </c>
      <c r="E89" s="834">
        <f>IF('[2]BASE'!E89=0,"",'[2]BASE'!E89)</f>
        <v>500</v>
      </c>
      <c r="F89" s="835">
        <f>IF('[2]BASE'!F89=0,"",'[2]BASE'!F89)</f>
        <v>506</v>
      </c>
      <c r="G89" s="835" t="str">
        <f>IF('[2]BASE'!G89=0,"",'[2]BASE'!G89)</f>
        <v>A</v>
      </c>
      <c r="H89" s="830">
        <f>IF('[2]BASE'!FP89=0,"",'[2]BASE'!FP89)</f>
      </c>
      <c r="I89" s="830">
        <f>IF('[2]BASE'!FQ89=0,"",'[2]BASE'!FQ89)</f>
      </c>
      <c r="J89" s="830">
        <f>IF('[2]BASE'!FR89=0,"",'[2]BASE'!FR89)</f>
      </c>
      <c r="K89" s="830">
        <f>IF('[2]BASE'!FS89=0,"",'[2]BASE'!FS89)</f>
      </c>
      <c r="L89" s="830">
        <f>IF('[2]BASE'!FT89=0,"",'[2]BASE'!FT89)</f>
      </c>
      <c r="M89" s="830">
        <f>IF('[2]BASE'!FU89=0,"",'[2]BASE'!FU89)</f>
      </c>
      <c r="N89" s="830">
        <f>IF('[2]BASE'!FV89=0,"",'[2]BASE'!FV89)</f>
      </c>
      <c r="O89" s="830">
        <f>IF('[2]BASE'!FW89=0,"",'[2]BASE'!FW89)</f>
      </c>
      <c r="P89" s="830">
        <f>IF('[2]BASE'!FX89=0,"",'[2]BASE'!FX89)</f>
      </c>
      <c r="Q89" s="830">
        <f>IF('[2]BASE'!FY89=0,"",'[2]BASE'!FY89)</f>
      </c>
      <c r="R89" s="830">
        <f>IF('[2]BASE'!FZ89=0,"",'[2]BASE'!FZ89)</f>
      </c>
      <c r="S89" s="830">
        <f>IF('[2]BASE'!GA89=0,"",'[2]BASE'!GA89)</f>
      </c>
      <c r="T89" s="831"/>
      <c r="U89" s="827"/>
    </row>
    <row r="90" spans="2:21" s="800" customFormat="1" ht="19.5" customHeight="1">
      <c r="B90" s="801"/>
      <c r="C90" s="832">
        <f>IF('[2]BASE'!C90=0,"",'[2]BASE'!C90)</f>
        <v>69</v>
      </c>
      <c r="D90" s="832" t="str">
        <f>IF('[2]BASE'!D90=0,"",'[2]BASE'!D90)</f>
        <v>RINCON - SAN ISIDRO</v>
      </c>
      <c r="E90" s="832">
        <f>IF('[2]BASE'!E90=0,"",'[2]BASE'!E90)</f>
        <v>500</v>
      </c>
      <c r="F90" s="833">
        <f>IF('[2]BASE'!F90=0,"",'[2]BASE'!F90)</f>
        <v>85</v>
      </c>
      <c r="G90" s="833" t="str">
        <f>IF('[2]BASE'!G90=0,"",'[2]BASE'!G90)</f>
        <v>C</v>
      </c>
      <c r="H90" s="830">
        <f>IF('[2]BASE'!FP90=0,"",'[2]BASE'!FP90)</f>
      </c>
      <c r="I90" s="830">
        <f>IF('[2]BASE'!FQ90=0,"",'[2]BASE'!FQ90)</f>
      </c>
      <c r="J90" s="830">
        <f>IF('[2]BASE'!FR90=0,"",'[2]BASE'!FR90)</f>
      </c>
      <c r="K90" s="830">
        <f>IF('[2]BASE'!FS90=0,"",'[2]BASE'!FS90)</f>
      </c>
      <c r="L90" s="830">
        <f>IF('[2]BASE'!FT90=0,"",'[2]BASE'!FT90)</f>
      </c>
      <c r="M90" s="830">
        <f>IF('[2]BASE'!FU90=0,"",'[2]BASE'!FU90)</f>
      </c>
      <c r="N90" s="830">
        <f>IF('[2]BASE'!FV90=0,"",'[2]BASE'!FV90)</f>
      </c>
      <c r="O90" s="830">
        <f>IF('[2]BASE'!FW90=0,"",'[2]BASE'!FW90)</f>
      </c>
      <c r="P90" s="830">
        <f>IF('[2]BASE'!FX90=0,"",'[2]BASE'!FX90)</f>
      </c>
      <c r="Q90" s="830">
        <f>IF('[2]BASE'!FY90=0,"",'[2]BASE'!FY90)</f>
      </c>
      <c r="R90" s="830">
        <f>IF('[2]BASE'!FZ90=0,"",'[2]BASE'!FZ90)</f>
      </c>
      <c r="S90" s="830">
        <f>IF('[2]BASE'!GA90=0,"",'[2]BASE'!GA90)</f>
      </c>
      <c r="T90" s="831"/>
      <c r="U90" s="827"/>
    </row>
    <row r="91" spans="2:21" s="800" customFormat="1" ht="9.75" customHeight="1">
      <c r="B91" s="801"/>
      <c r="C91" s="834">
        <f>IF('[2]BASE'!C91=0,"",'[2]BASE'!C91)</f>
      </c>
      <c r="D91" s="834">
        <f>IF('[2]BASE'!D91=0,"",'[2]BASE'!D91)</f>
      </c>
      <c r="E91" s="834">
        <f>IF('[2]BASE'!E91=0,"",'[2]BASE'!E91)</f>
      </c>
      <c r="F91" s="834">
        <f>IF('[2]BASE'!F91=0,"",'[2]BASE'!F91)</f>
      </c>
      <c r="G91" s="835">
        <f>IF('[2]BASE'!G91=0,"",'[2]BASE'!G91)</f>
      </c>
      <c r="H91" s="830">
        <f>IF('[2]BASE'!FP91=0,"",'[2]BASE'!FP91)</f>
      </c>
      <c r="I91" s="830">
        <f>IF('[2]BASE'!FQ91=0,"",'[2]BASE'!FQ91)</f>
      </c>
      <c r="J91" s="830">
        <f>IF('[2]BASE'!FR91=0,"",'[2]BASE'!FR91)</f>
      </c>
      <c r="K91" s="830">
        <f>IF('[2]BASE'!FS91=0,"",'[2]BASE'!FS91)</f>
      </c>
      <c r="L91" s="830">
        <f>IF('[2]BASE'!FT91=0,"",'[2]BASE'!FT91)</f>
      </c>
      <c r="M91" s="830">
        <f>IF('[2]BASE'!FU91=0,"",'[2]BASE'!FU91)</f>
      </c>
      <c r="N91" s="830">
        <f>IF('[2]BASE'!FV91=0,"",'[2]BASE'!FV91)</f>
      </c>
      <c r="O91" s="830">
        <f>IF('[2]BASE'!FW91=0,"",'[2]BASE'!FW91)</f>
      </c>
      <c r="P91" s="830">
        <f>IF('[2]BASE'!FX91=0,"",'[2]BASE'!FX91)</f>
      </c>
      <c r="Q91" s="830">
        <f>IF('[2]BASE'!FY91=0,"",'[2]BASE'!FY91)</f>
      </c>
      <c r="R91" s="830">
        <f>IF('[2]BASE'!FZ91=0,"",'[2]BASE'!FZ91)</f>
      </c>
      <c r="S91" s="830">
        <f>IF('[2]BASE'!GA91=0,"",'[2]BASE'!GA91)</f>
      </c>
      <c r="T91" s="831"/>
      <c r="U91" s="827"/>
    </row>
    <row r="92" spans="2:21" s="800" customFormat="1" ht="9.75" customHeight="1" thickBot="1">
      <c r="B92" s="801"/>
      <c r="C92" s="836"/>
      <c r="D92" s="836"/>
      <c r="E92" s="836"/>
      <c r="F92" s="836"/>
      <c r="G92" s="837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1"/>
      <c r="U92" s="827"/>
    </row>
    <row r="93" spans="2:21" s="800" customFormat="1" ht="19.5" customHeight="1" thickBot="1" thickTop="1">
      <c r="B93" s="801"/>
      <c r="C93" s="839"/>
      <c r="D93" s="840"/>
      <c r="E93" s="841" t="s">
        <v>308</v>
      </c>
      <c r="F93" s="842">
        <f>SUM(F16:F92)-F46-F57-F78-F79-F87</f>
        <v>9666.7</v>
      </c>
      <c r="G93" s="843"/>
      <c r="H93" s="844"/>
      <c r="I93" s="844"/>
      <c r="J93" s="844"/>
      <c r="K93" s="844"/>
      <c r="L93" s="844"/>
      <c r="M93" s="844"/>
      <c r="N93" s="844"/>
      <c r="O93" s="844"/>
      <c r="P93" s="844"/>
      <c r="Q93" s="844"/>
      <c r="R93" s="844"/>
      <c r="S93" s="844"/>
      <c r="T93" s="831"/>
      <c r="U93" s="827"/>
    </row>
    <row r="94" spans="2:21" s="800" customFormat="1" ht="19.5" customHeight="1" thickBot="1" thickTop="1">
      <c r="B94" s="801"/>
      <c r="C94" s="845"/>
      <c r="D94" s="846"/>
      <c r="E94" s="847"/>
      <c r="F94" s="848" t="s">
        <v>309</v>
      </c>
      <c r="H94" s="849">
        <f aca="true" t="shared" si="0" ref="H94:S94">SUM(H17:H92)</f>
        <v>4</v>
      </c>
      <c r="I94" s="849">
        <f t="shared" si="0"/>
        <v>0</v>
      </c>
      <c r="J94" s="849">
        <f t="shared" si="0"/>
        <v>4</v>
      </c>
      <c r="K94" s="849">
        <f t="shared" si="0"/>
        <v>4</v>
      </c>
      <c r="L94" s="849">
        <f t="shared" si="0"/>
        <v>3</v>
      </c>
      <c r="M94" s="849">
        <f t="shared" si="0"/>
        <v>1</v>
      </c>
      <c r="N94" s="849">
        <f t="shared" si="0"/>
        <v>2</v>
      </c>
      <c r="O94" s="849">
        <f t="shared" si="0"/>
        <v>1</v>
      </c>
      <c r="P94" s="849">
        <f t="shared" si="0"/>
        <v>8</v>
      </c>
      <c r="Q94" s="849">
        <f t="shared" si="0"/>
        <v>2</v>
      </c>
      <c r="R94" s="849">
        <f t="shared" si="0"/>
        <v>0</v>
      </c>
      <c r="S94" s="849">
        <f t="shared" si="0"/>
        <v>5</v>
      </c>
      <c r="T94" s="831"/>
      <c r="U94" s="827"/>
    </row>
    <row r="95" spans="2:21" s="800" customFormat="1" ht="19.5" customHeight="1" thickBot="1" thickTop="1">
      <c r="B95" s="801"/>
      <c r="E95" s="847"/>
      <c r="F95" s="848" t="s">
        <v>310</v>
      </c>
      <c r="H95" s="850">
        <f>'[2]BASE'!FP100</f>
        <v>0.37</v>
      </c>
      <c r="I95" s="850">
        <f>'[2]BASE'!FQ100</f>
        <v>0.38</v>
      </c>
      <c r="J95" s="850">
        <f>'[2]BASE'!FR100</f>
        <v>0.35</v>
      </c>
      <c r="K95" s="850">
        <f>'[2]BASE'!FS100</f>
        <v>0.38</v>
      </c>
      <c r="L95" s="850">
        <f>'[2]BASE'!FT100</f>
        <v>0.37</v>
      </c>
      <c r="M95" s="850">
        <f>'[2]BASE'!FU100</f>
        <v>0.35</v>
      </c>
      <c r="N95" s="850">
        <f>'[2]BASE'!FV100</f>
        <v>0.34</v>
      </c>
      <c r="O95" s="850">
        <f>'[2]BASE'!FW100</f>
        <v>0.36</v>
      </c>
      <c r="P95" s="850">
        <f>'[2]BASE'!FX100</f>
        <v>0.33</v>
      </c>
      <c r="Q95" s="850">
        <f>'[2]BASE'!FY100</f>
        <v>0.38</v>
      </c>
      <c r="R95" s="850">
        <f>'[2]BASE'!FZ100</f>
        <v>0.36</v>
      </c>
      <c r="S95" s="850">
        <f>'[2]BASE'!GA100</f>
        <v>0.35</v>
      </c>
      <c r="T95" s="850">
        <f>'[2]BASE'!GB100</f>
        <v>0.35</v>
      </c>
      <c r="U95" s="827"/>
    </row>
    <row r="96" spans="2:21" s="776" customFormat="1" ht="9.75" customHeight="1" thickBot="1" thickTop="1">
      <c r="B96" s="851"/>
      <c r="C96"/>
      <c r="D96" s="852"/>
      <c r="E96" s="853"/>
      <c r="F96" s="854"/>
      <c r="G96"/>
      <c r="H96" s="855"/>
      <c r="I96" s="855"/>
      <c r="J96" s="855"/>
      <c r="K96" s="855"/>
      <c r="L96" s="855"/>
      <c r="M96" s="855"/>
      <c r="N96" s="855"/>
      <c r="O96" s="855"/>
      <c r="P96" s="855"/>
      <c r="Q96" s="855"/>
      <c r="R96" s="855"/>
      <c r="S96" s="855"/>
      <c r="T96" s="855"/>
      <c r="U96" s="856"/>
    </row>
    <row r="97" spans="2:21" ht="15.75" customHeight="1" thickBot="1">
      <c r="B97" s="50"/>
      <c r="C97" s="857"/>
      <c r="D97" s="15" t="s">
        <v>311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858" t="s">
        <v>312</v>
      </c>
      <c r="I98" s="859"/>
      <c r="J98" s="860">
        <f>T95</f>
        <v>0.35</v>
      </c>
      <c r="K98" s="861" t="s">
        <v>313</v>
      </c>
      <c r="L98" s="862"/>
      <c r="M98" s="863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864"/>
      <c r="D99" s="59"/>
      <c r="E99" s="59"/>
      <c r="F99" s="864"/>
      <c r="G99" s="864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865"/>
      <c r="F100" s="865"/>
      <c r="G100" s="865"/>
    </row>
    <row r="101" spans="3:194" ht="12.75">
      <c r="C101" s="865"/>
      <c r="D101" s="66"/>
      <c r="E101" s="66"/>
      <c r="F101" s="66"/>
      <c r="G101" s="66"/>
      <c r="H101" s="866"/>
      <c r="I101" s="866"/>
      <c r="J101" s="866"/>
      <c r="K101" s="866"/>
      <c r="L101" s="866"/>
      <c r="M101" s="866"/>
      <c r="N101" s="866"/>
      <c r="O101" s="866"/>
      <c r="P101" s="866"/>
      <c r="Q101" s="866"/>
      <c r="R101" s="866"/>
      <c r="S101" s="866"/>
      <c r="T101" s="866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865"/>
      <c r="D102" s="66"/>
      <c r="E102" s="66"/>
      <c r="F102" s="66"/>
      <c r="G102" s="66"/>
      <c r="H102" s="866"/>
      <c r="I102" s="866"/>
      <c r="J102" s="866"/>
      <c r="K102" s="866"/>
      <c r="L102" s="866"/>
      <c r="M102" s="866"/>
      <c r="N102" s="866"/>
      <c r="O102" s="866"/>
      <c r="P102" s="866"/>
      <c r="Q102" s="866"/>
      <c r="R102" s="866"/>
      <c r="S102" s="866"/>
      <c r="T102" s="866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865"/>
      <c r="D103" s="66"/>
      <c r="E103" s="66"/>
      <c r="F103" s="66"/>
      <c r="G103" s="66"/>
      <c r="H103" s="867"/>
      <c r="I103" s="867"/>
      <c r="J103" s="867"/>
      <c r="K103" s="867"/>
      <c r="L103" s="867"/>
      <c r="M103" s="867"/>
      <c r="N103" s="867"/>
      <c r="O103" s="867"/>
      <c r="P103" s="867"/>
      <c r="Q103" s="867"/>
      <c r="R103" s="867"/>
      <c r="S103" s="867"/>
      <c r="T103" s="867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865"/>
      <c r="D104" s="66"/>
      <c r="E104" s="66"/>
      <c r="F104" s="66"/>
      <c r="G104" s="66"/>
      <c r="H104" s="866"/>
      <c r="I104" s="866"/>
      <c r="J104" s="866"/>
      <c r="K104" s="866"/>
      <c r="L104" s="866"/>
      <c r="M104" s="866"/>
      <c r="N104" s="866"/>
      <c r="O104" s="866"/>
      <c r="P104" s="866"/>
      <c r="Q104" s="866"/>
      <c r="R104" s="866"/>
      <c r="S104" s="866"/>
      <c r="T104" s="866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865"/>
      <c r="D105" s="66"/>
      <c r="E105" s="66"/>
      <c r="F105" s="66"/>
      <c r="G105" s="66"/>
      <c r="H105" s="866"/>
      <c r="I105" s="866"/>
      <c r="J105" s="866"/>
      <c r="K105" s="866"/>
      <c r="L105" s="866"/>
      <c r="M105" s="866"/>
      <c r="N105" s="866"/>
      <c r="O105" s="866"/>
      <c r="P105" s="866"/>
      <c r="Q105" s="866"/>
      <c r="R105" s="866"/>
      <c r="S105" s="866"/>
      <c r="T105" s="866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865"/>
      <c r="D106" s="66"/>
      <c r="E106" s="66"/>
      <c r="F106" s="66"/>
      <c r="G106" s="66"/>
      <c r="H106" s="866"/>
      <c r="I106" s="866"/>
      <c r="J106" s="866"/>
      <c r="K106" s="866"/>
      <c r="L106" s="866"/>
      <c r="M106" s="866"/>
      <c r="N106" s="866"/>
      <c r="O106" s="866"/>
      <c r="P106" s="866"/>
      <c r="Q106" s="866"/>
      <c r="R106" s="866"/>
      <c r="S106" s="866"/>
      <c r="T106" s="866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865"/>
      <c r="D107" s="66"/>
      <c r="E107" s="66"/>
      <c r="F107" s="66"/>
      <c r="G107" s="66"/>
      <c r="H107" s="866"/>
      <c r="I107" s="866"/>
      <c r="J107" s="866"/>
      <c r="K107" s="866"/>
      <c r="L107" s="866"/>
      <c r="M107" s="866"/>
      <c r="N107" s="866"/>
      <c r="O107" s="866"/>
      <c r="P107" s="866"/>
      <c r="Q107" s="866"/>
      <c r="R107" s="866"/>
      <c r="S107" s="866"/>
      <c r="T107" s="866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865"/>
      <c r="D108" s="66"/>
      <c r="E108" s="66"/>
      <c r="F108" s="66"/>
      <c r="G108" s="66"/>
      <c r="H108" s="866"/>
      <c r="I108" s="866"/>
      <c r="J108" s="866"/>
      <c r="K108" s="866"/>
      <c r="L108" s="866"/>
      <c r="M108" s="866"/>
      <c r="N108" s="866"/>
      <c r="O108" s="866"/>
      <c r="P108" s="866"/>
      <c r="Q108" s="866"/>
      <c r="R108" s="866"/>
      <c r="S108" s="866"/>
      <c r="T108" s="866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8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865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865"/>
      <c r="F111" s="865"/>
      <c r="G111" s="865"/>
    </row>
    <row r="112" spans="3:7" ht="12.75">
      <c r="C112" s="865"/>
      <c r="F112" s="865"/>
      <c r="G112" s="865"/>
    </row>
    <row r="113" spans="3:7" ht="12.75">
      <c r="C113" s="865"/>
      <c r="F113" s="865"/>
      <c r="G113" s="865"/>
    </row>
    <row r="114" spans="6:7" ht="12.75">
      <c r="F114" s="865"/>
      <c r="G114" s="865"/>
    </row>
  </sheetData>
  <printOptions horizontalCentered="1"/>
  <pageMargins left="0.3937007874015748" right="0.1968503937007874" top="0.2755905511811024" bottom="0.4330708661417323" header="0.2755905511811024" footer="0.31496062992125984"/>
  <pageSetup fitToHeight="1" fitToWidth="1" horizontalDpi="300" verticalDpi="300" orientation="portrait" paperSize="9" scale="3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39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F6" sqref="F6"/>
    </sheetView>
  </sheetViews>
  <sheetFormatPr defaultColWidth="11.421875" defaultRowHeight="12.75"/>
  <cols>
    <col min="1" max="1" width="23.00390625" style="708" bestFit="1" customWidth="1"/>
    <col min="2" max="2" width="9.28125" style="708" customWidth="1"/>
    <col min="3" max="3" width="11.8515625" style="708" bestFit="1" customWidth="1"/>
    <col min="4" max="4" width="9.57421875" style="708" bestFit="1" customWidth="1"/>
    <col min="5" max="5" width="17.140625" style="708" bestFit="1" customWidth="1"/>
    <col min="6" max="6" width="71.8515625" style="708" bestFit="1" customWidth="1"/>
    <col min="7" max="9" width="5.8515625" style="708" customWidth="1"/>
    <col min="10" max="22" width="5.8515625" style="708" bestFit="1" customWidth="1"/>
    <col min="23" max="24" width="11.00390625" style="708" customWidth="1"/>
    <col min="25" max="16384" width="11.421875" style="708" customWidth="1"/>
  </cols>
  <sheetData>
    <row r="1" spans="1:4" ht="12.75">
      <c r="A1" s="713" t="s">
        <v>132</v>
      </c>
      <c r="B1" s="713" t="s">
        <v>132</v>
      </c>
      <c r="C1" s="713" t="s">
        <v>133</v>
      </c>
      <c r="D1" s="713" t="s">
        <v>134</v>
      </c>
    </row>
    <row r="2" spans="1:4" ht="12.75">
      <c r="A2" s="712" t="s">
        <v>44</v>
      </c>
      <c r="B2" s="728" t="s">
        <v>138</v>
      </c>
      <c r="C2" s="712">
        <v>31</v>
      </c>
      <c r="D2" s="712">
        <v>2006</v>
      </c>
    </row>
    <row r="3" spans="1:4" ht="12.75">
      <c r="A3" s="712" t="s">
        <v>45</v>
      </c>
      <c r="B3" s="728" t="s">
        <v>139</v>
      </c>
      <c r="C3" s="712">
        <f>IF(MOD(E14,4)=0,29,28)</f>
        <v>29</v>
      </c>
      <c r="D3" s="712">
        <f>+D2+1</f>
        <v>2007</v>
      </c>
    </row>
    <row r="4" spans="1:4" ht="12.75">
      <c r="A4" s="712" t="s">
        <v>46</v>
      </c>
      <c r="B4" s="728" t="s">
        <v>140</v>
      </c>
      <c r="C4" s="712">
        <v>31</v>
      </c>
      <c r="D4" s="712">
        <v>2008</v>
      </c>
    </row>
    <row r="5" spans="1:4" ht="12.75">
      <c r="A5" s="712" t="s">
        <v>47</v>
      </c>
      <c r="B5" s="728" t="s">
        <v>141</v>
      </c>
      <c r="C5" s="712">
        <v>30</v>
      </c>
      <c r="D5" s="712"/>
    </row>
    <row r="6" spans="1:4" ht="12.75">
      <c r="A6" s="712" t="s">
        <v>48</v>
      </c>
      <c r="B6" s="728" t="s">
        <v>142</v>
      </c>
      <c r="C6" s="712">
        <v>31</v>
      </c>
      <c r="D6" s="712"/>
    </row>
    <row r="7" spans="1:4" ht="12.75">
      <c r="A7" s="712" t="s">
        <v>49</v>
      </c>
      <c r="B7" s="728" t="s">
        <v>143</v>
      </c>
      <c r="C7" s="712">
        <v>30</v>
      </c>
      <c r="D7" s="712"/>
    </row>
    <row r="8" spans="1:4" ht="12.75">
      <c r="A8" s="712" t="s">
        <v>50</v>
      </c>
      <c r="B8" s="728" t="s">
        <v>144</v>
      </c>
      <c r="C8" s="712">
        <v>31</v>
      </c>
      <c r="D8" s="712"/>
    </row>
    <row r="9" spans="1:4" ht="12.75">
      <c r="A9" s="712" t="s">
        <v>51</v>
      </c>
      <c r="B9" s="728" t="s">
        <v>145</v>
      </c>
      <c r="C9" s="712">
        <v>31</v>
      </c>
      <c r="D9" s="712"/>
    </row>
    <row r="10" spans="1:4" ht="12.75">
      <c r="A10" s="712" t="s">
        <v>52</v>
      </c>
      <c r="B10" s="728" t="s">
        <v>146</v>
      </c>
      <c r="C10" s="712">
        <v>30</v>
      </c>
      <c r="D10" s="712"/>
    </row>
    <row r="11" spans="1:4" ht="12.75">
      <c r="A11" s="712" t="s">
        <v>53</v>
      </c>
      <c r="B11" s="728" t="s">
        <v>147</v>
      </c>
      <c r="C11" s="712">
        <v>31</v>
      </c>
      <c r="D11" s="712"/>
    </row>
    <row r="12" spans="1:4" ht="12.75">
      <c r="A12" s="712" t="s">
        <v>54</v>
      </c>
      <c r="B12" s="728" t="s">
        <v>148</v>
      </c>
      <c r="C12" s="712">
        <v>30</v>
      </c>
      <c r="D12" s="712"/>
    </row>
    <row r="13" spans="1:9" ht="12.75">
      <c r="A13" s="712" t="s">
        <v>55</v>
      </c>
      <c r="B13" s="728" t="s">
        <v>149</v>
      </c>
      <c r="C13" s="712">
        <v>31</v>
      </c>
      <c r="D13" s="712"/>
      <c r="E13" s="798"/>
      <c r="I13" s="743" t="s">
        <v>201</v>
      </c>
    </row>
    <row r="14" spans="1:9" ht="12.75">
      <c r="A14" s="709">
        <v>3</v>
      </c>
      <c r="B14" s="710">
        <v>8</v>
      </c>
      <c r="C14" s="709" t="str">
        <f ca="1">CELL("CONTENIDO",OFFSET(A1,B14,0))</f>
        <v>agosto</v>
      </c>
      <c r="D14" s="709">
        <f ca="1">CELL("CONTENIDO",OFFSET(C1,B14,0))</f>
        <v>31</v>
      </c>
      <c r="E14" s="709">
        <f ca="1">CELL("CONTENIDO",OFFSET(D1,A14,0))</f>
        <v>2008</v>
      </c>
      <c r="F14" s="709" t="str">
        <f>"Desde el 01 al "&amp;D14&amp;" de "&amp;C14&amp;" de "&amp;E14</f>
        <v>Desde el 01 al 31 de agosto de 2008</v>
      </c>
      <c r="G14" s="709" t="str">
        <f ca="1">CELL("CONTENIDO",OFFSET(B1,B14,0))</f>
        <v>08</v>
      </c>
      <c r="H14" s="709" t="str">
        <f>RIGHT(E14,2)</f>
        <v>08</v>
      </c>
      <c r="I14" s="744" t="s">
        <v>196</v>
      </c>
    </row>
    <row r="15" spans="1:8" ht="12.75">
      <c r="A15" s="709"/>
      <c r="B15" s="711" t="str">
        <f>"\\fileserver\files\Transporte\transporte\AA PROCESO AUT\TRANSENER\"&amp;E14</f>
        <v>\\fileserver\files\Transporte\transporte\AA PROCESO AUT\TRANSENER\2008</v>
      </c>
      <c r="C15" s="709"/>
      <c r="D15" s="709"/>
      <c r="E15" s="709"/>
      <c r="F15" s="709"/>
      <c r="G15" s="709" t="str">
        <f>"J"&amp;G14&amp;H14&amp;"NER"</f>
        <v>J0808NER</v>
      </c>
      <c r="H15" s="709"/>
    </row>
    <row r="16" spans="1:8" ht="12.75">
      <c r="A16" s="709"/>
      <c r="B16" s="711" t="str">
        <f>"\\fileserver\files\Transporte\transporte\AA PROCESO AUT\NERNOANEA\"&amp;H14&amp;G14</f>
        <v>\\fileserver\files\Transporte\transporte\AA PROCESO AUT\NERNOANEA\0808</v>
      </c>
      <c r="C16" s="709"/>
      <c r="D16" s="709"/>
      <c r="E16" s="709"/>
      <c r="F16" s="709"/>
      <c r="G16" s="709"/>
      <c r="H16" s="709"/>
    </row>
    <row r="17" spans="1:29" ht="12.75">
      <c r="A17" s="713" t="s">
        <v>120</v>
      </c>
      <c r="B17" s="713" t="s">
        <v>171</v>
      </c>
      <c r="C17" s="713" t="s">
        <v>153</v>
      </c>
      <c r="D17" s="713" t="s">
        <v>152</v>
      </c>
      <c r="E17" s="713" t="s">
        <v>137</v>
      </c>
      <c r="F17" s="713" t="s">
        <v>150</v>
      </c>
      <c r="G17" s="713" t="s">
        <v>168</v>
      </c>
      <c r="H17" s="713" t="s">
        <v>154</v>
      </c>
      <c r="I17" s="713" t="s">
        <v>155</v>
      </c>
      <c r="J17" s="713" t="s">
        <v>156</v>
      </c>
      <c r="K17" s="713" t="s">
        <v>157</v>
      </c>
      <c r="L17" s="713" t="s">
        <v>158</v>
      </c>
      <c r="M17" s="713" t="s">
        <v>159</v>
      </c>
      <c r="N17" s="713" t="s">
        <v>160</v>
      </c>
      <c r="O17" s="713" t="s">
        <v>161</v>
      </c>
      <c r="P17" s="713" t="s">
        <v>218</v>
      </c>
      <c r="Q17" s="713" t="s">
        <v>162</v>
      </c>
      <c r="R17" s="713" t="s">
        <v>163</v>
      </c>
      <c r="S17" s="713" t="s">
        <v>164</v>
      </c>
      <c r="T17" s="713" t="s">
        <v>165</v>
      </c>
      <c r="U17" s="713" t="s">
        <v>166</v>
      </c>
      <c r="V17" s="713" t="s">
        <v>167</v>
      </c>
      <c r="W17" s="713" t="s">
        <v>202</v>
      </c>
      <c r="X17" s="713" t="s">
        <v>203</v>
      </c>
      <c r="Y17" s="713" t="s">
        <v>205</v>
      </c>
      <c r="Z17" s="713" t="s">
        <v>204</v>
      </c>
      <c r="AA17" s="713" t="s">
        <v>207</v>
      </c>
      <c r="AB17" s="713" t="s">
        <v>206</v>
      </c>
      <c r="AC17" s="713" t="s">
        <v>219</v>
      </c>
    </row>
    <row r="18" spans="1:29" ht="12.75">
      <c r="A18" s="750" t="s">
        <v>121</v>
      </c>
      <c r="B18" s="732">
        <v>22</v>
      </c>
      <c r="C18" s="732">
        <v>20</v>
      </c>
      <c r="D18" s="732">
        <v>11</v>
      </c>
      <c r="E18" s="750" t="str">
        <f>"LI-"&amp;$G$14</f>
        <v>LI-08</v>
      </c>
      <c r="F18" s="750" t="s">
        <v>151</v>
      </c>
      <c r="G18" s="732">
        <v>3</v>
      </c>
      <c r="H18" s="733">
        <v>0</v>
      </c>
      <c r="I18" s="733">
        <v>0</v>
      </c>
      <c r="J18" s="732">
        <v>4</v>
      </c>
      <c r="K18" s="732">
        <v>5</v>
      </c>
      <c r="L18" s="732">
        <v>6</v>
      </c>
      <c r="M18" s="732">
        <v>7</v>
      </c>
      <c r="N18" s="732">
        <v>10</v>
      </c>
      <c r="O18" s="732">
        <v>11</v>
      </c>
      <c r="P18" s="732">
        <v>14</v>
      </c>
      <c r="Q18" s="732">
        <v>17</v>
      </c>
      <c r="R18" s="732">
        <v>28</v>
      </c>
      <c r="S18" s="732">
        <v>0</v>
      </c>
      <c r="T18" s="732">
        <v>0</v>
      </c>
      <c r="U18" s="732">
        <v>0</v>
      </c>
      <c r="V18" s="732">
        <v>0</v>
      </c>
      <c r="W18" s="750">
        <v>17</v>
      </c>
      <c r="X18" s="750">
        <v>9</v>
      </c>
      <c r="Y18" s="750">
        <v>43</v>
      </c>
      <c r="Z18" s="754">
        <v>29</v>
      </c>
      <c r="AA18" s="750">
        <v>20</v>
      </c>
      <c r="AB18" s="754">
        <v>29</v>
      </c>
      <c r="AC18" s="750">
        <v>14</v>
      </c>
    </row>
    <row r="19" spans="1:29" ht="12.75">
      <c r="A19" s="750" t="s">
        <v>182</v>
      </c>
      <c r="B19" s="732">
        <v>22</v>
      </c>
      <c r="C19" s="732">
        <v>20</v>
      </c>
      <c r="D19" s="732">
        <v>11</v>
      </c>
      <c r="E19" s="750" t="str">
        <f>"LI-IV-"&amp;$G$14</f>
        <v>LI-IV-08</v>
      </c>
      <c r="F19" s="750" t="s">
        <v>183</v>
      </c>
      <c r="G19" s="732">
        <v>3</v>
      </c>
      <c r="H19" s="733">
        <v>0</v>
      </c>
      <c r="I19" s="733">
        <v>0</v>
      </c>
      <c r="J19" s="732">
        <v>4</v>
      </c>
      <c r="K19" s="732">
        <v>5</v>
      </c>
      <c r="L19" s="732">
        <v>6</v>
      </c>
      <c r="M19" s="732">
        <v>7</v>
      </c>
      <c r="N19" s="732">
        <v>10</v>
      </c>
      <c r="O19" s="732">
        <v>11</v>
      </c>
      <c r="P19" s="732">
        <v>14</v>
      </c>
      <c r="Q19" s="732">
        <v>17</v>
      </c>
      <c r="R19" s="732">
        <v>28</v>
      </c>
      <c r="S19" s="732">
        <v>0</v>
      </c>
      <c r="T19" s="732">
        <v>0</v>
      </c>
      <c r="U19" s="732">
        <v>0</v>
      </c>
      <c r="V19" s="732">
        <v>0</v>
      </c>
      <c r="W19" s="750">
        <v>20</v>
      </c>
      <c r="X19" s="750">
        <v>9</v>
      </c>
      <c r="Y19" s="750">
        <v>43</v>
      </c>
      <c r="Z19" s="754">
        <v>29</v>
      </c>
      <c r="AA19" s="750">
        <v>20</v>
      </c>
      <c r="AB19" s="754">
        <v>29</v>
      </c>
      <c r="AC19" s="750">
        <v>14</v>
      </c>
    </row>
    <row r="20" spans="1:29" ht="12.75">
      <c r="A20" s="751" t="s">
        <v>122</v>
      </c>
      <c r="B20" s="734">
        <v>22</v>
      </c>
      <c r="C20" s="734">
        <v>20</v>
      </c>
      <c r="D20" s="734">
        <v>12</v>
      </c>
      <c r="E20" s="751" t="str">
        <f>"TR-"&amp;$G$14</f>
        <v>TR-08</v>
      </c>
      <c r="F20" s="751" t="s">
        <v>172</v>
      </c>
      <c r="G20" s="732">
        <v>3</v>
      </c>
      <c r="H20" s="733">
        <v>0</v>
      </c>
      <c r="I20" s="733">
        <v>0</v>
      </c>
      <c r="J20" s="734">
        <v>4</v>
      </c>
      <c r="K20" s="734">
        <v>5</v>
      </c>
      <c r="L20" s="734">
        <v>6</v>
      </c>
      <c r="M20" s="734">
        <v>7</v>
      </c>
      <c r="N20" s="734">
        <v>9</v>
      </c>
      <c r="O20" s="734">
        <v>10</v>
      </c>
      <c r="P20" s="734">
        <v>13</v>
      </c>
      <c r="Q20" s="734">
        <v>15</v>
      </c>
      <c r="R20" s="734">
        <v>16</v>
      </c>
      <c r="S20" s="734">
        <v>26</v>
      </c>
      <c r="T20" s="734">
        <v>0</v>
      </c>
      <c r="U20" s="734">
        <v>0</v>
      </c>
      <c r="V20" s="734">
        <v>0</v>
      </c>
      <c r="W20" s="751">
        <v>26</v>
      </c>
      <c r="X20" s="751">
        <v>9</v>
      </c>
      <c r="Y20" s="751">
        <v>43</v>
      </c>
      <c r="Z20" s="751">
        <v>27</v>
      </c>
      <c r="AA20" s="751">
        <v>20</v>
      </c>
      <c r="AB20" s="751">
        <v>27</v>
      </c>
      <c r="AC20" s="751">
        <v>13</v>
      </c>
    </row>
    <row r="21" spans="1:29" ht="12.75">
      <c r="A21" s="750" t="s">
        <v>123</v>
      </c>
      <c r="B21" s="732">
        <v>24</v>
      </c>
      <c r="C21" s="732">
        <v>20</v>
      </c>
      <c r="D21" s="732">
        <v>9</v>
      </c>
      <c r="E21" s="750" t="str">
        <f>"SA-"&amp;$G$14</f>
        <v>SA-08</v>
      </c>
      <c r="F21" s="750" t="s">
        <v>176</v>
      </c>
      <c r="G21" s="732">
        <v>3</v>
      </c>
      <c r="H21" s="733">
        <v>0</v>
      </c>
      <c r="I21" s="733">
        <v>0</v>
      </c>
      <c r="J21" s="732">
        <v>4</v>
      </c>
      <c r="K21" s="732">
        <v>5</v>
      </c>
      <c r="L21" s="732">
        <v>6</v>
      </c>
      <c r="M21" s="732">
        <v>8</v>
      </c>
      <c r="N21" s="732">
        <v>9</v>
      </c>
      <c r="O21" s="732">
        <v>12</v>
      </c>
      <c r="P21" s="732">
        <v>13</v>
      </c>
      <c r="Q21" s="732">
        <v>18</v>
      </c>
      <c r="R21" s="732">
        <v>0</v>
      </c>
      <c r="S21" s="732">
        <v>0</v>
      </c>
      <c r="T21" s="732">
        <v>0</v>
      </c>
      <c r="U21" s="732">
        <v>0</v>
      </c>
      <c r="V21" s="732">
        <v>0</v>
      </c>
      <c r="W21" s="750">
        <v>31</v>
      </c>
      <c r="X21" s="750">
        <v>9</v>
      </c>
      <c r="Y21" s="750">
        <v>45</v>
      </c>
      <c r="Z21" s="750">
        <v>20</v>
      </c>
      <c r="AA21" s="750">
        <v>22</v>
      </c>
      <c r="AB21" s="750">
        <v>20</v>
      </c>
      <c r="AC21" s="750">
        <v>12</v>
      </c>
    </row>
    <row r="22" spans="1:29" ht="12.75">
      <c r="A22" s="750" t="s">
        <v>131</v>
      </c>
      <c r="B22" s="732">
        <v>22</v>
      </c>
      <c r="C22" s="732">
        <v>20</v>
      </c>
      <c r="D22" s="732">
        <v>10</v>
      </c>
      <c r="E22" s="750" t="str">
        <f>"RE-"&amp;$G$14</f>
        <v>RE-08</v>
      </c>
      <c r="F22" s="750" t="s">
        <v>179</v>
      </c>
      <c r="G22" s="732">
        <v>3</v>
      </c>
      <c r="H22" s="733">
        <v>0</v>
      </c>
      <c r="I22" s="733">
        <v>0</v>
      </c>
      <c r="J22" s="732">
        <v>4</v>
      </c>
      <c r="K22" s="732">
        <v>5</v>
      </c>
      <c r="L22" s="732">
        <v>6</v>
      </c>
      <c r="M22" s="732">
        <v>8</v>
      </c>
      <c r="N22" s="732">
        <v>9</v>
      </c>
      <c r="O22" s="732">
        <v>12</v>
      </c>
      <c r="P22" s="732">
        <v>14</v>
      </c>
      <c r="Q22" s="732">
        <v>20</v>
      </c>
      <c r="R22" s="732">
        <v>0</v>
      </c>
      <c r="S22" s="732">
        <v>0</v>
      </c>
      <c r="T22" s="732">
        <v>0</v>
      </c>
      <c r="U22" s="732">
        <v>0</v>
      </c>
      <c r="V22" s="732">
        <v>0</v>
      </c>
      <c r="W22" s="750">
        <v>39</v>
      </c>
      <c r="X22" s="750">
        <v>9</v>
      </c>
      <c r="Y22" s="750">
        <v>43</v>
      </c>
      <c r="Z22" s="750">
        <v>21</v>
      </c>
      <c r="AA22" s="750">
        <v>20</v>
      </c>
      <c r="AB22" s="750">
        <v>21</v>
      </c>
      <c r="AC22" s="750">
        <v>12</v>
      </c>
    </row>
    <row r="23" spans="1:29" ht="12.75">
      <c r="A23" s="750" t="s">
        <v>198</v>
      </c>
      <c r="B23" s="732">
        <v>22</v>
      </c>
      <c r="C23" s="732">
        <v>20</v>
      </c>
      <c r="D23" s="732">
        <v>10</v>
      </c>
      <c r="E23" s="750" t="str">
        <f>"RE-IV-"&amp;$G$14</f>
        <v>RE-IV-08</v>
      </c>
      <c r="F23" s="750" t="s">
        <v>199</v>
      </c>
      <c r="G23" s="732">
        <v>3</v>
      </c>
      <c r="H23" s="733">
        <v>0</v>
      </c>
      <c r="I23" s="733">
        <v>0</v>
      </c>
      <c r="J23" s="732">
        <v>4</v>
      </c>
      <c r="K23" s="732">
        <v>5</v>
      </c>
      <c r="L23" s="732">
        <v>6</v>
      </c>
      <c r="M23" s="732">
        <v>8</v>
      </c>
      <c r="N23" s="732">
        <v>9</v>
      </c>
      <c r="O23" s="732">
        <v>12</v>
      </c>
      <c r="P23" s="732">
        <v>14</v>
      </c>
      <c r="Q23" s="732">
        <v>20</v>
      </c>
      <c r="R23" s="732">
        <v>0</v>
      </c>
      <c r="S23" s="732">
        <v>0</v>
      </c>
      <c r="T23" s="732">
        <v>0</v>
      </c>
      <c r="U23" s="732">
        <v>0</v>
      </c>
      <c r="V23" s="732">
        <v>0</v>
      </c>
      <c r="W23" s="750">
        <v>43</v>
      </c>
      <c r="X23" s="750">
        <v>9</v>
      </c>
      <c r="Y23" s="750">
        <v>43</v>
      </c>
      <c r="Z23" s="750">
        <v>21</v>
      </c>
      <c r="AA23" s="750">
        <v>20</v>
      </c>
      <c r="AB23" s="750">
        <v>21</v>
      </c>
      <c r="AC23" s="750">
        <v>12</v>
      </c>
    </row>
    <row r="24" spans="1:29" ht="12.75">
      <c r="A24" s="750" t="s">
        <v>124</v>
      </c>
      <c r="B24" s="732">
        <v>19</v>
      </c>
      <c r="C24" s="732">
        <v>20</v>
      </c>
      <c r="D24" s="732">
        <v>11</v>
      </c>
      <c r="E24" s="750" t="str">
        <f>"LI-YACY-"&amp;$G$14</f>
        <v>LI-YACY-08</v>
      </c>
      <c r="F24" s="750" t="s">
        <v>169</v>
      </c>
      <c r="G24" s="732">
        <v>3</v>
      </c>
      <c r="H24" s="733">
        <v>0</v>
      </c>
      <c r="I24" s="733">
        <v>0</v>
      </c>
      <c r="J24" s="732">
        <v>4</v>
      </c>
      <c r="K24" s="732">
        <v>5</v>
      </c>
      <c r="L24" s="732">
        <v>6</v>
      </c>
      <c r="M24" s="732">
        <v>0</v>
      </c>
      <c r="N24" s="732">
        <v>7</v>
      </c>
      <c r="O24" s="732">
        <v>8</v>
      </c>
      <c r="P24" s="732">
        <v>11</v>
      </c>
      <c r="Q24" s="732">
        <v>0</v>
      </c>
      <c r="R24" s="732">
        <v>0</v>
      </c>
      <c r="S24" s="732">
        <v>0</v>
      </c>
      <c r="T24" s="732">
        <v>0</v>
      </c>
      <c r="U24" s="732">
        <v>0</v>
      </c>
      <c r="V24" s="732">
        <v>0</v>
      </c>
      <c r="W24" s="750">
        <v>18</v>
      </c>
      <c r="X24" s="750">
        <v>9</v>
      </c>
      <c r="Y24" s="750">
        <v>40</v>
      </c>
      <c r="Z24" s="754">
        <v>22</v>
      </c>
      <c r="AA24" s="750">
        <v>17</v>
      </c>
      <c r="AB24" s="754">
        <v>22</v>
      </c>
      <c r="AC24" s="750">
        <v>11</v>
      </c>
    </row>
    <row r="25" spans="1:29" ht="12.75">
      <c r="A25" s="750" t="s">
        <v>135</v>
      </c>
      <c r="B25" s="732">
        <v>21</v>
      </c>
      <c r="C25" s="732">
        <v>20</v>
      </c>
      <c r="D25" s="732">
        <v>8</v>
      </c>
      <c r="E25" s="750" t="str">
        <f>"RE-YACY-"&amp;$G$14</f>
        <v>RE-YACY-08</v>
      </c>
      <c r="F25" s="750" t="s">
        <v>180</v>
      </c>
      <c r="G25" s="732">
        <v>3</v>
      </c>
      <c r="H25" s="733">
        <v>0</v>
      </c>
      <c r="I25" s="733">
        <v>0</v>
      </c>
      <c r="J25" s="732">
        <v>4</v>
      </c>
      <c r="K25" s="732">
        <v>5</v>
      </c>
      <c r="L25" s="732">
        <v>6</v>
      </c>
      <c r="M25" s="732">
        <v>7</v>
      </c>
      <c r="N25" s="732">
        <v>8</v>
      </c>
      <c r="O25" s="732">
        <v>11</v>
      </c>
      <c r="P25" s="732">
        <v>0</v>
      </c>
      <c r="Q25" s="732">
        <v>0</v>
      </c>
      <c r="R25" s="732">
        <v>0</v>
      </c>
      <c r="S25" s="732">
        <v>0</v>
      </c>
      <c r="T25" s="732">
        <v>0</v>
      </c>
      <c r="U25" s="732">
        <v>0</v>
      </c>
      <c r="V25" s="732">
        <v>0</v>
      </c>
      <c r="W25" s="750">
        <v>41</v>
      </c>
      <c r="X25" s="750">
        <v>9</v>
      </c>
      <c r="Y25" s="750">
        <v>42</v>
      </c>
      <c r="Z25" s="750">
        <v>22</v>
      </c>
      <c r="AA25" s="750">
        <v>19</v>
      </c>
      <c r="AB25" s="750">
        <v>22</v>
      </c>
      <c r="AC25" s="750">
        <v>11</v>
      </c>
    </row>
    <row r="26" spans="1:29" ht="12.75">
      <c r="A26" s="750" t="s">
        <v>125</v>
      </c>
      <c r="B26" s="732">
        <v>22</v>
      </c>
      <c r="C26" s="732">
        <v>20</v>
      </c>
      <c r="D26" s="732">
        <v>11</v>
      </c>
      <c r="E26" s="750" t="str">
        <f>"LI-LITSA-"&amp;$G$14</f>
        <v>LI-LITSA-08</v>
      </c>
      <c r="F26" s="750" t="s">
        <v>170</v>
      </c>
      <c r="G26" s="732">
        <v>3</v>
      </c>
      <c r="H26" s="733">
        <v>0</v>
      </c>
      <c r="I26" s="733">
        <v>0</v>
      </c>
      <c r="J26" s="732">
        <v>4</v>
      </c>
      <c r="K26" s="732">
        <v>5</v>
      </c>
      <c r="L26" s="732">
        <v>6</v>
      </c>
      <c r="M26" s="732">
        <v>7</v>
      </c>
      <c r="N26" s="732">
        <v>10</v>
      </c>
      <c r="O26" s="732">
        <v>11</v>
      </c>
      <c r="P26" s="732">
        <v>14</v>
      </c>
      <c r="Q26" s="732">
        <v>17</v>
      </c>
      <c r="R26" s="732">
        <v>28</v>
      </c>
      <c r="S26" s="732">
        <v>0</v>
      </c>
      <c r="T26" s="732">
        <v>0</v>
      </c>
      <c r="U26" s="732">
        <v>0</v>
      </c>
      <c r="V26" s="732">
        <v>0</v>
      </c>
      <c r="W26" s="750">
        <v>19</v>
      </c>
      <c r="X26" s="750">
        <v>9</v>
      </c>
      <c r="Y26" s="750">
        <v>43</v>
      </c>
      <c r="Z26" s="754">
        <v>30</v>
      </c>
      <c r="AA26" s="750">
        <v>20</v>
      </c>
      <c r="AB26" s="754">
        <v>30</v>
      </c>
      <c r="AC26" s="750">
        <v>14</v>
      </c>
    </row>
    <row r="27" spans="1:29" ht="12.75">
      <c r="A27" s="750" t="s">
        <v>126</v>
      </c>
      <c r="B27" s="732">
        <v>22</v>
      </c>
      <c r="C27" s="732">
        <v>20</v>
      </c>
      <c r="D27" s="734">
        <v>12</v>
      </c>
      <c r="E27" s="750" t="str">
        <f>"TR-LITSA-"&amp;$G$14</f>
        <v>TR-LITSA-08</v>
      </c>
      <c r="F27" s="750" t="s">
        <v>173</v>
      </c>
      <c r="G27" s="732">
        <v>3</v>
      </c>
      <c r="H27" s="733">
        <v>0</v>
      </c>
      <c r="I27" s="733">
        <v>0</v>
      </c>
      <c r="J27" s="734">
        <v>4</v>
      </c>
      <c r="K27" s="734">
        <v>5</v>
      </c>
      <c r="L27" s="734">
        <v>6</v>
      </c>
      <c r="M27" s="734">
        <v>7</v>
      </c>
      <c r="N27" s="734">
        <v>9</v>
      </c>
      <c r="O27" s="734">
        <v>10</v>
      </c>
      <c r="P27" s="734">
        <v>13</v>
      </c>
      <c r="Q27" s="734">
        <v>15</v>
      </c>
      <c r="R27" s="734">
        <v>16</v>
      </c>
      <c r="S27" s="734">
        <v>26</v>
      </c>
      <c r="T27" s="734">
        <v>0</v>
      </c>
      <c r="U27" s="734">
        <v>0</v>
      </c>
      <c r="V27" s="734">
        <v>0</v>
      </c>
      <c r="W27" s="751">
        <v>27</v>
      </c>
      <c r="X27" s="751">
        <v>9</v>
      </c>
      <c r="Y27" s="751">
        <v>43</v>
      </c>
      <c r="Z27" s="751">
        <v>27</v>
      </c>
      <c r="AA27" s="751">
        <v>20</v>
      </c>
      <c r="AB27" s="751">
        <v>27</v>
      </c>
      <c r="AC27" s="751">
        <v>13</v>
      </c>
    </row>
    <row r="28" spans="1:29" ht="12.75">
      <c r="A28" s="750" t="s">
        <v>136</v>
      </c>
      <c r="B28" s="732">
        <v>24</v>
      </c>
      <c r="C28" s="732">
        <v>20</v>
      </c>
      <c r="D28" s="732">
        <v>10</v>
      </c>
      <c r="E28" s="750" t="str">
        <f>"RE-LITSA-"&amp;$G$14</f>
        <v>RE-LITSA-08</v>
      </c>
      <c r="F28" s="750" t="s">
        <v>181</v>
      </c>
      <c r="G28" s="732">
        <v>3</v>
      </c>
      <c r="H28" s="733">
        <v>0</v>
      </c>
      <c r="I28" s="733">
        <v>0</v>
      </c>
      <c r="J28" s="732">
        <v>4</v>
      </c>
      <c r="K28" s="732">
        <v>5</v>
      </c>
      <c r="L28" s="732">
        <v>6</v>
      </c>
      <c r="M28" s="732">
        <v>8</v>
      </c>
      <c r="N28" s="732">
        <v>9</v>
      </c>
      <c r="O28" s="732">
        <v>12</v>
      </c>
      <c r="P28" s="732">
        <v>14</v>
      </c>
      <c r="Q28" s="732">
        <v>20</v>
      </c>
      <c r="R28" s="732">
        <v>0</v>
      </c>
      <c r="S28" s="732">
        <v>0</v>
      </c>
      <c r="T28" s="732">
        <v>0</v>
      </c>
      <c r="U28" s="732">
        <v>0</v>
      </c>
      <c r="V28" s="732">
        <v>0</v>
      </c>
      <c r="W28" s="750">
        <v>42</v>
      </c>
      <c r="X28" s="750">
        <v>9</v>
      </c>
      <c r="Y28" s="750">
        <v>45</v>
      </c>
      <c r="Z28" s="750">
        <v>22</v>
      </c>
      <c r="AA28" s="750">
        <v>22</v>
      </c>
      <c r="AB28" s="750">
        <v>22</v>
      </c>
      <c r="AC28" s="750">
        <v>13</v>
      </c>
    </row>
    <row r="29" spans="1:29" ht="12.75">
      <c r="A29" s="750" t="s">
        <v>127</v>
      </c>
      <c r="B29" s="732">
        <v>20</v>
      </c>
      <c r="C29" s="732">
        <v>20</v>
      </c>
      <c r="D29" s="734">
        <v>12</v>
      </c>
      <c r="E29" s="750" t="str">
        <f>"TR-TIBA-"&amp;$G$14</f>
        <v>TR-TIBA-08</v>
      </c>
      <c r="F29" s="750" t="s">
        <v>175</v>
      </c>
      <c r="G29" s="732">
        <v>3</v>
      </c>
      <c r="H29" s="733">
        <v>0</v>
      </c>
      <c r="I29" s="733">
        <v>0</v>
      </c>
      <c r="J29" s="734">
        <v>4</v>
      </c>
      <c r="K29" s="734">
        <v>5</v>
      </c>
      <c r="L29" s="734">
        <v>6</v>
      </c>
      <c r="M29" s="734">
        <v>7</v>
      </c>
      <c r="N29" s="734">
        <v>9</v>
      </c>
      <c r="O29" s="734">
        <v>10</v>
      </c>
      <c r="P29" s="734">
        <v>13</v>
      </c>
      <c r="Q29" s="734">
        <v>15</v>
      </c>
      <c r="R29" s="734">
        <v>16</v>
      </c>
      <c r="S29" s="734">
        <v>26</v>
      </c>
      <c r="T29" s="734">
        <v>0</v>
      </c>
      <c r="U29" s="734">
        <v>0</v>
      </c>
      <c r="V29" s="734">
        <v>0</v>
      </c>
      <c r="W29" s="751">
        <v>28</v>
      </c>
      <c r="X29" s="751">
        <v>9</v>
      </c>
      <c r="Y29" s="751">
        <v>41</v>
      </c>
      <c r="Z29" s="751">
        <v>27</v>
      </c>
      <c r="AA29" s="751">
        <v>18</v>
      </c>
      <c r="AB29" s="751">
        <v>27</v>
      </c>
      <c r="AC29" s="751">
        <v>13</v>
      </c>
    </row>
    <row r="30" spans="1:29" ht="12.75">
      <c r="A30" s="750" t="s">
        <v>129</v>
      </c>
      <c r="B30" s="732">
        <v>22</v>
      </c>
      <c r="C30" s="732">
        <v>20</v>
      </c>
      <c r="D30" s="732">
        <v>9</v>
      </c>
      <c r="E30" s="750" t="str">
        <f>"SA-TIBA-"&amp;$G$14</f>
        <v>SA-TIBA-08</v>
      </c>
      <c r="F30" s="750" t="s">
        <v>177</v>
      </c>
      <c r="G30" s="732">
        <v>3</v>
      </c>
      <c r="H30" s="733">
        <v>0</v>
      </c>
      <c r="I30" s="733">
        <v>0</v>
      </c>
      <c r="J30" s="732">
        <v>4</v>
      </c>
      <c r="K30" s="732">
        <v>5</v>
      </c>
      <c r="L30" s="732">
        <v>6</v>
      </c>
      <c r="M30" s="732">
        <v>8</v>
      </c>
      <c r="N30" s="732">
        <v>9</v>
      </c>
      <c r="O30" s="732">
        <v>12</v>
      </c>
      <c r="P30" s="732">
        <v>13</v>
      </c>
      <c r="Q30" s="732">
        <v>18</v>
      </c>
      <c r="R30" s="732">
        <v>0</v>
      </c>
      <c r="S30" s="732">
        <v>0</v>
      </c>
      <c r="T30" s="732">
        <v>0</v>
      </c>
      <c r="U30" s="732">
        <v>0</v>
      </c>
      <c r="V30" s="732">
        <v>0</v>
      </c>
      <c r="W30" s="750">
        <v>32</v>
      </c>
      <c r="X30" s="750">
        <v>9</v>
      </c>
      <c r="Y30" s="750">
        <v>43</v>
      </c>
      <c r="Z30" s="750">
        <v>20</v>
      </c>
      <c r="AA30" s="750">
        <v>20</v>
      </c>
      <c r="AB30" s="750">
        <v>20</v>
      </c>
      <c r="AC30" s="750">
        <v>12</v>
      </c>
    </row>
    <row r="31" spans="1:29" ht="12.75">
      <c r="A31" s="750" t="s">
        <v>128</v>
      </c>
      <c r="B31" s="732">
        <v>20</v>
      </c>
      <c r="C31" s="732">
        <v>20</v>
      </c>
      <c r="D31" s="734">
        <v>12</v>
      </c>
      <c r="E31" s="750" t="str">
        <f>"TR-ENECOR-"&amp;$G$14</f>
        <v>TR-ENECOR-08</v>
      </c>
      <c r="F31" s="750" t="s">
        <v>174</v>
      </c>
      <c r="G31" s="732">
        <v>3</v>
      </c>
      <c r="H31" s="733">
        <v>0</v>
      </c>
      <c r="I31" s="733">
        <v>0</v>
      </c>
      <c r="J31" s="734">
        <v>4</v>
      </c>
      <c r="K31" s="734">
        <v>5</v>
      </c>
      <c r="L31" s="734">
        <v>6</v>
      </c>
      <c r="M31" s="734">
        <v>7</v>
      </c>
      <c r="N31" s="734">
        <v>9</v>
      </c>
      <c r="O31" s="734">
        <v>10</v>
      </c>
      <c r="P31" s="734">
        <v>13</v>
      </c>
      <c r="Q31" s="734">
        <v>15</v>
      </c>
      <c r="R31" s="734">
        <v>16</v>
      </c>
      <c r="S31" s="734">
        <v>26</v>
      </c>
      <c r="T31" s="734">
        <v>0</v>
      </c>
      <c r="U31" s="734">
        <v>0</v>
      </c>
      <c r="V31" s="734">
        <v>0</v>
      </c>
      <c r="W31" s="751">
        <v>29</v>
      </c>
      <c r="X31" s="751">
        <v>9</v>
      </c>
      <c r="Y31" s="751">
        <v>41</v>
      </c>
      <c r="Z31" s="751">
        <v>27</v>
      </c>
      <c r="AA31" s="751">
        <v>20</v>
      </c>
      <c r="AB31" s="751">
        <v>27</v>
      </c>
      <c r="AC31" s="751">
        <v>13</v>
      </c>
    </row>
    <row r="32" spans="1:29" ht="12.75">
      <c r="A32" s="750" t="s">
        <v>130</v>
      </c>
      <c r="B32" s="732">
        <v>22</v>
      </c>
      <c r="C32" s="732">
        <v>20</v>
      </c>
      <c r="D32" s="732">
        <v>9</v>
      </c>
      <c r="E32" s="750" t="str">
        <f>"SA-ENECOR-"&amp;$G$14</f>
        <v>SA-ENECOR-08</v>
      </c>
      <c r="F32" s="750" t="s">
        <v>178</v>
      </c>
      <c r="G32" s="732">
        <v>3</v>
      </c>
      <c r="H32" s="733">
        <v>0</v>
      </c>
      <c r="I32" s="733">
        <v>0</v>
      </c>
      <c r="J32" s="732">
        <v>4</v>
      </c>
      <c r="K32" s="732">
        <v>5</v>
      </c>
      <c r="L32" s="732">
        <v>6</v>
      </c>
      <c r="M32" s="732">
        <v>8</v>
      </c>
      <c r="N32" s="732">
        <v>9</v>
      </c>
      <c r="O32" s="732">
        <v>12</v>
      </c>
      <c r="P32" s="732">
        <v>13</v>
      </c>
      <c r="Q32" s="732">
        <v>18</v>
      </c>
      <c r="R32" s="732">
        <v>0</v>
      </c>
      <c r="S32" s="732">
        <v>0</v>
      </c>
      <c r="T32" s="732">
        <v>0</v>
      </c>
      <c r="U32" s="732">
        <v>0</v>
      </c>
      <c r="V32" s="732">
        <v>0</v>
      </c>
      <c r="W32" s="750">
        <v>33</v>
      </c>
      <c r="X32" s="750">
        <v>9</v>
      </c>
      <c r="Y32" s="750">
        <v>43</v>
      </c>
      <c r="Z32" s="750">
        <v>20</v>
      </c>
      <c r="AA32" s="750">
        <v>20</v>
      </c>
      <c r="AB32" s="750">
        <v>20</v>
      </c>
      <c r="AC32" s="750">
        <v>12</v>
      </c>
    </row>
    <row r="33" spans="1:29" ht="12.75">
      <c r="A33" s="753" t="s">
        <v>184</v>
      </c>
      <c r="B33" s="748">
        <v>32</v>
      </c>
      <c r="C33" s="748">
        <v>25</v>
      </c>
      <c r="D33" s="748">
        <v>11</v>
      </c>
      <c r="E33" s="753" t="s">
        <v>184</v>
      </c>
      <c r="F33" s="752" t="s">
        <v>169</v>
      </c>
      <c r="G33" s="748">
        <v>0</v>
      </c>
      <c r="H33" s="748">
        <v>0</v>
      </c>
      <c r="I33" s="748">
        <v>0</v>
      </c>
      <c r="J33" s="748">
        <v>4</v>
      </c>
      <c r="K33" s="748">
        <v>5</v>
      </c>
      <c r="L33" s="748">
        <v>6</v>
      </c>
      <c r="M33" s="748">
        <v>7</v>
      </c>
      <c r="N33" s="748">
        <v>10</v>
      </c>
      <c r="O33" s="748">
        <v>11</v>
      </c>
      <c r="P33" s="748">
        <v>14</v>
      </c>
      <c r="Q33" s="748">
        <v>17</v>
      </c>
      <c r="R33" s="748">
        <v>28</v>
      </c>
      <c r="S33" s="748">
        <v>0</v>
      </c>
      <c r="T33" s="748">
        <v>0</v>
      </c>
      <c r="U33" s="748">
        <v>0</v>
      </c>
      <c r="V33" s="748">
        <v>0</v>
      </c>
      <c r="W33" s="752">
        <v>0</v>
      </c>
      <c r="X33" s="752">
        <v>0</v>
      </c>
      <c r="Y33" s="752">
        <v>0</v>
      </c>
      <c r="Z33" s="752">
        <v>0</v>
      </c>
      <c r="AA33" s="752">
        <v>0</v>
      </c>
      <c r="AB33" s="752">
        <v>0</v>
      </c>
      <c r="AC33" s="752">
        <v>0</v>
      </c>
    </row>
    <row r="34" spans="1:29" ht="12.75">
      <c r="A34" s="753" t="s">
        <v>193</v>
      </c>
      <c r="B34" s="748">
        <v>61</v>
      </c>
      <c r="C34" s="748">
        <v>25</v>
      </c>
      <c r="D34" s="749">
        <v>12</v>
      </c>
      <c r="E34" s="753" t="s">
        <v>193</v>
      </c>
      <c r="F34" s="752" t="s">
        <v>173</v>
      </c>
      <c r="G34" s="748">
        <v>0</v>
      </c>
      <c r="H34" s="748">
        <v>0</v>
      </c>
      <c r="I34" s="748">
        <v>0</v>
      </c>
      <c r="J34" s="748">
        <v>4</v>
      </c>
      <c r="K34" s="748">
        <v>5</v>
      </c>
      <c r="L34" s="748">
        <v>6</v>
      </c>
      <c r="M34" s="748">
        <v>8</v>
      </c>
      <c r="N34" s="748">
        <v>9</v>
      </c>
      <c r="O34" s="748">
        <v>10</v>
      </c>
      <c r="P34" s="748">
        <v>13</v>
      </c>
      <c r="Q34" s="748">
        <v>15</v>
      </c>
      <c r="R34" s="748">
        <v>16</v>
      </c>
      <c r="S34" s="748">
        <v>0</v>
      </c>
      <c r="T34" s="748">
        <v>0</v>
      </c>
      <c r="U34" s="748">
        <v>0</v>
      </c>
      <c r="V34" s="748">
        <v>0</v>
      </c>
      <c r="W34" s="752">
        <v>0</v>
      </c>
      <c r="X34" s="752">
        <v>0</v>
      </c>
      <c r="Y34" s="752">
        <v>0</v>
      </c>
      <c r="Z34" s="752">
        <v>0</v>
      </c>
      <c r="AA34" s="752">
        <v>0</v>
      </c>
      <c r="AB34" s="752">
        <v>0</v>
      </c>
      <c r="AC34" s="752">
        <v>0</v>
      </c>
    </row>
    <row r="35" spans="1:29" ht="12.75">
      <c r="A35" s="753" t="s">
        <v>193</v>
      </c>
      <c r="B35" s="748">
        <v>32</v>
      </c>
      <c r="C35" s="748">
        <v>25</v>
      </c>
      <c r="D35" s="748">
        <v>11</v>
      </c>
      <c r="E35" s="753" t="s">
        <v>193</v>
      </c>
      <c r="F35" s="752" t="s">
        <v>170</v>
      </c>
      <c r="G35" s="748">
        <v>0</v>
      </c>
      <c r="H35" s="748">
        <v>0</v>
      </c>
      <c r="I35" s="748">
        <v>0</v>
      </c>
      <c r="J35" s="748">
        <v>4</v>
      </c>
      <c r="K35" s="748">
        <v>5</v>
      </c>
      <c r="L35" s="748">
        <v>6</v>
      </c>
      <c r="M35" s="748">
        <v>7</v>
      </c>
      <c r="N35" s="748">
        <v>10</v>
      </c>
      <c r="O35" s="748">
        <v>11</v>
      </c>
      <c r="P35" s="748">
        <v>14</v>
      </c>
      <c r="Q35" s="748">
        <v>17</v>
      </c>
      <c r="R35" s="748">
        <v>28</v>
      </c>
      <c r="S35" s="748">
        <v>0</v>
      </c>
      <c r="T35" s="748">
        <v>0</v>
      </c>
      <c r="U35" s="748">
        <v>0</v>
      </c>
      <c r="V35" s="748">
        <v>0</v>
      </c>
      <c r="W35" s="752">
        <v>0</v>
      </c>
      <c r="X35" s="752">
        <v>0</v>
      </c>
      <c r="Y35" s="752">
        <v>0</v>
      </c>
      <c r="Z35" s="752">
        <v>0</v>
      </c>
      <c r="AA35" s="752">
        <v>0</v>
      </c>
      <c r="AB35" s="752">
        <v>0</v>
      </c>
      <c r="AC35" s="752">
        <v>0</v>
      </c>
    </row>
    <row r="36" spans="1:29" ht="12.75">
      <c r="A36" s="753" t="s">
        <v>194</v>
      </c>
      <c r="B36" s="748">
        <v>60</v>
      </c>
      <c r="C36" s="748">
        <v>36</v>
      </c>
      <c r="D36" s="748">
        <v>9</v>
      </c>
      <c r="E36" s="753" t="s">
        <v>194</v>
      </c>
      <c r="F36" s="752" t="s">
        <v>177</v>
      </c>
      <c r="G36" s="748">
        <v>0</v>
      </c>
      <c r="H36" s="748">
        <v>0</v>
      </c>
      <c r="I36" s="748">
        <v>0</v>
      </c>
      <c r="J36" s="748">
        <v>4</v>
      </c>
      <c r="K36" s="748">
        <v>5</v>
      </c>
      <c r="L36" s="748">
        <v>7</v>
      </c>
      <c r="M36" s="748">
        <v>9</v>
      </c>
      <c r="N36" s="748">
        <v>10</v>
      </c>
      <c r="O36" s="748">
        <v>13</v>
      </c>
      <c r="P36" s="748">
        <v>14</v>
      </c>
      <c r="Q36" s="748">
        <v>21</v>
      </c>
      <c r="R36" s="748">
        <v>0</v>
      </c>
      <c r="S36" s="748">
        <v>0</v>
      </c>
      <c r="T36" s="748">
        <v>0</v>
      </c>
      <c r="U36" s="748">
        <v>0</v>
      </c>
      <c r="V36" s="748">
        <v>0</v>
      </c>
      <c r="W36" s="752">
        <v>0</v>
      </c>
      <c r="X36" s="752">
        <v>0</v>
      </c>
      <c r="Y36" s="752">
        <v>0</v>
      </c>
      <c r="Z36" s="752">
        <v>0</v>
      </c>
      <c r="AA36" s="752">
        <v>0</v>
      </c>
      <c r="AB36" s="752">
        <v>0</v>
      </c>
      <c r="AC36" s="752">
        <v>0</v>
      </c>
    </row>
    <row r="37" spans="1:29" ht="12.75">
      <c r="A37" s="753" t="s">
        <v>194</v>
      </c>
      <c r="B37" s="748">
        <v>31</v>
      </c>
      <c r="C37" s="748">
        <v>25</v>
      </c>
      <c r="D37" s="749">
        <v>12</v>
      </c>
      <c r="E37" s="753" t="s">
        <v>194</v>
      </c>
      <c r="F37" s="752" t="s">
        <v>175</v>
      </c>
      <c r="G37" s="748">
        <v>0</v>
      </c>
      <c r="H37" s="748">
        <v>0</v>
      </c>
      <c r="I37" s="748">
        <v>0</v>
      </c>
      <c r="J37" s="748">
        <v>4</v>
      </c>
      <c r="K37" s="748">
        <v>5</v>
      </c>
      <c r="L37" s="748">
        <v>6</v>
      </c>
      <c r="M37" s="748">
        <v>7</v>
      </c>
      <c r="N37" s="748">
        <v>9</v>
      </c>
      <c r="O37" s="748">
        <v>10</v>
      </c>
      <c r="P37" s="748">
        <v>13</v>
      </c>
      <c r="Q37" s="748">
        <v>15</v>
      </c>
      <c r="R37" s="748">
        <v>16</v>
      </c>
      <c r="S37" s="748">
        <v>0</v>
      </c>
      <c r="T37" s="748">
        <v>0</v>
      </c>
      <c r="U37" s="748">
        <v>0</v>
      </c>
      <c r="V37" s="748">
        <v>0</v>
      </c>
      <c r="W37" s="752">
        <v>0</v>
      </c>
      <c r="X37" s="752">
        <v>0</v>
      </c>
      <c r="Y37" s="752">
        <v>0</v>
      </c>
      <c r="Z37" s="752">
        <v>0</v>
      </c>
      <c r="AA37" s="752">
        <v>0</v>
      </c>
      <c r="AB37" s="752">
        <v>0</v>
      </c>
      <c r="AC37" s="752">
        <v>0</v>
      </c>
    </row>
    <row r="38" spans="1:29" ht="12.75">
      <c r="A38" s="753" t="s">
        <v>195</v>
      </c>
      <c r="B38" s="748">
        <v>60</v>
      </c>
      <c r="C38" s="748">
        <v>25</v>
      </c>
      <c r="D38" s="748">
        <v>9</v>
      </c>
      <c r="E38" s="753" t="s">
        <v>195</v>
      </c>
      <c r="F38" s="752" t="s">
        <v>178</v>
      </c>
      <c r="G38" s="748">
        <v>0</v>
      </c>
      <c r="H38" s="748">
        <v>0</v>
      </c>
      <c r="I38" s="748">
        <v>0</v>
      </c>
      <c r="J38" s="748">
        <v>4</v>
      </c>
      <c r="K38" s="748">
        <v>5</v>
      </c>
      <c r="L38" s="748">
        <v>7</v>
      </c>
      <c r="M38" s="748">
        <v>9</v>
      </c>
      <c r="N38" s="748">
        <v>10</v>
      </c>
      <c r="O38" s="748">
        <v>13</v>
      </c>
      <c r="P38" s="748">
        <v>14</v>
      </c>
      <c r="Q38" s="748">
        <v>21</v>
      </c>
      <c r="R38" s="748">
        <v>0</v>
      </c>
      <c r="S38" s="748">
        <v>0</v>
      </c>
      <c r="T38" s="748">
        <v>0</v>
      </c>
      <c r="U38" s="748">
        <v>0</v>
      </c>
      <c r="V38" s="748">
        <v>0</v>
      </c>
      <c r="W38" s="752">
        <v>0</v>
      </c>
      <c r="X38" s="752">
        <v>0</v>
      </c>
      <c r="Y38" s="752">
        <v>0</v>
      </c>
      <c r="Z38" s="752">
        <v>0</v>
      </c>
      <c r="AA38" s="752">
        <v>0</v>
      </c>
      <c r="AB38" s="752">
        <v>0</v>
      </c>
      <c r="AC38" s="752">
        <v>0</v>
      </c>
    </row>
    <row r="39" spans="1:29" ht="12.75">
      <c r="A39" s="753" t="s">
        <v>195</v>
      </c>
      <c r="B39" s="748">
        <v>31</v>
      </c>
      <c r="C39" s="748">
        <v>25</v>
      </c>
      <c r="D39" s="749">
        <v>12</v>
      </c>
      <c r="E39" s="753" t="s">
        <v>195</v>
      </c>
      <c r="F39" s="752" t="s">
        <v>174</v>
      </c>
      <c r="G39" s="748">
        <v>0</v>
      </c>
      <c r="H39" s="748">
        <v>0</v>
      </c>
      <c r="I39" s="748">
        <v>0</v>
      </c>
      <c r="J39" s="748">
        <v>4</v>
      </c>
      <c r="K39" s="748">
        <v>5</v>
      </c>
      <c r="L39" s="748">
        <v>6</v>
      </c>
      <c r="M39" s="748">
        <v>7</v>
      </c>
      <c r="N39" s="748">
        <v>9</v>
      </c>
      <c r="O39" s="748">
        <v>10</v>
      </c>
      <c r="P39" s="748">
        <v>13</v>
      </c>
      <c r="Q39" s="748">
        <v>15</v>
      </c>
      <c r="R39" s="748">
        <v>16</v>
      </c>
      <c r="S39" s="748">
        <v>0</v>
      </c>
      <c r="T39" s="748">
        <v>0</v>
      </c>
      <c r="U39" s="748">
        <v>0</v>
      </c>
      <c r="V39" s="748">
        <v>0</v>
      </c>
      <c r="W39" s="752">
        <v>0</v>
      </c>
      <c r="X39" s="752">
        <v>0</v>
      </c>
      <c r="Y39" s="752">
        <v>0</v>
      </c>
      <c r="Z39" s="752">
        <v>0</v>
      </c>
      <c r="AA39" s="752">
        <v>0</v>
      </c>
      <c r="AB39" s="752">
        <v>0</v>
      </c>
      <c r="AC39" s="752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D42"/>
  <sheetViews>
    <sheetView zoomScale="75" zoomScaleNormal="75" workbookViewId="0" topLeftCell="A4">
      <selection activeCell="B24" sqref="B2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2"/>
    </row>
    <row r="2" spans="1:30" s="18" customFormat="1" ht="26.25">
      <c r="A2" s="89"/>
      <c r="B2" s="19" t="str">
        <f>+'TOT-0808'!B2</f>
        <v>ANEXO III al Memorándum D.T.E.E. N°  366 / 2010 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30" s="5" customFormat="1" ht="13.5" thickTop="1">
      <c r="B7" s="69"/>
      <c r="C7" s="70"/>
      <c r="D7" s="70"/>
      <c r="E7" s="193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2"/>
    </row>
    <row r="8" spans="2:30" s="29" customFormat="1" ht="20.25">
      <c r="B8" s="79"/>
      <c r="C8" s="30"/>
      <c r="D8" s="174" t="s">
        <v>66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6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6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118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6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'TOT-0808'!B14</f>
        <v>Desde el 01 al 31 de agosto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96"/>
      <c r="O14" s="196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6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197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83</v>
      </c>
      <c r="E16" s="736">
        <v>117.179</v>
      </c>
      <c r="F16" s="19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84</v>
      </c>
      <c r="E17" s="736">
        <v>97.649</v>
      </c>
      <c r="F17" s="198"/>
      <c r="G17" s="4"/>
      <c r="H17" s="4"/>
      <c r="I17" s="4"/>
      <c r="J17" s="199"/>
      <c r="K17" s="200"/>
      <c r="L17" s="4"/>
      <c r="M17" s="4"/>
      <c r="N17" s="4"/>
      <c r="O17" s="4"/>
      <c r="P17" s="4"/>
      <c r="Q17" s="4"/>
      <c r="R17" s="4"/>
      <c r="S17" s="4"/>
      <c r="T17" s="4"/>
      <c r="U17" s="4"/>
      <c r="V17" s="114"/>
      <c r="W17" s="114"/>
      <c r="X17" s="114"/>
      <c r="Y17" s="114"/>
      <c r="Z17" s="114"/>
      <c r="AA17" s="114"/>
      <c r="AB17" s="114"/>
      <c r="AD17" s="17"/>
    </row>
    <row r="18" spans="2:30" s="5" customFormat="1" ht="16.5" customHeight="1" thickBot="1" thickTop="1">
      <c r="B18" s="50"/>
      <c r="C18" s="4"/>
      <c r="D18" s="4"/>
      <c r="E18" s="201"/>
      <c r="F18" s="4"/>
      <c r="G18" s="4"/>
      <c r="H18" s="4"/>
      <c r="I18" s="4"/>
      <c r="J18" s="4"/>
      <c r="K18" s="4"/>
      <c r="L18" s="4"/>
      <c r="M18" s="4"/>
      <c r="N18" s="20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12</v>
      </c>
      <c r="D19" s="85" t="s">
        <v>0</v>
      </c>
      <c r="E19" s="659" t="s">
        <v>13</v>
      </c>
      <c r="F19" s="86" t="s">
        <v>14</v>
      </c>
      <c r="G19" s="203" t="s">
        <v>68</v>
      </c>
      <c r="H19" s="660" t="s">
        <v>35</v>
      </c>
      <c r="I19" s="661" t="s">
        <v>15</v>
      </c>
      <c r="J19" s="85" t="s">
        <v>16</v>
      </c>
      <c r="K19" s="177" t="s">
        <v>17</v>
      </c>
      <c r="L19" s="87" t="s">
        <v>34</v>
      </c>
      <c r="M19" s="86" t="s">
        <v>29</v>
      </c>
      <c r="N19" s="87" t="s">
        <v>18</v>
      </c>
      <c r="O19" s="86" t="s">
        <v>56</v>
      </c>
      <c r="P19" s="177" t="s">
        <v>57</v>
      </c>
      <c r="Q19" s="85" t="s">
        <v>30</v>
      </c>
      <c r="R19" s="135" t="s">
        <v>19</v>
      </c>
      <c r="S19" s="662" t="s">
        <v>20</v>
      </c>
      <c r="T19" s="204" t="s">
        <v>58</v>
      </c>
      <c r="U19" s="205"/>
      <c r="V19" s="206"/>
      <c r="W19" s="663" t="s">
        <v>119</v>
      </c>
      <c r="X19" s="664"/>
      <c r="Y19" s="665"/>
      <c r="Z19" s="207" t="s">
        <v>21</v>
      </c>
      <c r="AA19" s="208" t="s">
        <v>69</v>
      </c>
      <c r="AB19" s="131" t="s">
        <v>70</v>
      </c>
      <c r="AC19" s="131" t="s">
        <v>22</v>
      </c>
      <c r="AD19" s="209"/>
    </row>
    <row r="20" spans="2:30" s="5" customFormat="1" ht="16.5" customHeight="1" thickTop="1">
      <c r="B20" s="50"/>
      <c r="C20" s="179"/>
      <c r="D20" s="715"/>
      <c r="E20" s="715"/>
      <c r="F20" s="737"/>
      <c r="G20" s="714"/>
      <c r="H20" s="716"/>
      <c r="I20" s="717"/>
      <c r="J20" s="729"/>
      <c r="K20" s="729"/>
      <c r="L20" s="714"/>
      <c r="M20" s="714"/>
      <c r="N20" s="714"/>
      <c r="O20" s="714"/>
      <c r="P20" s="714"/>
      <c r="Q20" s="714"/>
      <c r="R20" s="718"/>
      <c r="S20" s="719"/>
      <c r="T20" s="720"/>
      <c r="U20" s="721"/>
      <c r="V20" s="722"/>
      <c r="W20" s="723"/>
      <c r="X20" s="724"/>
      <c r="Y20" s="725"/>
      <c r="Z20" s="726"/>
      <c r="AA20" s="727"/>
      <c r="AB20" s="714"/>
      <c r="AC20" s="666"/>
      <c r="AD20" s="17"/>
    </row>
    <row r="21" spans="2:30" s="5" customFormat="1" ht="16.5" customHeight="1">
      <c r="B21" s="50"/>
      <c r="C21" s="270"/>
      <c r="D21" s="180"/>
      <c r="E21" s="7"/>
      <c r="F21" s="738"/>
      <c r="G21" s="180"/>
      <c r="H21" s="667"/>
      <c r="I21" s="668"/>
      <c r="J21" s="210"/>
      <c r="K21" s="114"/>
      <c r="L21" s="180"/>
      <c r="M21" s="180"/>
      <c r="N21" s="181"/>
      <c r="O21" s="180"/>
      <c r="P21" s="180"/>
      <c r="Q21" s="180"/>
      <c r="R21" s="669"/>
      <c r="S21" s="670"/>
      <c r="T21" s="671"/>
      <c r="U21" s="672"/>
      <c r="V21" s="673"/>
      <c r="W21" s="674"/>
      <c r="X21" s="675"/>
      <c r="Y21" s="676"/>
      <c r="Z21" s="211"/>
      <c r="AA21" s="212"/>
      <c r="AB21" s="180"/>
      <c r="AC21" s="213"/>
      <c r="AD21" s="17"/>
    </row>
    <row r="22" spans="2:30" s="5" customFormat="1" ht="16.5" customHeight="1">
      <c r="B22" s="50"/>
      <c r="C22" s="153">
        <v>1</v>
      </c>
      <c r="D22" s="153" t="s">
        <v>221</v>
      </c>
      <c r="E22" s="182">
        <v>500</v>
      </c>
      <c r="F22" s="739">
        <v>159</v>
      </c>
      <c r="G22" s="182" t="s">
        <v>208</v>
      </c>
      <c r="H22" s="677">
        <f aca="true" t="shared" si="0" ref="H22:H38">IF(G22="A",200,IF(G22="B",60,20))</f>
        <v>20</v>
      </c>
      <c r="I22" s="678">
        <f aca="true" t="shared" si="1" ref="I22:I38">IF(E22=500,IF(F22&lt;100,100*$E$16/100,F22*$E$16/100),IF(F22&lt;100,100*$E$17/100,F22*$E$17/100))</f>
        <v>186.31461</v>
      </c>
      <c r="J22" s="679">
        <v>39663.0375</v>
      </c>
      <c r="K22" s="680">
        <v>39663.75277777778</v>
      </c>
      <c r="L22" s="185">
        <f aca="true" t="shared" si="2" ref="L22:L38">IF(D22="","",(K22-J22)*24)</f>
        <v>17.166666666744277</v>
      </c>
      <c r="M22" s="186">
        <f aca="true" t="shared" si="3" ref="M22:M38">IF(D22="","",ROUND((K22-J22)*24*60,0))</f>
        <v>1030</v>
      </c>
      <c r="N22" s="216" t="s">
        <v>200</v>
      </c>
      <c r="O22" s="187" t="str">
        <f aca="true" t="shared" si="4" ref="O22:O38">IF(D22="","","--")</f>
        <v>--</v>
      </c>
      <c r="P22" s="151" t="str">
        <f aca="true" t="shared" si="5" ref="P22:P38">IF(D22="","","NO")</f>
        <v>NO</v>
      </c>
      <c r="Q22" s="151" t="str">
        <f aca="true" t="shared" si="6" ref="Q22:Q38">IF(D22="","",IF(OR(N22="P",N22="RP"),"--","NO"))</f>
        <v>--</v>
      </c>
      <c r="R22" s="681">
        <f aca="true" t="shared" si="7" ref="R22:R38">IF(N22="P",I22*H22*ROUND(M22/60,2)*0.01,"--")</f>
        <v>639.8043707400001</v>
      </c>
      <c r="S22" s="682" t="str">
        <f aca="true" t="shared" si="8" ref="S22:S38">IF(N22="RP",I22*H22*ROUND(M22/60,2)*0.01*O22/100,"--")</f>
        <v>--</v>
      </c>
      <c r="T22" s="218" t="str">
        <f aca="true" t="shared" si="9" ref="T22:T38">IF(AND(N22="F",Q22="NO"),I22*H22*IF(P22="SI",1.2,1),"--")</f>
        <v>--</v>
      </c>
      <c r="U22" s="219" t="str">
        <f aca="true" t="shared" si="10" ref="U22:U38">IF(AND(N22="F",M22&gt;=10),I22*H22*IF(P22="SI",1.2,1)*IF(M22&lt;=300,ROUND(M22/60,2),5),"--")</f>
        <v>--</v>
      </c>
      <c r="V22" s="220" t="str">
        <f aca="true" t="shared" si="11" ref="V22:V38">IF(AND(N22="F",M22&gt;300),(ROUND(M22/60,2)-5)*I22*H22*0.1*IF(P22="SI",1.2,1),"--")</f>
        <v>--</v>
      </c>
      <c r="W22" s="683" t="str">
        <f aca="true" t="shared" si="12" ref="W22:W38">IF(AND(N22="R",Q22="NO"),I22*H22*O22/100*IF(P22="SI",1.2,1),"--")</f>
        <v>--</v>
      </c>
      <c r="X22" s="684" t="str">
        <f aca="true" t="shared" si="13" ref="X22:X38">IF(AND(N22="R",M22&gt;=10),I22*H22*O22/100*IF(P22="SI",1.2,1)*IF(M22&lt;=300,ROUND(M22/60,2),5),"--")</f>
        <v>--</v>
      </c>
      <c r="Y22" s="685" t="str">
        <f aca="true" t="shared" si="14" ref="Y22:Y38">IF(AND(N22="R",M22&gt;300),(ROUND(M22/60,2)-5)*I22*H22*0.1*O22/100*IF(P22="SI",1.2,1),"--")</f>
        <v>--</v>
      </c>
      <c r="Z22" s="221" t="str">
        <f aca="true" t="shared" si="15" ref="Z22:Z38">IF(N22="RF",ROUND(M22/60,2)*I22*H22*0.1*IF(P22="SI",1.2,1),"--")</f>
        <v>--</v>
      </c>
      <c r="AA22" s="222" t="str">
        <f aca="true" t="shared" si="16" ref="AA22:AA38">IF(N22="RR",ROUND(M22/60,2)*I22*H22*0.1*O22/100*IF(P22="SI",1.2,1),"--")</f>
        <v>--</v>
      </c>
      <c r="AB22" s="686" t="s">
        <v>197</v>
      </c>
      <c r="AC22" s="16">
        <v>0</v>
      </c>
      <c r="AD22" s="687"/>
    </row>
    <row r="23" spans="2:30" s="5" customFormat="1" ht="16.5" customHeight="1">
      <c r="B23" s="50"/>
      <c r="C23" s="153">
        <v>5</v>
      </c>
      <c r="D23" s="153" t="s">
        <v>228</v>
      </c>
      <c r="E23" s="182">
        <v>500</v>
      </c>
      <c r="F23" s="739">
        <v>256</v>
      </c>
      <c r="G23" s="182" t="s">
        <v>208</v>
      </c>
      <c r="H23" s="677">
        <f t="shared" si="0"/>
        <v>20</v>
      </c>
      <c r="I23" s="678">
        <f t="shared" si="1"/>
        <v>299.97824</v>
      </c>
      <c r="J23" s="679">
        <v>39677.03125</v>
      </c>
      <c r="K23" s="680">
        <v>39677.041666666664</v>
      </c>
      <c r="L23" s="185">
        <f t="shared" si="2"/>
        <v>0.24999999994179234</v>
      </c>
      <c r="M23" s="186">
        <f t="shared" si="3"/>
        <v>15</v>
      </c>
      <c r="N23" s="216" t="s">
        <v>224</v>
      </c>
      <c r="O23" s="187" t="str">
        <f t="shared" si="4"/>
        <v>--</v>
      </c>
      <c r="P23" s="151" t="str">
        <f t="shared" si="5"/>
        <v>NO</v>
      </c>
      <c r="Q23" s="151" t="str">
        <f t="shared" si="6"/>
        <v>NO</v>
      </c>
      <c r="R23" s="681" t="str">
        <f t="shared" si="7"/>
        <v>--</v>
      </c>
      <c r="S23" s="682" t="str">
        <f t="shared" si="8"/>
        <v>--</v>
      </c>
      <c r="T23" s="218">
        <f t="shared" si="9"/>
        <v>5999.5648</v>
      </c>
      <c r="U23" s="219">
        <f t="shared" si="10"/>
        <v>1499.8912</v>
      </c>
      <c r="V23" s="220" t="str">
        <f t="shared" si="11"/>
        <v>--</v>
      </c>
      <c r="W23" s="683" t="str">
        <f t="shared" si="12"/>
        <v>--</v>
      </c>
      <c r="X23" s="684" t="str">
        <f t="shared" si="13"/>
        <v>--</v>
      </c>
      <c r="Y23" s="685" t="str">
        <f t="shared" si="14"/>
        <v>--</v>
      </c>
      <c r="Z23" s="221" t="str">
        <f t="shared" si="15"/>
        <v>--</v>
      </c>
      <c r="AA23" s="222" t="str">
        <f t="shared" si="16"/>
        <v>--</v>
      </c>
      <c r="AB23" s="686" t="s">
        <v>197</v>
      </c>
      <c r="AC23" s="16">
        <f aca="true" t="shared" si="17" ref="AC23:AC38">IF(D23="","",SUM(R23:AA23)*IF(AB23="SI",1,2))</f>
        <v>7499.456</v>
      </c>
      <c r="AD23" s="687"/>
    </row>
    <row r="24" spans="2:30" s="5" customFormat="1" ht="16.5" customHeight="1">
      <c r="B24" s="50"/>
      <c r="C24" s="270">
        <v>6</v>
      </c>
      <c r="D24" s="153" t="s">
        <v>229</v>
      </c>
      <c r="E24" s="182">
        <v>500</v>
      </c>
      <c r="F24" s="739">
        <v>42</v>
      </c>
      <c r="G24" s="182" t="s">
        <v>227</v>
      </c>
      <c r="H24" s="677">
        <f t="shared" si="0"/>
        <v>60</v>
      </c>
      <c r="I24" s="678">
        <f t="shared" si="1"/>
        <v>117.179</v>
      </c>
      <c r="J24" s="679">
        <v>39678.42638888889</v>
      </c>
      <c r="K24" s="680">
        <v>39678.72638888889</v>
      </c>
      <c r="L24" s="185">
        <f t="shared" si="2"/>
        <v>7.200000000069849</v>
      </c>
      <c r="M24" s="186">
        <f t="shared" si="3"/>
        <v>432</v>
      </c>
      <c r="N24" s="216" t="s">
        <v>200</v>
      </c>
      <c r="O24" s="187" t="str">
        <f t="shared" si="4"/>
        <v>--</v>
      </c>
      <c r="P24" s="151" t="str">
        <f t="shared" si="5"/>
        <v>NO</v>
      </c>
      <c r="Q24" s="151" t="str">
        <f t="shared" si="6"/>
        <v>--</v>
      </c>
      <c r="R24" s="681">
        <f t="shared" si="7"/>
        <v>506.21328</v>
      </c>
      <c r="S24" s="682" t="str">
        <f t="shared" si="8"/>
        <v>--</v>
      </c>
      <c r="T24" s="218" t="str">
        <f t="shared" si="9"/>
        <v>--</v>
      </c>
      <c r="U24" s="219" t="str">
        <f t="shared" si="10"/>
        <v>--</v>
      </c>
      <c r="V24" s="220" t="str">
        <f t="shared" si="11"/>
        <v>--</v>
      </c>
      <c r="W24" s="683" t="str">
        <f t="shared" si="12"/>
        <v>--</v>
      </c>
      <c r="X24" s="684" t="str">
        <f t="shared" si="13"/>
        <v>--</v>
      </c>
      <c r="Y24" s="685" t="str">
        <f t="shared" si="14"/>
        <v>--</v>
      </c>
      <c r="Z24" s="221" t="str">
        <f t="shared" si="15"/>
        <v>--</v>
      </c>
      <c r="AA24" s="222" t="str">
        <f t="shared" si="16"/>
        <v>--</v>
      </c>
      <c r="AB24" s="686" t="s">
        <v>197</v>
      </c>
      <c r="AC24" s="16">
        <v>0</v>
      </c>
      <c r="AD24" s="687"/>
    </row>
    <row r="25" spans="2:30" s="5" customFormat="1" ht="16.5" customHeight="1">
      <c r="B25" s="50"/>
      <c r="C25" s="153">
        <v>7</v>
      </c>
      <c r="D25" s="144" t="s">
        <v>230</v>
      </c>
      <c r="E25" s="146">
        <v>220</v>
      </c>
      <c r="F25" s="741">
        <v>77</v>
      </c>
      <c r="G25" s="146" t="s">
        <v>208</v>
      </c>
      <c r="H25" s="677">
        <f t="shared" si="0"/>
        <v>20</v>
      </c>
      <c r="I25" s="678">
        <f t="shared" si="1"/>
        <v>97.649</v>
      </c>
      <c r="J25" s="183">
        <v>39681.36944444444</v>
      </c>
      <c r="K25" s="215">
        <v>39681.4875</v>
      </c>
      <c r="L25" s="185">
        <f t="shared" si="2"/>
        <v>2.8333333334885538</v>
      </c>
      <c r="M25" s="186">
        <f t="shared" si="3"/>
        <v>170</v>
      </c>
      <c r="N25" s="216" t="s">
        <v>200</v>
      </c>
      <c r="O25" s="187" t="str">
        <f t="shared" si="4"/>
        <v>--</v>
      </c>
      <c r="P25" s="151" t="str">
        <f t="shared" si="5"/>
        <v>NO</v>
      </c>
      <c r="Q25" s="151" t="str">
        <f t="shared" si="6"/>
        <v>--</v>
      </c>
      <c r="R25" s="681">
        <f t="shared" si="7"/>
        <v>55.269334</v>
      </c>
      <c r="S25" s="682" t="str">
        <f t="shared" si="8"/>
        <v>--</v>
      </c>
      <c r="T25" s="218" t="str">
        <f t="shared" si="9"/>
        <v>--</v>
      </c>
      <c r="U25" s="219" t="str">
        <f t="shared" si="10"/>
        <v>--</v>
      </c>
      <c r="V25" s="220" t="str">
        <f t="shared" si="11"/>
        <v>--</v>
      </c>
      <c r="W25" s="683" t="str">
        <f t="shared" si="12"/>
        <v>--</v>
      </c>
      <c r="X25" s="684" t="str">
        <f t="shared" si="13"/>
        <v>--</v>
      </c>
      <c r="Y25" s="685" t="str">
        <f t="shared" si="14"/>
        <v>--</v>
      </c>
      <c r="Z25" s="221" t="str">
        <f t="shared" si="15"/>
        <v>--</v>
      </c>
      <c r="AA25" s="222" t="str">
        <f t="shared" si="16"/>
        <v>--</v>
      </c>
      <c r="AB25" s="686" t="s">
        <v>197</v>
      </c>
      <c r="AC25" s="16">
        <f t="shared" si="17"/>
        <v>55.269334</v>
      </c>
      <c r="AD25" s="687"/>
    </row>
    <row r="26" spans="2:30" s="5" customFormat="1" ht="16.5" customHeight="1">
      <c r="B26" s="50"/>
      <c r="C26" s="270">
        <v>8</v>
      </c>
      <c r="D26" s="144" t="s">
        <v>229</v>
      </c>
      <c r="E26" s="146">
        <v>500</v>
      </c>
      <c r="F26" s="741">
        <v>42</v>
      </c>
      <c r="G26" s="146" t="s">
        <v>227</v>
      </c>
      <c r="H26" s="677">
        <f t="shared" si="0"/>
        <v>60</v>
      </c>
      <c r="I26" s="678">
        <f t="shared" si="1"/>
        <v>117.179</v>
      </c>
      <c r="J26" s="183">
        <v>39681.41527777778</v>
      </c>
      <c r="K26" s="215">
        <v>39681.42152777778</v>
      </c>
      <c r="L26" s="185">
        <f t="shared" si="2"/>
        <v>0.1499999999650754</v>
      </c>
      <c r="M26" s="186">
        <f t="shared" si="3"/>
        <v>9</v>
      </c>
      <c r="N26" s="216" t="s">
        <v>224</v>
      </c>
      <c r="O26" s="187" t="str">
        <f t="shared" si="4"/>
        <v>--</v>
      </c>
      <c r="P26" s="151" t="str">
        <f t="shared" si="5"/>
        <v>NO</v>
      </c>
      <c r="Q26" s="151" t="str">
        <f t="shared" si="6"/>
        <v>NO</v>
      </c>
      <c r="R26" s="681" t="str">
        <f t="shared" si="7"/>
        <v>--</v>
      </c>
      <c r="S26" s="682" t="str">
        <f t="shared" si="8"/>
        <v>--</v>
      </c>
      <c r="T26" s="218">
        <f t="shared" si="9"/>
        <v>7030.74</v>
      </c>
      <c r="U26" s="219" t="str">
        <f t="shared" si="10"/>
        <v>--</v>
      </c>
      <c r="V26" s="220" t="str">
        <f t="shared" si="11"/>
        <v>--</v>
      </c>
      <c r="W26" s="683" t="str">
        <f t="shared" si="12"/>
        <v>--</v>
      </c>
      <c r="X26" s="684" t="str">
        <f t="shared" si="13"/>
        <v>--</v>
      </c>
      <c r="Y26" s="685" t="str">
        <f t="shared" si="14"/>
        <v>--</v>
      </c>
      <c r="Z26" s="221" t="str">
        <f t="shared" si="15"/>
        <v>--</v>
      </c>
      <c r="AA26" s="222" t="str">
        <f t="shared" si="16"/>
        <v>--</v>
      </c>
      <c r="AB26" s="686" t="s">
        <v>197</v>
      </c>
      <c r="AC26" s="16">
        <f t="shared" si="17"/>
        <v>7030.74</v>
      </c>
      <c r="AD26" s="687"/>
    </row>
    <row r="27" spans="2:30" s="5" customFormat="1" ht="16.5" customHeight="1">
      <c r="B27" s="50"/>
      <c r="C27" s="153">
        <v>9</v>
      </c>
      <c r="D27" s="144" t="s">
        <v>231</v>
      </c>
      <c r="E27" s="146">
        <v>500</v>
      </c>
      <c r="F27" s="741">
        <v>313</v>
      </c>
      <c r="G27" s="146" t="s">
        <v>223</v>
      </c>
      <c r="H27" s="677">
        <f t="shared" si="0"/>
        <v>200</v>
      </c>
      <c r="I27" s="678">
        <f t="shared" si="1"/>
        <v>366.77027000000004</v>
      </c>
      <c r="J27" s="183">
        <v>39681.62986111111</v>
      </c>
      <c r="K27" s="215">
        <v>39681.78194444445</v>
      </c>
      <c r="L27" s="185">
        <f t="shared" si="2"/>
        <v>3.650000000023283</v>
      </c>
      <c r="M27" s="186">
        <f t="shared" si="3"/>
        <v>219</v>
      </c>
      <c r="N27" s="216" t="s">
        <v>224</v>
      </c>
      <c r="O27" s="187" t="str">
        <f t="shared" si="4"/>
        <v>--</v>
      </c>
      <c r="P27" s="151" t="str">
        <f t="shared" si="5"/>
        <v>NO</v>
      </c>
      <c r="Q27" s="151" t="s">
        <v>197</v>
      </c>
      <c r="R27" s="681" t="str">
        <f t="shared" si="7"/>
        <v>--</v>
      </c>
      <c r="S27" s="682" t="str">
        <f t="shared" si="8"/>
        <v>--</v>
      </c>
      <c r="T27" s="218" t="str">
        <f t="shared" si="9"/>
        <v>--</v>
      </c>
      <c r="U27" s="219">
        <f t="shared" si="10"/>
        <v>267742.2971</v>
      </c>
      <c r="V27" s="220" t="str">
        <f t="shared" si="11"/>
        <v>--</v>
      </c>
      <c r="W27" s="683" t="str">
        <f t="shared" si="12"/>
        <v>--</v>
      </c>
      <c r="X27" s="684" t="str">
        <f t="shared" si="13"/>
        <v>--</v>
      </c>
      <c r="Y27" s="685" t="str">
        <f t="shared" si="14"/>
        <v>--</v>
      </c>
      <c r="Z27" s="221" t="str">
        <f t="shared" si="15"/>
        <v>--</v>
      </c>
      <c r="AA27" s="222" t="str">
        <f t="shared" si="16"/>
        <v>--</v>
      </c>
      <c r="AB27" s="686" t="s">
        <v>197</v>
      </c>
      <c r="AC27" s="16">
        <f t="shared" si="17"/>
        <v>267742.2971</v>
      </c>
      <c r="AD27" s="687"/>
    </row>
    <row r="28" spans="2:30" s="5" customFormat="1" ht="16.5" customHeight="1">
      <c r="B28" s="50"/>
      <c r="C28" s="270">
        <v>10</v>
      </c>
      <c r="D28" s="144" t="s">
        <v>230</v>
      </c>
      <c r="E28" s="146">
        <v>220</v>
      </c>
      <c r="F28" s="741">
        <v>77</v>
      </c>
      <c r="G28" s="146" t="s">
        <v>208</v>
      </c>
      <c r="H28" s="677">
        <f t="shared" si="0"/>
        <v>20</v>
      </c>
      <c r="I28" s="678">
        <f t="shared" si="1"/>
        <v>97.649</v>
      </c>
      <c r="J28" s="183">
        <v>39682.39097222222</v>
      </c>
      <c r="K28" s="215">
        <v>39682.68541666667</v>
      </c>
      <c r="L28" s="185">
        <f t="shared" si="2"/>
        <v>7.066666666651145</v>
      </c>
      <c r="M28" s="186">
        <f t="shared" si="3"/>
        <v>424</v>
      </c>
      <c r="N28" s="216" t="s">
        <v>200</v>
      </c>
      <c r="O28" s="187" t="str">
        <f t="shared" si="4"/>
        <v>--</v>
      </c>
      <c r="P28" s="151" t="str">
        <f t="shared" si="5"/>
        <v>NO</v>
      </c>
      <c r="Q28" s="151" t="str">
        <f t="shared" si="6"/>
        <v>--</v>
      </c>
      <c r="R28" s="681">
        <f t="shared" si="7"/>
        <v>138.07568600000002</v>
      </c>
      <c r="S28" s="682" t="str">
        <f t="shared" si="8"/>
        <v>--</v>
      </c>
      <c r="T28" s="218" t="str">
        <f t="shared" si="9"/>
        <v>--</v>
      </c>
      <c r="U28" s="219" t="str">
        <f t="shared" si="10"/>
        <v>--</v>
      </c>
      <c r="V28" s="220" t="str">
        <f t="shared" si="11"/>
        <v>--</v>
      </c>
      <c r="W28" s="683" t="str">
        <f t="shared" si="12"/>
        <v>--</v>
      </c>
      <c r="X28" s="684" t="str">
        <f t="shared" si="13"/>
        <v>--</v>
      </c>
      <c r="Y28" s="685" t="str">
        <f t="shared" si="14"/>
        <v>--</v>
      </c>
      <c r="Z28" s="221" t="str">
        <f t="shared" si="15"/>
        <v>--</v>
      </c>
      <c r="AA28" s="222" t="str">
        <f t="shared" si="16"/>
        <v>--</v>
      </c>
      <c r="AB28" s="686" t="s">
        <v>197</v>
      </c>
      <c r="AC28" s="16">
        <f t="shared" si="17"/>
        <v>138.07568600000002</v>
      </c>
      <c r="AD28" s="687"/>
    </row>
    <row r="29" spans="2:30" s="5" customFormat="1" ht="16.5" customHeight="1">
      <c r="B29" s="50"/>
      <c r="C29" s="153">
        <v>11</v>
      </c>
      <c r="D29" s="144" t="s">
        <v>226</v>
      </c>
      <c r="E29" s="146">
        <v>500</v>
      </c>
      <c r="F29" s="741">
        <v>255</v>
      </c>
      <c r="G29" s="146" t="s">
        <v>227</v>
      </c>
      <c r="H29" s="677">
        <f t="shared" si="0"/>
        <v>60</v>
      </c>
      <c r="I29" s="678">
        <f t="shared" si="1"/>
        <v>298.80645</v>
      </c>
      <c r="J29" s="183">
        <v>39683.35833333333</v>
      </c>
      <c r="K29" s="215">
        <v>39683.7125</v>
      </c>
      <c r="L29" s="185">
        <f t="shared" si="2"/>
        <v>8.500000000116415</v>
      </c>
      <c r="M29" s="186">
        <f t="shared" si="3"/>
        <v>510</v>
      </c>
      <c r="N29" s="216" t="s">
        <v>200</v>
      </c>
      <c r="O29" s="187" t="str">
        <f t="shared" si="4"/>
        <v>--</v>
      </c>
      <c r="P29" s="151" t="str">
        <f t="shared" si="5"/>
        <v>NO</v>
      </c>
      <c r="Q29" s="151" t="str">
        <f t="shared" si="6"/>
        <v>--</v>
      </c>
      <c r="R29" s="681">
        <f t="shared" si="7"/>
        <v>1523.912895</v>
      </c>
      <c r="S29" s="682" t="str">
        <f t="shared" si="8"/>
        <v>--</v>
      </c>
      <c r="T29" s="218" t="str">
        <f t="shared" si="9"/>
        <v>--</v>
      </c>
      <c r="U29" s="219" t="str">
        <f t="shared" si="10"/>
        <v>--</v>
      </c>
      <c r="V29" s="220" t="str">
        <f t="shared" si="11"/>
        <v>--</v>
      </c>
      <c r="W29" s="683" t="str">
        <f t="shared" si="12"/>
        <v>--</v>
      </c>
      <c r="X29" s="684" t="str">
        <f t="shared" si="13"/>
        <v>--</v>
      </c>
      <c r="Y29" s="685" t="str">
        <f t="shared" si="14"/>
        <v>--</v>
      </c>
      <c r="Z29" s="221" t="str">
        <f t="shared" si="15"/>
        <v>--</v>
      </c>
      <c r="AA29" s="222" t="str">
        <f t="shared" si="16"/>
        <v>--</v>
      </c>
      <c r="AB29" s="686" t="s">
        <v>197</v>
      </c>
      <c r="AC29" s="16">
        <f t="shared" si="17"/>
        <v>1523.912895</v>
      </c>
      <c r="AD29" s="687"/>
    </row>
    <row r="30" spans="2:30" s="5" customFormat="1" ht="16.5" customHeight="1">
      <c r="B30" s="50"/>
      <c r="C30" s="270">
        <v>12</v>
      </c>
      <c r="D30" s="144" t="s">
        <v>229</v>
      </c>
      <c r="E30" s="146">
        <v>500</v>
      </c>
      <c r="F30" s="741">
        <v>42</v>
      </c>
      <c r="G30" s="146" t="s">
        <v>227</v>
      </c>
      <c r="H30" s="677">
        <f t="shared" si="0"/>
        <v>60</v>
      </c>
      <c r="I30" s="678">
        <f t="shared" si="1"/>
        <v>117.179</v>
      </c>
      <c r="J30" s="183">
        <v>39684.30347222222</v>
      </c>
      <c r="K30" s="184">
        <v>39684.74097222222</v>
      </c>
      <c r="L30" s="185">
        <f t="shared" si="2"/>
        <v>10.5</v>
      </c>
      <c r="M30" s="186">
        <f t="shared" si="3"/>
        <v>630</v>
      </c>
      <c r="N30" s="216" t="s">
        <v>200</v>
      </c>
      <c r="O30" s="187" t="str">
        <f t="shared" si="4"/>
        <v>--</v>
      </c>
      <c r="P30" s="151" t="str">
        <f t="shared" si="5"/>
        <v>NO</v>
      </c>
      <c r="Q30" s="151" t="str">
        <f t="shared" si="6"/>
        <v>--</v>
      </c>
      <c r="R30" s="681">
        <f t="shared" si="7"/>
        <v>738.2277</v>
      </c>
      <c r="S30" s="682" t="str">
        <f t="shared" si="8"/>
        <v>--</v>
      </c>
      <c r="T30" s="218" t="str">
        <f t="shared" si="9"/>
        <v>--</v>
      </c>
      <c r="U30" s="219" t="str">
        <f t="shared" si="10"/>
        <v>--</v>
      </c>
      <c r="V30" s="220" t="str">
        <f t="shared" si="11"/>
        <v>--</v>
      </c>
      <c r="W30" s="683" t="str">
        <f t="shared" si="12"/>
        <v>--</v>
      </c>
      <c r="X30" s="684" t="str">
        <f t="shared" si="13"/>
        <v>--</v>
      </c>
      <c r="Y30" s="685" t="str">
        <f t="shared" si="14"/>
        <v>--</v>
      </c>
      <c r="Z30" s="221" t="str">
        <f t="shared" si="15"/>
        <v>--</v>
      </c>
      <c r="AA30" s="222" t="str">
        <f t="shared" si="16"/>
        <v>--</v>
      </c>
      <c r="AB30" s="686" t="s">
        <v>197</v>
      </c>
      <c r="AC30" s="16">
        <v>0</v>
      </c>
      <c r="AD30" s="687"/>
    </row>
    <row r="31" spans="2:30" s="5" customFormat="1" ht="16.5" customHeight="1">
      <c r="B31" s="50"/>
      <c r="C31" s="153">
        <v>13</v>
      </c>
      <c r="D31" s="144" t="s">
        <v>231</v>
      </c>
      <c r="E31" s="146">
        <v>500</v>
      </c>
      <c r="F31" s="741">
        <v>313</v>
      </c>
      <c r="G31" s="146" t="s">
        <v>223</v>
      </c>
      <c r="H31" s="677">
        <f t="shared" si="0"/>
        <v>200</v>
      </c>
      <c r="I31" s="678">
        <f t="shared" si="1"/>
        <v>366.77027000000004</v>
      </c>
      <c r="J31" s="183">
        <v>39684.38958333333</v>
      </c>
      <c r="K31" s="184">
        <v>39684.43819444445</v>
      </c>
      <c r="L31" s="185">
        <f t="shared" si="2"/>
        <v>1.1666666668024845</v>
      </c>
      <c r="M31" s="186">
        <f t="shared" si="3"/>
        <v>70</v>
      </c>
      <c r="N31" s="216" t="s">
        <v>224</v>
      </c>
      <c r="O31" s="187" t="str">
        <f t="shared" si="4"/>
        <v>--</v>
      </c>
      <c r="P31" s="151" t="str">
        <f t="shared" si="5"/>
        <v>NO</v>
      </c>
      <c r="Q31" s="151" t="str">
        <f t="shared" si="6"/>
        <v>NO</v>
      </c>
      <c r="R31" s="681" t="str">
        <f t="shared" si="7"/>
        <v>--</v>
      </c>
      <c r="S31" s="682" t="str">
        <f t="shared" si="8"/>
        <v>--</v>
      </c>
      <c r="T31" s="218">
        <f t="shared" si="9"/>
        <v>73354.054</v>
      </c>
      <c r="U31" s="219">
        <f t="shared" si="10"/>
        <v>85824.24318</v>
      </c>
      <c r="V31" s="220" t="str">
        <f t="shared" si="11"/>
        <v>--</v>
      </c>
      <c r="W31" s="683" t="str">
        <f t="shared" si="12"/>
        <v>--</v>
      </c>
      <c r="X31" s="684" t="str">
        <f t="shared" si="13"/>
        <v>--</v>
      </c>
      <c r="Y31" s="685" t="str">
        <f t="shared" si="14"/>
        <v>--</v>
      </c>
      <c r="Z31" s="221" t="str">
        <f t="shared" si="15"/>
        <v>--</v>
      </c>
      <c r="AA31" s="222" t="str">
        <f t="shared" si="16"/>
        <v>--</v>
      </c>
      <c r="AB31" s="686" t="s">
        <v>197</v>
      </c>
      <c r="AC31" s="16">
        <f t="shared" si="17"/>
        <v>159178.29718</v>
      </c>
      <c r="AD31" s="687"/>
    </row>
    <row r="32" spans="2:30" s="5" customFormat="1" ht="16.5" customHeight="1">
      <c r="B32" s="50"/>
      <c r="C32" s="270">
        <v>14</v>
      </c>
      <c r="D32" s="144" t="s">
        <v>232</v>
      </c>
      <c r="E32" s="146">
        <v>500</v>
      </c>
      <c r="F32" s="741">
        <v>313</v>
      </c>
      <c r="G32" s="146" t="s">
        <v>223</v>
      </c>
      <c r="H32" s="677">
        <f t="shared" si="0"/>
        <v>200</v>
      </c>
      <c r="I32" s="678">
        <f t="shared" si="1"/>
        <v>366.77027000000004</v>
      </c>
      <c r="J32" s="183">
        <v>39684.38958333333</v>
      </c>
      <c r="K32" s="184">
        <v>39684.42083333333</v>
      </c>
      <c r="L32" s="185">
        <f t="shared" si="2"/>
        <v>0.75</v>
      </c>
      <c r="M32" s="186">
        <f t="shared" si="3"/>
        <v>45</v>
      </c>
      <c r="N32" s="216" t="s">
        <v>224</v>
      </c>
      <c r="O32" s="187" t="str">
        <f t="shared" si="4"/>
        <v>--</v>
      </c>
      <c r="P32" s="151" t="str">
        <f t="shared" si="5"/>
        <v>NO</v>
      </c>
      <c r="Q32" s="151" t="str">
        <f t="shared" si="6"/>
        <v>NO</v>
      </c>
      <c r="R32" s="681" t="str">
        <f t="shared" si="7"/>
        <v>--</v>
      </c>
      <c r="S32" s="682" t="str">
        <f t="shared" si="8"/>
        <v>--</v>
      </c>
      <c r="T32" s="218">
        <f t="shared" si="9"/>
        <v>73354.054</v>
      </c>
      <c r="U32" s="219">
        <f t="shared" si="10"/>
        <v>55015.5405</v>
      </c>
      <c r="V32" s="220" t="str">
        <f t="shared" si="11"/>
        <v>--</v>
      </c>
      <c r="W32" s="683" t="str">
        <f t="shared" si="12"/>
        <v>--</v>
      </c>
      <c r="X32" s="684" t="str">
        <f t="shared" si="13"/>
        <v>--</v>
      </c>
      <c r="Y32" s="685" t="str">
        <f t="shared" si="14"/>
        <v>--</v>
      </c>
      <c r="Z32" s="221" t="str">
        <f t="shared" si="15"/>
        <v>--</v>
      </c>
      <c r="AA32" s="222" t="str">
        <f t="shared" si="16"/>
        <v>--</v>
      </c>
      <c r="AB32" s="686" t="s">
        <v>197</v>
      </c>
      <c r="AC32" s="16">
        <f t="shared" si="17"/>
        <v>128369.5945</v>
      </c>
      <c r="AD32" s="687"/>
    </row>
    <row r="33" spans="2:30" s="5" customFormat="1" ht="16.5" customHeight="1">
      <c r="B33" s="50"/>
      <c r="C33" s="153">
        <v>15</v>
      </c>
      <c r="D33" s="144" t="s">
        <v>230</v>
      </c>
      <c r="E33" s="146">
        <v>220</v>
      </c>
      <c r="F33" s="741">
        <v>77</v>
      </c>
      <c r="G33" s="146" t="s">
        <v>208</v>
      </c>
      <c r="H33" s="677">
        <f t="shared" si="0"/>
        <v>20</v>
      </c>
      <c r="I33" s="678">
        <f t="shared" si="1"/>
        <v>97.649</v>
      </c>
      <c r="J33" s="183">
        <v>39686.375</v>
      </c>
      <c r="K33" s="184">
        <v>39686.73125</v>
      </c>
      <c r="L33" s="185">
        <f t="shared" si="2"/>
        <v>8.54999999993015</v>
      </c>
      <c r="M33" s="186">
        <f t="shared" si="3"/>
        <v>513</v>
      </c>
      <c r="N33" s="216" t="s">
        <v>200</v>
      </c>
      <c r="O33" s="187" t="str">
        <f t="shared" si="4"/>
        <v>--</v>
      </c>
      <c r="P33" s="151" t="str">
        <f t="shared" si="5"/>
        <v>NO</v>
      </c>
      <c r="Q33" s="151" t="str">
        <f t="shared" si="6"/>
        <v>--</v>
      </c>
      <c r="R33" s="681">
        <f t="shared" si="7"/>
        <v>166.97979000000004</v>
      </c>
      <c r="S33" s="682" t="str">
        <f t="shared" si="8"/>
        <v>--</v>
      </c>
      <c r="T33" s="218" t="str">
        <f t="shared" si="9"/>
        <v>--</v>
      </c>
      <c r="U33" s="219" t="str">
        <f t="shared" si="10"/>
        <v>--</v>
      </c>
      <c r="V33" s="220" t="str">
        <f t="shared" si="11"/>
        <v>--</v>
      </c>
      <c r="W33" s="683" t="str">
        <f t="shared" si="12"/>
        <v>--</v>
      </c>
      <c r="X33" s="684" t="str">
        <f t="shared" si="13"/>
        <v>--</v>
      </c>
      <c r="Y33" s="685" t="str">
        <f t="shared" si="14"/>
        <v>--</v>
      </c>
      <c r="Z33" s="221" t="str">
        <f t="shared" si="15"/>
        <v>--</v>
      </c>
      <c r="AA33" s="222" t="str">
        <f t="shared" si="16"/>
        <v>--</v>
      </c>
      <c r="AB33" s="686" t="s">
        <v>197</v>
      </c>
      <c r="AC33" s="16">
        <f t="shared" si="17"/>
        <v>166.97979000000004</v>
      </c>
      <c r="AD33" s="687"/>
    </row>
    <row r="34" spans="2:30" s="5" customFormat="1" ht="16.5" customHeight="1">
      <c r="B34" s="50"/>
      <c r="C34" s="270">
        <v>16</v>
      </c>
      <c r="D34" s="144" t="s">
        <v>230</v>
      </c>
      <c r="E34" s="146">
        <v>220</v>
      </c>
      <c r="F34" s="741">
        <v>77</v>
      </c>
      <c r="G34" s="146" t="s">
        <v>208</v>
      </c>
      <c r="H34" s="677">
        <f t="shared" si="0"/>
        <v>20</v>
      </c>
      <c r="I34" s="678">
        <f t="shared" si="1"/>
        <v>97.649</v>
      </c>
      <c r="J34" s="183">
        <v>39687.42291666667</v>
      </c>
      <c r="K34" s="184">
        <v>39687.771527777775</v>
      </c>
      <c r="L34" s="185">
        <f t="shared" si="2"/>
        <v>8.366666666523088</v>
      </c>
      <c r="M34" s="186">
        <f t="shared" si="3"/>
        <v>502</v>
      </c>
      <c r="N34" s="216" t="s">
        <v>200</v>
      </c>
      <c r="O34" s="187" t="str">
        <f t="shared" si="4"/>
        <v>--</v>
      </c>
      <c r="P34" s="151" t="str">
        <f t="shared" si="5"/>
        <v>NO</v>
      </c>
      <c r="Q34" s="151" t="str">
        <f t="shared" si="6"/>
        <v>--</v>
      </c>
      <c r="R34" s="681">
        <f t="shared" si="7"/>
        <v>163.46442599999997</v>
      </c>
      <c r="S34" s="682" t="str">
        <f t="shared" si="8"/>
        <v>--</v>
      </c>
      <c r="T34" s="218" t="str">
        <f t="shared" si="9"/>
        <v>--</v>
      </c>
      <c r="U34" s="219" t="str">
        <f t="shared" si="10"/>
        <v>--</v>
      </c>
      <c r="V34" s="220" t="str">
        <f t="shared" si="11"/>
        <v>--</v>
      </c>
      <c r="W34" s="683" t="str">
        <f t="shared" si="12"/>
        <v>--</v>
      </c>
      <c r="X34" s="684" t="str">
        <f t="shared" si="13"/>
        <v>--</v>
      </c>
      <c r="Y34" s="685" t="str">
        <f t="shared" si="14"/>
        <v>--</v>
      </c>
      <c r="Z34" s="221" t="str">
        <f t="shared" si="15"/>
        <v>--</v>
      </c>
      <c r="AA34" s="222" t="str">
        <f t="shared" si="16"/>
        <v>--</v>
      </c>
      <c r="AB34" s="686" t="s">
        <v>197</v>
      </c>
      <c r="AC34" s="16">
        <f t="shared" si="17"/>
        <v>163.46442599999997</v>
      </c>
      <c r="AD34" s="687"/>
    </row>
    <row r="35" spans="2:30" s="5" customFormat="1" ht="16.5" customHeight="1">
      <c r="B35" s="50"/>
      <c r="C35" s="153">
        <v>17</v>
      </c>
      <c r="D35" s="144" t="s">
        <v>221</v>
      </c>
      <c r="E35" s="146">
        <v>500</v>
      </c>
      <c r="F35" s="741">
        <v>159</v>
      </c>
      <c r="G35" s="146" t="s">
        <v>208</v>
      </c>
      <c r="H35" s="677">
        <f t="shared" si="0"/>
        <v>20</v>
      </c>
      <c r="I35" s="678">
        <f t="shared" si="1"/>
        <v>186.31461</v>
      </c>
      <c r="J35" s="183">
        <v>39687.51180555556</v>
      </c>
      <c r="K35" s="184">
        <v>39687.51666666667</v>
      </c>
      <c r="L35" s="185">
        <f t="shared" si="2"/>
        <v>0.11666666669771075</v>
      </c>
      <c r="M35" s="186">
        <f t="shared" si="3"/>
        <v>7</v>
      </c>
      <c r="N35" s="216" t="s">
        <v>224</v>
      </c>
      <c r="O35" s="187" t="str">
        <f t="shared" si="4"/>
        <v>--</v>
      </c>
      <c r="P35" s="151" t="str">
        <f t="shared" si="5"/>
        <v>NO</v>
      </c>
      <c r="Q35" s="151" t="str">
        <f t="shared" si="6"/>
        <v>NO</v>
      </c>
      <c r="R35" s="681" t="str">
        <f t="shared" si="7"/>
        <v>--</v>
      </c>
      <c r="S35" s="682" t="str">
        <f t="shared" si="8"/>
        <v>--</v>
      </c>
      <c r="T35" s="218">
        <f t="shared" si="9"/>
        <v>3726.2922</v>
      </c>
      <c r="U35" s="219" t="str">
        <f t="shared" si="10"/>
        <v>--</v>
      </c>
      <c r="V35" s="220" t="str">
        <f t="shared" si="11"/>
        <v>--</v>
      </c>
      <c r="W35" s="683" t="str">
        <f t="shared" si="12"/>
        <v>--</v>
      </c>
      <c r="X35" s="684" t="str">
        <f t="shared" si="13"/>
        <v>--</v>
      </c>
      <c r="Y35" s="685" t="str">
        <f t="shared" si="14"/>
        <v>--</v>
      </c>
      <c r="Z35" s="221" t="str">
        <f t="shared" si="15"/>
        <v>--</v>
      </c>
      <c r="AA35" s="222" t="str">
        <f t="shared" si="16"/>
        <v>--</v>
      </c>
      <c r="AB35" s="686" t="s">
        <v>197</v>
      </c>
      <c r="AC35" s="16">
        <f t="shared" si="17"/>
        <v>3726.2922</v>
      </c>
      <c r="AD35" s="687"/>
    </row>
    <row r="36" spans="2:30" s="5" customFormat="1" ht="16.5" customHeight="1">
      <c r="B36" s="50"/>
      <c r="C36" s="270">
        <v>18</v>
      </c>
      <c r="D36" s="144" t="s">
        <v>230</v>
      </c>
      <c r="E36" s="146">
        <v>220</v>
      </c>
      <c r="F36" s="741">
        <v>77</v>
      </c>
      <c r="G36" s="146" t="s">
        <v>208</v>
      </c>
      <c r="H36" s="677">
        <f t="shared" si="0"/>
        <v>20</v>
      </c>
      <c r="I36" s="678">
        <f t="shared" si="1"/>
        <v>97.649</v>
      </c>
      <c r="J36" s="183">
        <v>39688.384722222225</v>
      </c>
      <c r="K36" s="184">
        <v>39688.71666666667</v>
      </c>
      <c r="L36" s="185">
        <f t="shared" si="2"/>
        <v>7.96666666661622</v>
      </c>
      <c r="M36" s="186">
        <f t="shared" si="3"/>
        <v>478</v>
      </c>
      <c r="N36" s="216" t="s">
        <v>200</v>
      </c>
      <c r="O36" s="187" t="str">
        <f t="shared" si="4"/>
        <v>--</v>
      </c>
      <c r="P36" s="151" t="str">
        <f t="shared" si="5"/>
        <v>NO</v>
      </c>
      <c r="Q36" s="151" t="str">
        <f t="shared" si="6"/>
        <v>--</v>
      </c>
      <c r="R36" s="681">
        <f t="shared" si="7"/>
        <v>155.652506</v>
      </c>
      <c r="S36" s="682" t="str">
        <f t="shared" si="8"/>
        <v>--</v>
      </c>
      <c r="T36" s="218" t="str">
        <f t="shared" si="9"/>
        <v>--</v>
      </c>
      <c r="U36" s="219" t="str">
        <f t="shared" si="10"/>
        <v>--</v>
      </c>
      <c r="V36" s="220" t="str">
        <f t="shared" si="11"/>
        <v>--</v>
      </c>
      <c r="W36" s="683" t="str">
        <f t="shared" si="12"/>
        <v>--</v>
      </c>
      <c r="X36" s="684" t="str">
        <f t="shared" si="13"/>
        <v>--</v>
      </c>
      <c r="Y36" s="685" t="str">
        <f t="shared" si="14"/>
        <v>--</v>
      </c>
      <c r="Z36" s="221" t="str">
        <f t="shared" si="15"/>
        <v>--</v>
      </c>
      <c r="AA36" s="222" t="str">
        <f t="shared" si="16"/>
        <v>--</v>
      </c>
      <c r="AB36" s="686" t="s">
        <v>197</v>
      </c>
      <c r="AC36" s="16">
        <f t="shared" si="17"/>
        <v>155.652506</v>
      </c>
      <c r="AD36" s="687"/>
    </row>
    <row r="37" spans="2:30" s="5" customFormat="1" ht="16.5" customHeight="1">
      <c r="B37" s="50"/>
      <c r="C37" s="153">
        <v>19</v>
      </c>
      <c r="D37" s="144" t="s">
        <v>233</v>
      </c>
      <c r="E37" s="146">
        <v>500</v>
      </c>
      <c r="F37" s="741">
        <v>259</v>
      </c>
      <c r="G37" s="146" t="s">
        <v>227</v>
      </c>
      <c r="H37" s="677">
        <f t="shared" si="0"/>
        <v>60</v>
      </c>
      <c r="I37" s="678">
        <f t="shared" si="1"/>
        <v>303.49361</v>
      </c>
      <c r="J37" s="183">
        <v>39690.33888888889</v>
      </c>
      <c r="K37" s="184">
        <v>39690.71319444444</v>
      </c>
      <c r="L37" s="185">
        <f t="shared" si="2"/>
        <v>8.983333333279006</v>
      </c>
      <c r="M37" s="186">
        <f t="shared" si="3"/>
        <v>539</v>
      </c>
      <c r="N37" s="216" t="s">
        <v>200</v>
      </c>
      <c r="O37" s="187" t="str">
        <f t="shared" si="4"/>
        <v>--</v>
      </c>
      <c r="P37" s="151" t="str">
        <f t="shared" si="5"/>
        <v>NO</v>
      </c>
      <c r="Q37" s="151" t="str">
        <f t="shared" si="6"/>
        <v>--</v>
      </c>
      <c r="R37" s="681">
        <f t="shared" si="7"/>
        <v>1635.2235706800002</v>
      </c>
      <c r="S37" s="682" t="str">
        <f t="shared" si="8"/>
        <v>--</v>
      </c>
      <c r="T37" s="218" t="str">
        <f t="shared" si="9"/>
        <v>--</v>
      </c>
      <c r="U37" s="219" t="str">
        <f t="shared" si="10"/>
        <v>--</v>
      </c>
      <c r="V37" s="220" t="str">
        <f t="shared" si="11"/>
        <v>--</v>
      </c>
      <c r="W37" s="683" t="str">
        <f t="shared" si="12"/>
        <v>--</v>
      </c>
      <c r="X37" s="684" t="str">
        <f t="shared" si="13"/>
        <v>--</v>
      </c>
      <c r="Y37" s="685" t="str">
        <f t="shared" si="14"/>
        <v>--</v>
      </c>
      <c r="Z37" s="221" t="str">
        <f t="shared" si="15"/>
        <v>--</v>
      </c>
      <c r="AA37" s="222" t="str">
        <f t="shared" si="16"/>
        <v>--</v>
      </c>
      <c r="AB37" s="686" t="s">
        <v>197</v>
      </c>
      <c r="AC37" s="16">
        <f t="shared" si="17"/>
        <v>1635.2235706800002</v>
      </c>
      <c r="AD37" s="687"/>
    </row>
    <row r="38" spans="2:30" s="5" customFormat="1" ht="16.5" customHeight="1">
      <c r="B38" s="50"/>
      <c r="C38" s="270"/>
      <c r="D38" s="144"/>
      <c r="E38" s="146"/>
      <c r="F38" s="741"/>
      <c r="G38" s="146"/>
      <c r="H38" s="677">
        <f t="shared" si="0"/>
        <v>20</v>
      </c>
      <c r="I38" s="678">
        <f t="shared" si="1"/>
        <v>97.649</v>
      </c>
      <c r="J38" s="183"/>
      <c r="K38" s="184"/>
      <c r="L38" s="185">
        <f t="shared" si="2"/>
      </c>
      <c r="M38" s="186">
        <f t="shared" si="3"/>
      </c>
      <c r="N38" s="216"/>
      <c r="O38" s="187">
        <f t="shared" si="4"/>
      </c>
      <c r="P38" s="151">
        <f t="shared" si="5"/>
      </c>
      <c r="Q38" s="151">
        <f t="shared" si="6"/>
      </c>
      <c r="R38" s="681" t="str">
        <f t="shared" si="7"/>
        <v>--</v>
      </c>
      <c r="S38" s="682" t="str">
        <f t="shared" si="8"/>
        <v>--</v>
      </c>
      <c r="T38" s="218" t="str">
        <f t="shared" si="9"/>
        <v>--</v>
      </c>
      <c r="U38" s="219" t="str">
        <f t="shared" si="10"/>
        <v>--</v>
      </c>
      <c r="V38" s="220" t="str">
        <f t="shared" si="11"/>
        <v>--</v>
      </c>
      <c r="W38" s="683" t="str">
        <f t="shared" si="12"/>
        <v>--</v>
      </c>
      <c r="X38" s="684" t="str">
        <f t="shared" si="13"/>
        <v>--</v>
      </c>
      <c r="Y38" s="685" t="str">
        <f t="shared" si="14"/>
        <v>--</v>
      </c>
      <c r="Z38" s="221" t="str">
        <f t="shared" si="15"/>
        <v>--</v>
      </c>
      <c r="AA38" s="222" t="str">
        <f t="shared" si="16"/>
        <v>--</v>
      </c>
      <c r="AB38" s="686">
        <f>IF(D38="","","SI")</f>
      </c>
      <c r="AC38" s="16">
        <f t="shared" si="17"/>
      </c>
      <c r="AD38" s="687"/>
    </row>
    <row r="39" spans="2:30" s="5" customFormat="1" ht="16.5" customHeight="1" thickBot="1">
      <c r="B39" s="50"/>
      <c r="C39" s="153"/>
      <c r="D39" s="148"/>
      <c r="E39" s="224"/>
      <c r="F39" s="735"/>
      <c r="G39" s="225"/>
      <c r="H39" s="692"/>
      <c r="I39" s="693"/>
      <c r="J39" s="730"/>
      <c r="K39" s="730"/>
      <c r="L39" s="9"/>
      <c r="M39" s="9"/>
      <c r="N39" s="150"/>
      <c r="O39" s="189"/>
      <c r="P39" s="150"/>
      <c r="Q39" s="150"/>
      <c r="R39" s="694"/>
      <c r="S39" s="695"/>
      <c r="T39" s="226"/>
      <c r="U39" s="227"/>
      <c r="V39" s="228"/>
      <c r="W39" s="696"/>
      <c r="X39" s="697"/>
      <c r="Y39" s="698"/>
      <c r="Z39" s="229"/>
      <c r="AA39" s="230"/>
      <c r="AB39" s="699"/>
      <c r="AC39" s="231"/>
      <c r="AD39" s="687"/>
    </row>
    <row r="40" spans="2:30" s="5" customFormat="1" ht="16.5" customHeight="1" thickBot="1" thickTop="1">
      <c r="B40" s="50"/>
      <c r="C40" s="126" t="s">
        <v>23</v>
      </c>
      <c r="D40" s="127" t="s">
        <v>298</v>
      </c>
      <c r="E40" s="232"/>
      <c r="F40" s="201"/>
      <c r="G40" s="233"/>
      <c r="H40" s="201"/>
      <c r="I40" s="190"/>
      <c r="J40" s="190"/>
      <c r="K40" s="190"/>
      <c r="L40" s="190"/>
      <c r="M40" s="190"/>
      <c r="N40" s="190"/>
      <c r="O40" s="234"/>
      <c r="P40" s="190"/>
      <c r="Q40" s="190"/>
      <c r="R40" s="700">
        <f aca="true" t="shared" si="18" ref="R40:AA40">SUM(R20:R39)</f>
        <v>5722.82355842</v>
      </c>
      <c r="S40" s="701">
        <f t="shared" si="18"/>
        <v>0</v>
      </c>
      <c r="T40" s="702">
        <f t="shared" si="18"/>
        <v>163464.705</v>
      </c>
      <c r="U40" s="702">
        <f t="shared" si="18"/>
        <v>410081.97198000003</v>
      </c>
      <c r="V40" s="702">
        <f t="shared" si="18"/>
        <v>0</v>
      </c>
      <c r="W40" s="703">
        <f t="shared" si="18"/>
        <v>0</v>
      </c>
      <c r="X40" s="703">
        <f t="shared" si="18"/>
        <v>0</v>
      </c>
      <c r="Y40" s="703">
        <f t="shared" si="18"/>
        <v>0</v>
      </c>
      <c r="Z40" s="235">
        <f t="shared" si="18"/>
        <v>0</v>
      </c>
      <c r="AA40" s="236">
        <f t="shared" si="18"/>
        <v>0</v>
      </c>
      <c r="AB40" s="237"/>
      <c r="AC40" s="238">
        <f>ROUND(SUM(AC20:AC39),2)</f>
        <v>577385.26</v>
      </c>
      <c r="AD40" s="687"/>
    </row>
    <row r="41" spans="2:30" s="5" customFormat="1" ht="16.5" customHeight="1" thickBot="1" thickTop="1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/>
    </row>
    <row r="42" spans="2:30" ht="16.5" customHeight="1" thickTop="1">
      <c r="B42" s="1"/>
      <c r="AD42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75" zoomScaleNormal="75" workbookViewId="0" topLeftCell="C1">
      <selection activeCell="L32" sqref="L3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7109375" style="0" bestFit="1" customWidth="1"/>
    <col min="8" max="8" width="4.421875" style="0" hidden="1" customWidth="1"/>
    <col min="9" max="9" width="7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5.8515625" style="0" customWidth="1"/>
    <col min="18" max="19" width="12.28125" style="0" hidden="1" customWidth="1"/>
    <col min="20" max="20" width="9.8515625" style="0" hidden="1" customWidth="1"/>
    <col min="21" max="21" width="8.28125" style="0" hidden="1" customWidth="1"/>
    <col min="22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2"/>
    </row>
    <row r="2" spans="1:30" s="18" customFormat="1" ht="26.25">
      <c r="A2" s="89"/>
      <c r="B2" s="19" t="str">
        <f>+'TOT-0808'!B2</f>
        <v>ANEXO III al Memorándum D.T.E.E. N°  366 / 2010 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30" s="5" customFormat="1" ht="13.5" thickTop="1">
      <c r="B7" s="69"/>
      <c r="C7" s="70"/>
      <c r="D7" s="70"/>
      <c r="E7" s="193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2"/>
    </row>
    <row r="8" spans="2:30" s="29" customFormat="1" ht="20.25">
      <c r="B8" s="79"/>
      <c r="C8" s="30"/>
      <c r="D8" s="174" t="s">
        <v>66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6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6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315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6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+'TOT-0808'!B14</f>
        <v>Desde el 01 al 31 de agosto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96"/>
      <c r="O14" s="196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6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197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83</v>
      </c>
      <c r="E16" s="736">
        <v>89.969</v>
      </c>
      <c r="F16" s="19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84</v>
      </c>
      <c r="E17" s="736">
        <v>74.974</v>
      </c>
      <c r="F17" s="198"/>
      <c r="G17" s="4"/>
      <c r="H17" s="4"/>
      <c r="I17" s="4"/>
      <c r="J17" s="199"/>
      <c r="K17" s="200"/>
      <c r="L17" s="4"/>
      <c r="M17" s="4"/>
      <c r="N17" s="4"/>
      <c r="O17" s="4"/>
      <c r="P17" s="4"/>
      <c r="Q17" s="4"/>
      <c r="R17" s="4"/>
      <c r="S17" s="4"/>
      <c r="T17" s="4"/>
      <c r="U17" s="4"/>
      <c r="V17" s="114"/>
      <c r="W17" s="114"/>
      <c r="X17" s="114"/>
      <c r="Y17" s="114"/>
      <c r="Z17" s="114"/>
      <c r="AA17" s="114"/>
      <c r="AB17" s="114"/>
      <c r="AD17" s="17"/>
    </row>
    <row r="18" spans="2:30" s="5" customFormat="1" ht="16.5" customHeight="1" thickBot="1" thickTop="1">
      <c r="B18" s="50"/>
      <c r="C18" s="4"/>
      <c r="D18" s="4"/>
      <c r="E18" s="201"/>
      <c r="F18" s="4"/>
      <c r="G18" s="4"/>
      <c r="H18" s="4"/>
      <c r="I18" s="4"/>
      <c r="J18" s="4"/>
      <c r="K18" s="4"/>
      <c r="L18" s="4"/>
      <c r="M18" s="4"/>
      <c r="N18" s="20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12</v>
      </c>
      <c r="D19" s="85" t="s">
        <v>0</v>
      </c>
      <c r="E19" s="659" t="s">
        <v>13</v>
      </c>
      <c r="F19" s="86" t="s">
        <v>14</v>
      </c>
      <c r="G19" s="203" t="s">
        <v>68</v>
      </c>
      <c r="H19" s="660" t="s">
        <v>35</v>
      </c>
      <c r="I19" s="661" t="s">
        <v>15</v>
      </c>
      <c r="J19" s="85" t="s">
        <v>16</v>
      </c>
      <c r="K19" s="177" t="s">
        <v>17</v>
      </c>
      <c r="L19" s="87" t="s">
        <v>34</v>
      </c>
      <c r="M19" s="86" t="s">
        <v>29</v>
      </c>
      <c r="N19" s="87" t="s">
        <v>18</v>
      </c>
      <c r="O19" s="86" t="s">
        <v>56</v>
      </c>
      <c r="P19" s="177" t="s">
        <v>57</v>
      </c>
      <c r="Q19" s="85" t="s">
        <v>30</v>
      </c>
      <c r="R19" s="135" t="s">
        <v>19</v>
      </c>
      <c r="S19" s="662" t="s">
        <v>20</v>
      </c>
      <c r="T19" s="204" t="s">
        <v>58</v>
      </c>
      <c r="U19" s="205"/>
      <c r="V19" s="206"/>
      <c r="W19" s="663" t="s">
        <v>119</v>
      </c>
      <c r="X19" s="664"/>
      <c r="Y19" s="665"/>
      <c r="Z19" s="207" t="s">
        <v>21</v>
      </c>
      <c r="AA19" s="208" t="s">
        <v>69</v>
      </c>
      <c r="AB19" s="131" t="s">
        <v>70</v>
      </c>
      <c r="AC19" s="131" t="s">
        <v>22</v>
      </c>
      <c r="AD19" s="209"/>
    </row>
    <row r="20" spans="2:30" s="5" customFormat="1" ht="16.5" customHeight="1" thickTop="1">
      <c r="B20" s="50"/>
      <c r="C20" s="153"/>
      <c r="D20" s="688"/>
      <c r="E20" s="689"/>
      <c r="F20" s="740"/>
      <c r="G20" s="689"/>
      <c r="H20" s="677"/>
      <c r="I20" s="678"/>
      <c r="J20" s="690"/>
      <c r="K20" s="691"/>
      <c r="L20" s="185"/>
      <c r="M20" s="186"/>
      <c r="N20" s="216"/>
      <c r="O20" s="187"/>
      <c r="P20" s="151"/>
      <c r="Q20" s="151"/>
      <c r="R20" s="681"/>
      <c r="S20" s="682"/>
      <c r="T20" s="218"/>
      <c r="U20" s="219"/>
      <c r="V20" s="220"/>
      <c r="W20" s="683"/>
      <c r="X20" s="684"/>
      <c r="Y20" s="685"/>
      <c r="Z20" s="221"/>
      <c r="AA20" s="222"/>
      <c r="AB20" s="686"/>
      <c r="AC20" s="16"/>
      <c r="AD20" s="687"/>
    </row>
    <row r="21" spans="2:30" s="5" customFormat="1" ht="16.5" customHeight="1">
      <c r="B21" s="50"/>
      <c r="C21" s="144">
        <v>2</v>
      </c>
      <c r="D21" s="144" t="s">
        <v>222</v>
      </c>
      <c r="E21" s="146">
        <v>500</v>
      </c>
      <c r="F21" s="868">
        <v>291</v>
      </c>
      <c r="G21" s="146" t="s">
        <v>223</v>
      </c>
      <c r="H21" s="677">
        <f aca="true" t="shared" si="0" ref="H21:H26">IF(G21="A",200,IF(G21="B",60,20))</f>
        <v>200</v>
      </c>
      <c r="I21" s="678">
        <f aca="true" t="shared" si="1" ref="I21:I26">IF(E21=500,IF(F21&lt;100,100*$E$16/100,F21*$E$16/100),IF(F21&lt;100,100*$E$17/100,F21*$E$17/100))</f>
        <v>261.80979</v>
      </c>
      <c r="J21" s="183">
        <v>39667.50555555556</v>
      </c>
      <c r="K21" s="215">
        <v>39667.513194444444</v>
      </c>
      <c r="L21" s="185">
        <f aca="true" t="shared" si="2" ref="L21:L26">IF(D21="","",(K21-J21)*24)</f>
        <v>0.18333333323244005</v>
      </c>
      <c r="M21" s="186">
        <f aca="true" t="shared" si="3" ref="M21:M26">IF(D21="","",ROUND((K21-J21)*24*60,0))</f>
        <v>11</v>
      </c>
      <c r="N21" s="216" t="s">
        <v>224</v>
      </c>
      <c r="O21" s="187" t="str">
        <f aca="true" t="shared" si="4" ref="O21:O26">IF(D21="","","--")</f>
        <v>--</v>
      </c>
      <c r="P21" s="151" t="str">
        <f aca="true" t="shared" si="5" ref="P21:P26">IF(D21="","","NO")</f>
        <v>NO</v>
      </c>
      <c r="Q21" s="151" t="str">
        <f aca="true" t="shared" si="6" ref="Q21:Q26">IF(D21="","",IF(OR(N21="P",N21="RP"),"--","NO"))</f>
        <v>NO</v>
      </c>
      <c r="R21" s="681" t="str">
        <f aca="true" t="shared" si="7" ref="R21:R26">IF(N21="P",I21*H21*ROUND(M21/60,2)*0.01,"--")</f>
        <v>--</v>
      </c>
      <c r="S21" s="682" t="str">
        <f aca="true" t="shared" si="8" ref="S21:S26">IF(N21="RP",I21*H21*ROUND(M21/60,2)*0.01*O21/100,"--")</f>
        <v>--</v>
      </c>
      <c r="T21" s="218">
        <v>0</v>
      </c>
      <c r="U21" s="219">
        <f aca="true" t="shared" si="9" ref="U21:U26">IF(AND(N21="F",M21&gt;=10),I21*H21*IF(P21="SI",1.2,1)*IF(M21&lt;=300,ROUND(M21/60,2),5),"--")</f>
        <v>9425.15244</v>
      </c>
      <c r="V21" s="220" t="str">
        <f aca="true" t="shared" si="10" ref="V21:V26">IF(AND(N21="F",M21&gt;300),(ROUND(M21/60,2)-5)*I21*H21*0.1*IF(P21="SI",1.2,1),"--")</f>
        <v>--</v>
      </c>
      <c r="W21" s="683" t="str">
        <f aca="true" t="shared" si="11" ref="W21:W26">IF(AND(N21="R",Q21="NO"),I21*H21*O21/100*IF(P21="SI",1.2,1),"--")</f>
        <v>--</v>
      </c>
      <c r="X21" s="684" t="str">
        <f aca="true" t="shared" si="12" ref="X21:X26">IF(AND(N21="R",M21&gt;=10),I21*H21*O21/100*IF(P21="SI",1.2,1)*IF(M21&lt;=300,ROUND(M21/60,2),5),"--")</f>
        <v>--</v>
      </c>
      <c r="Y21" s="685" t="str">
        <f aca="true" t="shared" si="13" ref="Y21:Y26">IF(AND(N21="R",M21&gt;300),(ROUND(M21/60,2)-5)*I21*H21*0.1*O21/100*IF(P21="SI",1.2,1),"--")</f>
        <v>--</v>
      </c>
      <c r="Z21" s="221" t="str">
        <f aca="true" t="shared" si="14" ref="Z21:Z26">IF(N21="RF",ROUND(M21/60,2)*I21*H21*0.1*IF(P21="SI",1.2,1),"--")</f>
        <v>--</v>
      </c>
      <c r="AA21" s="222" t="str">
        <f aca="true" t="shared" si="15" ref="AA21:AA26">IF(N21="RR",ROUND(M21/60,2)*I21*H21*0.1*O21/100*IF(P21="SI",1.2,1),"--")</f>
        <v>--</v>
      </c>
      <c r="AB21" s="686" t="str">
        <f aca="true" t="shared" si="16" ref="AB21:AB26">IF(D21="","","SI")</f>
        <v>SI</v>
      </c>
      <c r="AC21" s="16">
        <f aca="true" t="shared" si="17" ref="AC21:AC26">IF(D21="","",SUM(R21:AA21)*IF(AB21="SI",1,2))</f>
        <v>9425.15244</v>
      </c>
      <c r="AD21" s="687"/>
    </row>
    <row r="22" spans="2:30" s="5" customFormat="1" ht="16.5" customHeight="1">
      <c r="B22" s="50"/>
      <c r="C22" s="270">
        <v>3</v>
      </c>
      <c r="D22" s="144" t="s">
        <v>225</v>
      </c>
      <c r="E22" s="146">
        <v>500</v>
      </c>
      <c r="F22" s="741">
        <v>194</v>
      </c>
      <c r="G22" s="146" t="s">
        <v>208</v>
      </c>
      <c r="H22" s="677">
        <f t="shared" si="0"/>
        <v>20</v>
      </c>
      <c r="I22" s="678">
        <f t="shared" si="1"/>
        <v>174.53985999999998</v>
      </c>
      <c r="J22" s="183">
        <v>39670.80763888889</v>
      </c>
      <c r="K22" s="215">
        <v>39670.813888888886</v>
      </c>
      <c r="L22" s="185">
        <f t="shared" si="2"/>
        <v>0.1499999999650754</v>
      </c>
      <c r="M22" s="186">
        <f t="shared" si="3"/>
        <v>9</v>
      </c>
      <c r="N22" s="216" t="s">
        <v>224</v>
      </c>
      <c r="O22" s="187" t="str">
        <f t="shared" si="4"/>
        <v>--</v>
      </c>
      <c r="P22" s="151" t="str">
        <f t="shared" si="5"/>
        <v>NO</v>
      </c>
      <c r="Q22" s="151" t="str">
        <f t="shared" si="6"/>
        <v>NO</v>
      </c>
      <c r="R22" s="681" t="str">
        <f t="shared" si="7"/>
        <v>--</v>
      </c>
      <c r="S22" s="682" t="str">
        <f t="shared" si="8"/>
        <v>--</v>
      </c>
      <c r="T22" s="218">
        <v>0</v>
      </c>
      <c r="U22" s="219" t="str">
        <f t="shared" si="9"/>
        <v>--</v>
      </c>
      <c r="V22" s="220" t="str">
        <f t="shared" si="10"/>
        <v>--</v>
      </c>
      <c r="W22" s="683" t="str">
        <f t="shared" si="11"/>
        <v>--</v>
      </c>
      <c r="X22" s="684" t="str">
        <f t="shared" si="12"/>
        <v>--</v>
      </c>
      <c r="Y22" s="685" t="str">
        <f t="shared" si="13"/>
        <v>--</v>
      </c>
      <c r="Z22" s="221" t="str">
        <f t="shared" si="14"/>
        <v>--</v>
      </c>
      <c r="AA22" s="222" t="str">
        <f t="shared" si="15"/>
        <v>--</v>
      </c>
      <c r="AB22" s="686" t="str">
        <f t="shared" si="16"/>
        <v>SI</v>
      </c>
      <c r="AC22" s="16">
        <f t="shared" si="17"/>
        <v>0</v>
      </c>
      <c r="AD22" s="687"/>
    </row>
    <row r="23" spans="2:30" s="5" customFormat="1" ht="16.5" customHeight="1">
      <c r="B23" s="50"/>
      <c r="C23" s="153">
        <v>4</v>
      </c>
      <c r="D23" s="144" t="s">
        <v>226</v>
      </c>
      <c r="E23" s="146">
        <v>500</v>
      </c>
      <c r="F23" s="741">
        <v>255</v>
      </c>
      <c r="G23" s="146" t="s">
        <v>227</v>
      </c>
      <c r="H23" s="677">
        <f t="shared" si="0"/>
        <v>60</v>
      </c>
      <c r="I23" s="678">
        <f t="shared" si="1"/>
        <v>229.42094999999998</v>
      </c>
      <c r="J23" s="183">
        <v>39673.64236111111</v>
      </c>
      <c r="K23" s="215">
        <v>39673.65555555555</v>
      </c>
      <c r="L23" s="185">
        <f t="shared" si="2"/>
        <v>0.3166666666511446</v>
      </c>
      <c r="M23" s="186">
        <f t="shared" si="3"/>
        <v>19</v>
      </c>
      <c r="N23" s="216" t="s">
        <v>224</v>
      </c>
      <c r="O23" s="187" t="str">
        <f t="shared" si="4"/>
        <v>--</v>
      </c>
      <c r="P23" s="151" t="str">
        <f t="shared" si="5"/>
        <v>NO</v>
      </c>
      <c r="Q23" s="151" t="str">
        <f t="shared" si="6"/>
        <v>NO</v>
      </c>
      <c r="R23" s="681" t="str">
        <f t="shared" si="7"/>
        <v>--</v>
      </c>
      <c r="S23" s="682" t="str">
        <f t="shared" si="8"/>
        <v>--</v>
      </c>
      <c r="T23" s="218">
        <v>0</v>
      </c>
      <c r="U23" s="219">
        <f t="shared" si="9"/>
        <v>4404.882239999999</v>
      </c>
      <c r="V23" s="220" t="str">
        <f t="shared" si="10"/>
        <v>--</v>
      </c>
      <c r="W23" s="683" t="str">
        <f t="shared" si="11"/>
        <v>--</v>
      </c>
      <c r="X23" s="684" t="str">
        <f t="shared" si="12"/>
        <v>--</v>
      </c>
      <c r="Y23" s="685" t="str">
        <f t="shared" si="13"/>
        <v>--</v>
      </c>
      <c r="Z23" s="221" t="str">
        <f t="shared" si="14"/>
        <v>--</v>
      </c>
      <c r="AA23" s="222" t="str">
        <f t="shared" si="15"/>
        <v>--</v>
      </c>
      <c r="AB23" s="686" t="str">
        <f t="shared" si="16"/>
        <v>SI</v>
      </c>
      <c r="AC23" s="16">
        <f t="shared" si="17"/>
        <v>4404.882239999999</v>
      </c>
      <c r="AD23" s="687"/>
    </row>
    <row r="24" spans="2:30" s="5" customFormat="1" ht="16.5" customHeight="1">
      <c r="B24" s="50"/>
      <c r="C24" s="153"/>
      <c r="D24" s="144"/>
      <c r="E24" s="146"/>
      <c r="F24" s="741"/>
      <c r="G24" s="146"/>
      <c r="H24" s="677">
        <f t="shared" si="0"/>
        <v>20</v>
      </c>
      <c r="I24" s="678">
        <f t="shared" si="1"/>
        <v>74.974</v>
      </c>
      <c r="J24" s="183"/>
      <c r="K24" s="184"/>
      <c r="L24" s="185">
        <f t="shared" si="2"/>
      </c>
      <c r="M24" s="186">
        <f t="shared" si="3"/>
      </c>
      <c r="N24" s="216"/>
      <c r="O24" s="187">
        <f t="shared" si="4"/>
      </c>
      <c r="P24" s="151">
        <f t="shared" si="5"/>
      </c>
      <c r="Q24" s="151">
        <f t="shared" si="6"/>
      </c>
      <c r="R24" s="681" t="str">
        <f t="shared" si="7"/>
        <v>--</v>
      </c>
      <c r="S24" s="682" t="str">
        <f t="shared" si="8"/>
        <v>--</v>
      </c>
      <c r="T24" s="218">
        <v>0</v>
      </c>
      <c r="U24" s="219" t="str">
        <f t="shared" si="9"/>
        <v>--</v>
      </c>
      <c r="V24" s="220" t="str">
        <f t="shared" si="10"/>
        <v>--</v>
      </c>
      <c r="W24" s="683" t="str">
        <f t="shared" si="11"/>
        <v>--</v>
      </c>
      <c r="X24" s="684" t="str">
        <f t="shared" si="12"/>
        <v>--</v>
      </c>
      <c r="Y24" s="685" t="str">
        <f t="shared" si="13"/>
        <v>--</v>
      </c>
      <c r="Z24" s="221" t="str">
        <f t="shared" si="14"/>
        <v>--</v>
      </c>
      <c r="AA24" s="222" t="str">
        <f t="shared" si="15"/>
        <v>--</v>
      </c>
      <c r="AB24" s="686">
        <f t="shared" si="16"/>
      </c>
      <c r="AC24" s="16">
        <f t="shared" si="17"/>
      </c>
      <c r="AD24" s="687"/>
    </row>
    <row r="25" spans="2:30" s="5" customFormat="1" ht="16.5" customHeight="1">
      <c r="B25" s="50"/>
      <c r="C25" s="270"/>
      <c r="D25" s="144"/>
      <c r="E25" s="146"/>
      <c r="F25" s="741"/>
      <c r="G25" s="146"/>
      <c r="H25" s="677">
        <f t="shared" si="0"/>
        <v>20</v>
      </c>
      <c r="I25" s="678">
        <f t="shared" si="1"/>
        <v>74.974</v>
      </c>
      <c r="J25" s="183"/>
      <c r="K25" s="184"/>
      <c r="L25" s="185">
        <f t="shared" si="2"/>
      </c>
      <c r="M25" s="186">
        <f t="shared" si="3"/>
      </c>
      <c r="N25" s="216"/>
      <c r="O25" s="187">
        <f t="shared" si="4"/>
      </c>
      <c r="P25" s="151">
        <f t="shared" si="5"/>
      </c>
      <c r="Q25" s="151">
        <f t="shared" si="6"/>
      </c>
      <c r="R25" s="681" t="str">
        <f t="shared" si="7"/>
        <v>--</v>
      </c>
      <c r="S25" s="682" t="str">
        <f t="shared" si="8"/>
        <v>--</v>
      </c>
      <c r="T25" s="218">
        <v>0</v>
      </c>
      <c r="U25" s="219" t="str">
        <f t="shared" si="9"/>
        <v>--</v>
      </c>
      <c r="V25" s="220" t="str">
        <f t="shared" si="10"/>
        <v>--</v>
      </c>
      <c r="W25" s="683" t="str">
        <f t="shared" si="11"/>
        <v>--</v>
      </c>
      <c r="X25" s="684" t="str">
        <f t="shared" si="12"/>
        <v>--</v>
      </c>
      <c r="Y25" s="685" t="str">
        <f t="shared" si="13"/>
        <v>--</v>
      </c>
      <c r="Z25" s="221" t="str">
        <f t="shared" si="14"/>
        <v>--</v>
      </c>
      <c r="AA25" s="222" t="str">
        <f t="shared" si="15"/>
        <v>--</v>
      </c>
      <c r="AB25" s="686">
        <f t="shared" si="16"/>
      </c>
      <c r="AC25" s="16">
        <f t="shared" si="17"/>
      </c>
      <c r="AD25" s="687"/>
    </row>
    <row r="26" spans="2:30" s="5" customFormat="1" ht="16.5" customHeight="1">
      <c r="B26" s="50"/>
      <c r="C26" s="153"/>
      <c r="D26" s="153"/>
      <c r="E26" s="182"/>
      <c r="F26" s="739"/>
      <c r="G26" s="182"/>
      <c r="H26" s="677">
        <f t="shared" si="0"/>
        <v>20</v>
      </c>
      <c r="I26" s="678">
        <f t="shared" si="1"/>
        <v>74.974</v>
      </c>
      <c r="J26" s="679"/>
      <c r="K26" s="680"/>
      <c r="L26" s="185">
        <f t="shared" si="2"/>
      </c>
      <c r="M26" s="186">
        <f t="shared" si="3"/>
      </c>
      <c r="N26" s="216"/>
      <c r="O26" s="187">
        <f t="shared" si="4"/>
      </c>
      <c r="P26" s="151">
        <f t="shared" si="5"/>
      </c>
      <c r="Q26" s="151">
        <f t="shared" si="6"/>
      </c>
      <c r="R26" s="681" t="str">
        <f t="shared" si="7"/>
        <v>--</v>
      </c>
      <c r="S26" s="682" t="str">
        <f t="shared" si="8"/>
        <v>--</v>
      </c>
      <c r="T26" s="218">
        <v>0</v>
      </c>
      <c r="U26" s="219" t="str">
        <f t="shared" si="9"/>
        <v>--</v>
      </c>
      <c r="V26" s="220" t="str">
        <f t="shared" si="10"/>
        <v>--</v>
      </c>
      <c r="W26" s="683" t="str">
        <f t="shared" si="11"/>
        <v>--</v>
      </c>
      <c r="X26" s="684" t="str">
        <f t="shared" si="12"/>
        <v>--</v>
      </c>
      <c r="Y26" s="685" t="str">
        <f t="shared" si="13"/>
        <v>--</v>
      </c>
      <c r="Z26" s="221" t="str">
        <f t="shared" si="14"/>
        <v>--</v>
      </c>
      <c r="AA26" s="222" t="str">
        <f t="shared" si="15"/>
        <v>--</v>
      </c>
      <c r="AB26" s="686">
        <f t="shared" si="16"/>
      </c>
      <c r="AC26" s="16">
        <f t="shared" si="17"/>
      </c>
      <c r="AD26" s="687"/>
    </row>
    <row r="27" spans="2:30" s="5" customFormat="1" ht="16.5" customHeight="1" thickBot="1">
      <c r="B27" s="50"/>
      <c r="C27" s="153"/>
      <c r="D27" s="148"/>
      <c r="E27" s="224"/>
      <c r="F27" s="735"/>
      <c r="G27" s="225"/>
      <c r="H27" s="692"/>
      <c r="I27" s="693"/>
      <c r="J27" s="730"/>
      <c r="K27" s="730"/>
      <c r="L27" s="9"/>
      <c r="M27" s="9"/>
      <c r="N27" s="150"/>
      <c r="O27" s="189"/>
      <c r="P27" s="150"/>
      <c r="Q27" s="150"/>
      <c r="R27" s="694"/>
      <c r="S27" s="695"/>
      <c r="T27" s="226"/>
      <c r="U27" s="227"/>
      <c r="V27" s="228"/>
      <c r="W27" s="696"/>
      <c r="X27" s="697"/>
      <c r="Y27" s="698"/>
      <c r="Z27" s="229"/>
      <c r="AA27" s="230"/>
      <c r="AB27" s="699"/>
      <c r="AC27" s="231"/>
      <c r="AD27" s="687"/>
    </row>
    <row r="28" spans="2:30" s="5" customFormat="1" ht="16.5" customHeight="1" thickBot="1" thickTop="1">
      <c r="B28" s="50"/>
      <c r="C28" s="126" t="s">
        <v>23</v>
      </c>
      <c r="D28" s="127" t="s">
        <v>316</v>
      </c>
      <c r="E28" s="232"/>
      <c r="F28" s="201"/>
      <c r="G28" s="233"/>
      <c r="H28" s="201"/>
      <c r="I28" s="190"/>
      <c r="J28" s="190"/>
      <c r="K28" s="190"/>
      <c r="L28" s="190"/>
      <c r="M28" s="190"/>
      <c r="N28" s="190"/>
      <c r="O28" s="234"/>
      <c r="P28" s="190"/>
      <c r="Q28" s="190"/>
      <c r="R28" s="700">
        <f aca="true" t="shared" si="18" ref="R28:AA28">SUM(R20:R27)</f>
        <v>0</v>
      </c>
      <c r="S28" s="701">
        <f t="shared" si="18"/>
        <v>0</v>
      </c>
      <c r="T28" s="702">
        <f t="shared" si="18"/>
        <v>0</v>
      </c>
      <c r="U28" s="702">
        <f t="shared" si="18"/>
        <v>13830.034679999999</v>
      </c>
      <c r="V28" s="702">
        <f t="shared" si="18"/>
        <v>0</v>
      </c>
      <c r="W28" s="703">
        <f t="shared" si="18"/>
        <v>0</v>
      </c>
      <c r="X28" s="703">
        <f t="shared" si="18"/>
        <v>0</v>
      </c>
      <c r="Y28" s="703">
        <f t="shared" si="18"/>
        <v>0</v>
      </c>
      <c r="Z28" s="235">
        <f t="shared" si="18"/>
        <v>0</v>
      </c>
      <c r="AA28" s="236">
        <f t="shared" si="18"/>
        <v>0</v>
      </c>
      <c r="AB28" s="237"/>
      <c r="AC28" s="238">
        <f>ROUND(SUM(AC20:AC27),2)</f>
        <v>13830.03</v>
      </c>
      <c r="AD28" s="687"/>
    </row>
    <row r="29" spans="2:30" s="869" customFormat="1" ht="9.75" thickTop="1">
      <c r="B29" s="870"/>
      <c r="C29" s="871"/>
      <c r="D29" s="872" t="s">
        <v>317</v>
      </c>
      <c r="E29" s="873"/>
      <c r="F29" s="874"/>
      <c r="G29" s="875"/>
      <c r="H29" s="874"/>
      <c r="I29" s="876"/>
      <c r="J29" s="876"/>
      <c r="K29" s="876"/>
      <c r="L29" s="876"/>
      <c r="M29" s="876"/>
      <c r="N29" s="876"/>
      <c r="O29" s="877"/>
      <c r="P29" s="876"/>
      <c r="Q29" s="876"/>
      <c r="R29" s="878"/>
      <c r="S29" s="878"/>
      <c r="T29" s="878"/>
      <c r="U29" s="878"/>
      <c r="V29" s="878"/>
      <c r="W29" s="878"/>
      <c r="X29" s="878"/>
      <c r="Y29" s="878"/>
      <c r="Z29" s="878"/>
      <c r="AA29" s="878"/>
      <c r="AB29" s="878"/>
      <c r="AC29" s="879"/>
      <c r="AD29" s="880"/>
    </row>
    <row r="30" spans="2:30" s="5" customFormat="1" ht="16.5" customHeight="1" thickBot="1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6"/>
    </row>
    <row r="31" spans="2:30" ht="16.5" customHeight="1" thickTop="1">
      <c r="B31" s="1"/>
      <c r="AD31" s="1"/>
    </row>
  </sheetData>
  <printOptions/>
  <pageMargins left="0.75" right="0.75" top="1" bottom="1" header="0" footer="0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AC156"/>
  <sheetViews>
    <sheetView zoomScale="75" zoomScaleNormal="75" workbookViewId="0" topLeftCell="A1">
      <selection activeCell="I17" sqref="I1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143"/>
    </row>
    <row r="2" spans="1:28" s="18" customFormat="1" ht="26.25">
      <c r="A2" s="89"/>
      <c r="B2" s="239" t="str">
        <f>+'TOT-0808'!B2</f>
        <v>ANEXO III al Memorándum D.T.E.E. N°  366 / 2010            </v>
      </c>
      <c r="C2" s="239"/>
      <c r="D2" s="239"/>
      <c r="E2" s="1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spans="1:28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s="25" customFormat="1" ht="11.25">
      <c r="A4" s="240" t="s">
        <v>71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s="25" customFormat="1" ht="11.25">
      <c r="A5" s="240" t="s">
        <v>2</v>
      </c>
      <c r="B5" s="11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</row>
    <row r="8" spans="1:28" s="29" customFormat="1" ht="20.25">
      <c r="A8" s="104"/>
      <c r="B8" s="105"/>
      <c r="C8" s="104"/>
      <c r="D8" s="241" t="s">
        <v>66</v>
      </c>
      <c r="E8" s="104"/>
      <c r="F8" s="104"/>
      <c r="G8" s="242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94"/>
      <c r="S8" s="94"/>
      <c r="T8" s="94"/>
      <c r="U8" s="94"/>
      <c r="V8" s="94"/>
      <c r="W8" s="94"/>
      <c r="X8" s="94"/>
      <c r="Y8" s="94"/>
      <c r="Z8" s="94"/>
      <c r="AA8" s="94"/>
      <c r="AB8" s="106"/>
    </row>
    <row r="9" spans="1:28" s="5" customFormat="1" ht="12.75">
      <c r="A9" s="88"/>
      <c r="B9" s="93"/>
      <c r="C9" s="88"/>
      <c r="D9" s="15"/>
      <c r="E9" s="243"/>
      <c r="F9" s="88"/>
      <c r="G9" s="15"/>
      <c r="H9" s="88"/>
      <c r="I9" s="88"/>
      <c r="J9" s="88"/>
      <c r="K9" s="88"/>
      <c r="L9" s="88"/>
      <c r="M9" s="88"/>
      <c r="N9" s="88"/>
      <c r="O9" s="88"/>
      <c r="P9" s="88"/>
      <c r="Q9" s="88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771" customFormat="1" ht="30" customHeight="1">
      <c r="A10" s="765"/>
      <c r="B10" s="766"/>
      <c r="C10" s="765"/>
      <c r="D10" s="767" t="s">
        <v>210</v>
      </c>
      <c r="E10" s="765"/>
      <c r="F10" s="768"/>
      <c r="G10" s="769"/>
      <c r="H10" s="765"/>
      <c r="I10" s="765"/>
      <c r="J10" s="765"/>
      <c r="K10" s="765"/>
      <c r="L10" s="765"/>
      <c r="M10" s="765"/>
      <c r="N10" s="765"/>
      <c r="O10" s="765"/>
      <c r="P10" s="765"/>
      <c r="Q10" s="765"/>
      <c r="R10" s="769"/>
      <c r="S10" s="769"/>
      <c r="T10" s="769"/>
      <c r="U10" s="769"/>
      <c r="V10" s="769"/>
      <c r="W10" s="769"/>
      <c r="X10" s="769"/>
      <c r="Y10" s="769"/>
      <c r="Z10" s="769"/>
      <c r="AA10" s="769"/>
      <c r="AB10" s="770"/>
    </row>
    <row r="11" spans="1:28" s="776" customFormat="1" ht="9.75" customHeight="1">
      <c r="A11" s="772"/>
      <c r="B11" s="773"/>
      <c r="C11" s="772"/>
      <c r="E11" s="774"/>
      <c r="F11" s="774"/>
      <c r="G11" s="774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774"/>
      <c r="S11" s="774"/>
      <c r="T11" s="774"/>
      <c r="U11" s="774"/>
      <c r="V11" s="774"/>
      <c r="W11" s="774"/>
      <c r="X11" s="774"/>
      <c r="Y11" s="774"/>
      <c r="Z11" s="774"/>
      <c r="AA11" s="774"/>
      <c r="AB11" s="775"/>
    </row>
    <row r="12" spans="1:28" s="776" customFormat="1" ht="21" customHeight="1">
      <c r="A12" s="765"/>
      <c r="B12" s="766"/>
      <c r="C12" s="765"/>
      <c r="D12" s="777" t="s">
        <v>211</v>
      </c>
      <c r="E12" s="765"/>
      <c r="F12" s="765"/>
      <c r="G12" s="765"/>
      <c r="H12" s="778"/>
      <c r="I12" s="778"/>
      <c r="J12" s="778"/>
      <c r="K12" s="778"/>
      <c r="L12" s="778"/>
      <c r="M12" s="772"/>
      <c r="N12" s="772"/>
      <c r="O12" s="772"/>
      <c r="P12" s="772"/>
      <c r="Q12" s="772"/>
      <c r="R12" s="774"/>
      <c r="S12" s="774"/>
      <c r="T12" s="774"/>
      <c r="U12" s="774"/>
      <c r="V12" s="774"/>
      <c r="W12" s="774"/>
      <c r="X12" s="774"/>
      <c r="Y12" s="774"/>
      <c r="Z12" s="774"/>
      <c r="AA12" s="774"/>
      <c r="AB12" s="775"/>
    </row>
    <row r="13" spans="1:28" s="5" customFormat="1" ht="12.75">
      <c r="A13" s="88"/>
      <c r="B13" s="93"/>
      <c r="C13" s="88"/>
      <c r="D13" s="15"/>
      <c r="E13" s="15"/>
      <c r="F13" s="15"/>
      <c r="G13" s="96"/>
      <c r="H13" s="15"/>
      <c r="I13" s="15"/>
      <c r="J13" s="15"/>
      <c r="K13" s="15"/>
      <c r="L13" s="15"/>
      <c r="M13" s="88"/>
      <c r="N13" s="88"/>
      <c r="O13" s="88"/>
      <c r="P13" s="88"/>
      <c r="Q13" s="8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08"/>
      <c r="B14" s="37" t="str">
        <f>'TOT-0808'!B14</f>
        <v>Desde el 01 al 31 de agosto de 2008</v>
      </c>
      <c r="C14" s="244"/>
      <c r="D14" s="111"/>
      <c r="E14" s="111"/>
      <c r="F14" s="111"/>
      <c r="G14" s="111"/>
      <c r="H14" s="111"/>
      <c r="I14" s="111"/>
      <c r="J14" s="111"/>
      <c r="K14" s="111"/>
      <c r="L14" s="111"/>
      <c r="M14" s="244"/>
      <c r="N14" s="244"/>
      <c r="O14" s="244"/>
      <c r="P14" s="244"/>
      <c r="Q14" s="244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245"/>
    </row>
    <row r="15" spans="1:28" s="5" customFormat="1" ht="13.5" thickBot="1">
      <c r="A15" s="88"/>
      <c r="B15" s="93"/>
      <c r="C15" s="88"/>
      <c r="D15" s="15"/>
      <c r="E15" s="15"/>
      <c r="F15" s="15"/>
      <c r="G15" s="96"/>
      <c r="H15" s="15"/>
      <c r="I15" s="15"/>
      <c r="J15" s="15"/>
      <c r="K15" s="15"/>
      <c r="L15" s="15"/>
      <c r="M15" s="88"/>
      <c r="N15" s="88"/>
      <c r="O15" s="88"/>
      <c r="P15" s="88"/>
      <c r="Q15" s="8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88"/>
      <c r="B16" s="93"/>
      <c r="C16" s="88"/>
      <c r="D16" s="246" t="s">
        <v>72</v>
      </c>
      <c r="E16" s="247"/>
      <c r="F16" s="248">
        <v>0.319</v>
      </c>
      <c r="H16" s="88"/>
      <c r="I16" s="88"/>
      <c r="J16" s="88"/>
      <c r="K16" s="88"/>
      <c r="L16" s="88"/>
      <c r="M16" s="88"/>
      <c r="N16" s="8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88"/>
      <c r="B17" s="93"/>
      <c r="C17" s="88"/>
      <c r="D17" s="109" t="s">
        <v>24</v>
      </c>
      <c r="E17" s="110"/>
      <c r="F17" s="745">
        <v>200</v>
      </c>
      <c r="G17"/>
      <c r="H17" s="15"/>
      <c r="I17" s="199"/>
      <c r="J17" s="200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7"/>
      <c r="V17" s="97"/>
      <c r="W17" s="97"/>
      <c r="X17" s="97"/>
      <c r="Y17" s="97"/>
      <c r="Z17" s="97"/>
      <c r="AA17" s="88"/>
      <c r="AB17" s="17"/>
    </row>
    <row r="18" spans="1:28" s="5" customFormat="1" ht="16.5" customHeight="1" thickBot="1" thickTop="1">
      <c r="A18" s="88"/>
      <c r="B18" s="93"/>
      <c r="C18" s="88"/>
      <c r="D18" s="15"/>
      <c r="E18" s="15"/>
      <c r="F18" s="15"/>
      <c r="G18" s="9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88"/>
      <c r="B19" s="93"/>
      <c r="C19" s="122" t="s">
        <v>12</v>
      </c>
      <c r="D19" s="118" t="s">
        <v>25</v>
      </c>
      <c r="E19" s="117" t="s">
        <v>26</v>
      </c>
      <c r="F19" s="119" t="s">
        <v>27</v>
      </c>
      <c r="G19" s="120" t="s">
        <v>13</v>
      </c>
      <c r="H19" s="128" t="s">
        <v>15</v>
      </c>
      <c r="I19" s="117" t="s">
        <v>16</v>
      </c>
      <c r="J19" s="117" t="s">
        <v>17</v>
      </c>
      <c r="K19" s="118" t="s">
        <v>28</v>
      </c>
      <c r="L19" s="118" t="s">
        <v>29</v>
      </c>
      <c r="M19" s="87" t="s">
        <v>18</v>
      </c>
      <c r="N19" s="87" t="s">
        <v>56</v>
      </c>
      <c r="O19" s="121" t="s">
        <v>30</v>
      </c>
      <c r="P19" s="117" t="s">
        <v>31</v>
      </c>
      <c r="Q19" s="249" t="s">
        <v>35</v>
      </c>
      <c r="R19" s="250" t="s">
        <v>19</v>
      </c>
      <c r="S19" s="251" t="s">
        <v>20</v>
      </c>
      <c r="T19" s="204" t="s">
        <v>73</v>
      </c>
      <c r="U19" s="206"/>
      <c r="V19" s="252" t="s">
        <v>74</v>
      </c>
      <c r="W19" s="253"/>
      <c r="X19" s="254" t="s">
        <v>21</v>
      </c>
      <c r="Y19" s="255" t="s">
        <v>69</v>
      </c>
      <c r="Z19" s="131" t="s">
        <v>70</v>
      </c>
      <c r="AA19" s="120" t="s">
        <v>22</v>
      </c>
      <c r="AB19" s="17"/>
    </row>
    <row r="20" spans="1:28" s="5" customFormat="1" ht="16.5" customHeight="1" thickTop="1">
      <c r="A20" s="88"/>
      <c r="B20" s="93"/>
      <c r="C20" s="256"/>
      <c r="D20" s="256"/>
      <c r="E20" s="256"/>
      <c r="F20" s="256"/>
      <c r="G20" s="257"/>
      <c r="H20" s="258"/>
      <c r="I20" s="256"/>
      <c r="J20" s="256"/>
      <c r="K20" s="256"/>
      <c r="L20" s="256"/>
      <c r="M20" s="256"/>
      <c r="N20" s="179"/>
      <c r="O20" s="259"/>
      <c r="P20" s="256"/>
      <c r="Q20" s="260"/>
      <c r="R20" s="261"/>
      <c r="S20" s="262"/>
      <c r="T20" s="263"/>
      <c r="U20" s="264"/>
      <c r="V20" s="265"/>
      <c r="W20" s="266"/>
      <c r="X20" s="267"/>
      <c r="Y20" s="268"/>
      <c r="Z20" s="259"/>
      <c r="AA20" s="269"/>
      <c r="AB20" s="17"/>
    </row>
    <row r="21" spans="1:28" s="5" customFormat="1" ht="16.5" customHeight="1">
      <c r="A21" s="88"/>
      <c r="B21" s="93"/>
      <c r="C21" s="270"/>
      <c r="D21" s="270"/>
      <c r="E21" s="270"/>
      <c r="F21" s="270"/>
      <c r="G21" s="271"/>
      <c r="H21" s="272"/>
      <c r="I21" s="270"/>
      <c r="J21" s="270"/>
      <c r="K21" s="270"/>
      <c r="L21" s="270"/>
      <c r="M21" s="270"/>
      <c r="N21" s="181"/>
      <c r="O21" s="273"/>
      <c r="P21" s="270"/>
      <c r="Q21" s="274"/>
      <c r="R21" s="275"/>
      <c r="S21" s="276"/>
      <c r="T21" s="277"/>
      <c r="U21" s="278"/>
      <c r="V21" s="279"/>
      <c r="W21" s="280"/>
      <c r="X21" s="281"/>
      <c r="Y21" s="282"/>
      <c r="Z21" s="273"/>
      <c r="AA21" s="283"/>
      <c r="AB21" s="17"/>
    </row>
    <row r="22" spans="1:28" s="5" customFormat="1" ht="16.5" customHeight="1">
      <c r="A22" s="88"/>
      <c r="B22" s="93"/>
      <c r="C22" s="153">
        <v>20</v>
      </c>
      <c r="D22" s="147" t="s">
        <v>234</v>
      </c>
      <c r="E22" s="284" t="s">
        <v>235</v>
      </c>
      <c r="F22" s="285">
        <v>150</v>
      </c>
      <c r="G22" s="286" t="s">
        <v>236</v>
      </c>
      <c r="H22" s="287">
        <f aca="true" t="shared" si="0" ref="H22:H41">F22*$F$16</f>
        <v>47.85</v>
      </c>
      <c r="I22" s="154">
        <v>39663.32708333333</v>
      </c>
      <c r="J22" s="154">
        <v>39663.486805555556</v>
      </c>
      <c r="K22" s="288">
        <f aca="true" t="shared" si="1" ref="K22:K41">IF(D22="","",(J22-I22)*24)</f>
        <v>3.833333333430346</v>
      </c>
      <c r="L22" s="14">
        <f aca="true" t="shared" si="2" ref="L22:L41">IF(D22="","",ROUND((J22-I22)*24*60,0))</f>
        <v>230</v>
      </c>
      <c r="M22" s="155" t="s">
        <v>200</v>
      </c>
      <c r="N22" s="217" t="str">
        <f aca="true" t="shared" si="3" ref="N22:N41">IF(D22="","","--")</f>
        <v>--</v>
      </c>
      <c r="O22" s="152" t="str">
        <f aca="true" t="shared" si="4" ref="O22:O41">IF(D22="","",IF(OR(M22="P",M22="RP"),"--","NO"))</f>
        <v>--</v>
      </c>
      <c r="P22" s="151" t="str">
        <f aca="true" t="shared" si="5" ref="P22:P41">IF(D22="","","NO")</f>
        <v>NO</v>
      </c>
      <c r="Q22" s="289">
        <f aca="true" t="shared" si="6" ref="Q22:Q41">$F$17*IF(OR(M22="P",M22="RP"),0.1,1)*IF(P22="SI",1,0.1)</f>
        <v>2</v>
      </c>
      <c r="R22" s="290">
        <f aca="true" t="shared" si="7" ref="R22:R41">IF(M22="P",H22*Q22*ROUND(L22/60,2),"--")</f>
        <v>366.531</v>
      </c>
      <c r="S22" s="291" t="str">
        <f aca="true" t="shared" si="8" ref="S22:S41">IF(M22="RP",H22*Q22*N22/100*ROUND(L22/60,2),"--")</f>
        <v>--</v>
      </c>
      <c r="T22" s="292" t="str">
        <f aca="true" t="shared" si="9" ref="T22:T41">IF(AND(M22="F",O22="NO"),H22*Q22,"--")</f>
        <v>--</v>
      </c>
      <c r="U22" s="293" t="str">
        <f aca="true" t="shared" si="10" ref="U22:U41">IF(M22="F",H22*Q22*ROUND(L22/60,2),"--")</f>
        <v>--</v>
      </c>
      <c r="V22" s="294" t="str">
        <f aca="true" t="shared" si="11" ref="V22:V41">IF(AND(M22="R",O22="NO"),H22*Q22*N22/100,"--")</f>
        <v>--</v>
      </c>
      <c r="W22" s="295" t="str">
        <f aca="true" t="shared" si="12" ref="W22:W41">IF(M22="R",H22*Q22*N22/100*ROUND(L22/60,2),"--")</f>
        <v>--</v>
      </c>
      <c r="X22" s="296" t="str">
        <f aca="true" t="shared" si="13" ref="X22:X41">IF(M22="RF",H22*Q22*ROUND(L22/60,2),"--")</f>
        <v>--</v>
      </c>
      <c r="Y22" s="297" t="str">
        <f aca="true" t="shared" si="14" ref="Y22:Y41">IF(M22="RR",H22*Q22*N22/100*ROUND(L22/60,2),"--")</f>
        <v>--</v>
      </c>
      <c r="Z22" s="298" t="s">
        <v>197</v>
      </c>
      <c r="AA22" s="16">
        <f aca="true" t="shared" si="15" ref="AA22:AA41">IF(D22="","",(SUM(R22:Y22)*IF(Z22="SI",1,2)*IF(AND(N22&lt;&gt;"--",M22="RF"),N22/100,1)))</f>
        <v>366.531</v>
      </c>
      <c r="AB22" s="17"/>
    </row>
    <row r="23" spans="1:28" s="5" customFormat="1" ht="16.5" customHeight="1">
      <c r="A23" s="88"/>
      <c r="B23" s="93"/>
      <c r="C23" s="270">
        <v>21</v>
      </c>
      <c r="D23" s="147" t="s">
        <v>237</v>
      </c>
      <c r="E23" s="284" t="s">
        <v>235</v>
      </c>
      <c r="F23" s="285">
        <v>150</v>
      </c>
      <c r="G23" s="286" t="s">
        <v>101</v>
      </c>
      <c r="H23" s="287">
        <f t="shared" si="0"/>
        <v>47.85</v>
      </c>
      <c r="I23" s="154">
        <v>39664.59861111111</v>
      </c>
      <c r="J23" s="154">
        <v>39664.603472222225</v>
      </c>
      <c r="K23" s="288">
        <f t="shared" si="1"/>
        <v>0.11666666669771075</v>
      </c>
      <c r="L23" s="14">
        <f t="shared" si="2"/>
        <v>7</v>
      </c>
      <c r="M23" s="155" t="s">
        <v>224</v>
      </c>
      <c r="N23" s="217" t="str">
        <f t="shared" si="3"/>
        <v>--</v>
      </c>
      <c r="O23" s="151" t="s">
        <v>197</v>
      </c>
      <c r="P23" s="151" t="s">
        <v>197</v>
      </c>
      <c r="Q23" s="289">
        <f t="shared" si="6"/>
        <v>200</v>
      </c>
      <c r="R23" s="290" t="str">
        <f t="shared" si="7"/>
        <v>--</v>
      </c>
      <c r="S23" s="291" t="str">
        <f t="shared" si="8"/>
        <v>--</v>
      </c>
      <c r="T23" s="292" t="str">
        <f t="shared" si="9"/>
        <v>--</v>
      </c>
      <c r="U23" s="293">
        <f t="shared" si="10"/>
        <v>1148.3999999999999</v>
      </c>
      <c r="V23" s="294" t="str">
        <f t="shared" si="11"/>
        <v>--</v>
      </c>
      <c r="W23" s="295" t="str">
        <f t="shared" si="12"/>
        <v>--</v>
      </c>
      <c r="X23" s="296" t="str">
        <f t="shared" si="13"/>
        <v>--</v>
      </c>
      <c r="Y23" s="297" t="str">
        <f t="shared" si="14"/>
        <v>--</v>
      </c>
      <c r="Z23" s="298" t="s">
        <v>197</v>
      </c>
      <c r="AA23" s="16">
        <f t="shared" si="15"/>
        <v>1148.3999999999999</v>
      </c>
      <c r="AB23" s="17"/>
    </row>
    <row r="24" spans="1:28" s="5" customFormat="1" ht="16.5" customHeight="1">
      <c r="A24" s="88"/>
      <c r="B24" s="93"/>
      <c r="C24" s="153">
        <v>22</v>
      </c>
      <c r="D24" s="147" t="s">
        <v>238</v>
      </c>
      <c r="E24" s="284" t="s">
        <v>239</v>
      </c>
      <c r="F24" s="285">
        <v>150</v>
      </c>
      <c r="G24" s="286" t="s">
        <v>101</v>
      </c>
      <c r="H24" s="287">
        <f t="shared" si="0"/>
        <v>47.85</v>
      </c>
      <c r="I24" s="154">
        <v>39665.40625</v>
      </c>
      <c r="J24" s="154">
        <v>39669.71319444444</v>
      </c>
      <c r="K24" s="288">
        <f t="shared" si="1"/>
        <v>103.3666666665813</v>
      </c>
      <c r="L24" s="14">
        <f t="shared" si="2"/>
        <v>6202</v>
      </c>
      <c r="M24" s="155" t="s">
        <v>200</v>
      </c>
      <c r="N24" s="217" t="str">
        <f t="shared" si="3"/>
        <v>--</v>
      </c>
      <c r="O24" s="152" t="str">
        <f t="shared" si="4"/>
        <v>--</v>
      </c>
      <c r="P24" s="151" t="str">
        <f t="shared" si="5"/>
        <v>NO</v>
      </c>
      <c r="Q24" s="289">
        <f t="shared" si="6"/>
        <v>2</v>
      </c>
      <c r="R24" s="290">
        <f t="shared" si="7"/>
        <v>9892.509</v>
      </c>
      <c r="S24" s="291" t="str">
        <f t="shared" si="8"/>
        <v>--</v>
      </c>
      <c r="T24" s="292" t="str">
        <f t="shared" si="9"/>
        <v>--</v>
      </c>
      <c r="U24" s="293" t="str">
        <f t="shared" si="10"/>
        <v>--</v>
      </c>
      <c r="V24" s="294" t="str">
        <f t="shared" si="11"/>
        <v>--</v>
      </c>
      <c r="W24" s="295" t="str">
        <f t="shared" si="12"/>
        <v>--</v>
      </c>
      <c r="X24" s="296" t="str">
        <f t="shared" si="13"/>
        <v>--</v>
      </c>
      <c r="Y24" s="297" t="str">
        <f t="shared" si="14"/>
        <v>--</v>
      </c>
      <c r="Z24" s="298" t="s">
        <v>197</v>
      </c>
      <c r="AA24" s="16">
        <f t="shared" si="15"/>
        <v>9892.509</v>
      </c>
      <c r="AB24" s="17"/>
    </row>
    <row r="25" spans="1:28" s="5" customFormat="1" ht="16.5" customHeight="1">
      <c r="A25" s="88"/>
      <c r="B25" s="93"/>
      <c r="C25" s="270">
        <v>23</v>
      </c>
      <c r="D25" s="147" t="s">
        <v>240</v>
      </c>
      <c r="E25" s="284" t="s">
        <v>241</v>
      </c>
      <c r="F25" s="285">
        <v>300</v>
      </c>
      <c r="G25" s="286" t="s">
        <v>242</v>
      </c>
      <c r="H25" s="287">
        <f t="shared" si="0"/>
        <v>95.7</v>
      </c>
      <c r="I25" s="154">
        <v>39671.52222222222</v>
      </c>
      <c r="J25" s="154">
        <v>39671.69305555556</v>
      </c>
      <c r="K25" s="288">
        <f t="shared" si="1"/>
        <v>4.100000000093132</v>
      </c>
      <c r="L25" s="14">
        <f t="shared" si="2"/>
        <v>246</v>
      </c>
      <c r="M25" s="155" t="s">
        <v>200</v>
      </c>
      <c r="N25" s="217" t="str">
        <f t="shared" si="3"/>
        <v>--</v>
      </c>
      <c r="O25" s="152" t="str">
        <f t="shared" si="4"/>
        <v>--</v>
      </c>
      <c r="P25" s="151" t="str">
        <f t="shared" si="5"/>
        <v>NO</v>
      </c>
      <c r="Q25" s="289">
        <f t="shared" si="6"/>
        <v>2</v>
      </c>
      <c r="R25" s="290">
        <f t="shared" si="7"/>
        <v>784.74</v>
      </c>
      <c r="S25" s="291" t="str">
        <f t="shared" si="8"/>
        <v>--</v>
      </c>
      <c r="T25" s="292" t="str">
        <f t="shared" si="9"/>
        <v>--</v>
      </c>
      <c r="U25" s="293" t="str">
        <f t="shared" si="10"/>
        <v>--</v>
      </c>
      <c r="V25" s="294" t="str">
        <f t="shared" si="11"/>
        <v>--</v>
      </c>
      <c r="W25" s="295" t="str">
        <f t="shared" si="12"/>
        <v>--</v>
      </c>
      <c r="X25" s="296" t="str">
        <f t="shared" si="13"/>
        <v>--</v>
      </c>
      <c r="Y25" s="297" t="str">
        <f t="shared" si="14"/>
        <v>--</v>
      </c>
      <c r="Z25" s="298" t="s">
        <v>197</v>
      </c>
      <c r="AA25" s="16">
        <f t="shared" si="15"/>
        <v>784.74</v>
      </c>
      <c r="AB25" s="17"/>
    </row>
    <row r="26" spans="1:28" s="5" customFormat="1" ht="16.5" customHeight="1">
      <c r="A26" s="88"/>
      <c r="B26" s="93"/>
      <c r="C26" s="153">
        <v>24</v>
      </c>
      <c r="D26" s="147" t="s">
        <v>240</v>
      </c>
      <c r="E26" s="284" t="s">
        <v>241</v>
      </c>
      <c r="F26" s="285">
        <v>300</v>
      </c>
      <c r="G26" s="286" t="s">
        <v>242</v>
      </c>
      <c r="H26" s="287">
        <f t="shared" si="0"/>
        <v>95.7</v>
      </c>
      <c r="I26" s="154">
        <v>39672.34652777778</v>
      </c>
      <c r="J26" s="154">
        <v>39672.69305555556</v>
      </c>
      <c r="K26" s="288">
        <f t="shared" si="1"/>
        <v>8.316666666709352</v>
      </c>
      <c r="L26" s="14">
        <f t="shared" si="2"/>
        <v>499</v>
      </c>
      <c r="M26" s="155" t="s">
        <v>200</v>
      </c>
      <c r="N26" s="217" t="str">
        <f t="shared" si="3"/>
        <v>--</v>
      </c>
      <c r="O26" s="152" t="str">
        <f t="shared" si="4"/>
        <v>--</v>
      </c>
      <c r="P26" s="151" t="str">
        <f t="shared" si="5"/>
        <v>NO</v>
      </c>
      <c r="Q26" s="289">
        <f t="shared" si="6"/>
        <v>2</v>
      </c>
      <c r="R26" s="290">
        <f t="shared" si="7"/>
        <v>1592.448</v>
      </c>
      <c r="S26" s="291" t="str">
        <f t="shared" si="8"/>
        <v>--</v>
      </c>
      <c r="T26" s="292" t="str">
        <f t="shared" si="9"/>
        <v>--</v>
      </c>
      <c r="U26" s="293" t="str">
        <f t="shared" si="10"/>
        <v>--</v>
      </c>
      <c r="V26" s="294" t="str">
        <f t="shared" si="11"/>
        <v>--</v>
      </c>
      <c r="W26" s="295" t="str">
        <f t="shared" si="12"/>
        <v>--</v>
      </c>
      <c r="X26" s="296" t="str">
        <f t="shared" si="13"/>
        <v>--</v>
      </c>
      <c r="Y26" s="297" t="str">
        <f t="shared" si="14"/>
        <v>--</v>
      </c>
      <c r="Z26" s="298" t="s">
        <v>197</v>
      </c>
      <c r="AA26" s="16">
        <f t="shared" si="15"/>
        <v>1592.448</v>
      </c>
      <c r="AB26" s="17"/>
    </row>
    <row r="27" spans="1:28" s="5" customFormat="1" ht="16.5" customHeight="1">
      <c r="A27" s="88"/>
      <c r="B27" s="93"/>
      <c r="C27" s="270">
        <v>25</v>
      </c>
      <c r="D27" s="147" t="s">
        <v>240</v>
      </c>
      <c r="E27" s="284" t="s">
        <v>241</v>
      </c>
      <c r="F27" s="285">
        <v>300</v>
      </c>
      <c r="G27" s="286" t="s">
        <v>242</v>
      </c>
      <c r="H27" s="287">
        <f t="shared" si="0"/>
        <v>95.7</v>
      </c>
      <c r="I27" s="154">
        <v>39673.353472222225</v>
      </c>
      <c r="J27" s="154">
        <v>39673.68541666667</v>
      </c>
      <c r="K27" s="288">
        <f t="shared" si="1"/>
        <v>7.96666666661622</v>
      </c>
      <c r="L27" s="14">
        <f t="shared" si="2"/>
        <v>478</v>
      </c>
      <c r="M27" s="155" t="s">
        <v>200</v>
      </c>
      <c r="N27" s="217" t="str">
        <f t="shared" si="3"/>
        <v>--</v>
      </c>
      <c r="O27" s="152" t="str">
        <f t="shared" si="4"/>
        <v>--</v>
      </c>
      <c r="P27" s="151" t="str">
        <f t="shared" si="5"/>
        <v>NO</v>
      </c>
      <c r="Q27" s="289">
        <f t="shared" si="6"/>
        <v>2</v>
      </c>
      <c r="R27" s="290">
        <f t="shared" si="7"/>
        <v>1525.458</v>
      </c>
      <c r="S27" s="291" t="str">
        <f t="shared" si="8"/>
        <v>--</v>
      </c>
      <c r="T27" s="292" t="str">
        <f t="shared" si="9"/>
        <v>--</v>
      </c>
      <c r="U27" s="293" t="str">
        <f t="shared" si="10"/>
        <v>--</v>
      </c>
      <c r="V27" s="294" t="str">
        <f t="shared" si="11"/>
        <v>--</v>
      </c>
      <c r="W27" s="295" t="str">
        <f t="shared" si="12"/>
        <v>--</v>
      </c>
      <c r="X27" s="296" t="str">
        <f t="shared" si="13"/>
        <v>--</v>
      </c>
      <c r="Y27" s="297" t="str">
        <f t="shared" si="14"/>
        <v>--</v>
      </c>
      <c r="Z27" s="298" t="s">
        <v>197</v>
      </c>
      <c r="AA27" s="16">
        <f t="shared" si="15"/>
        <v>1525.458</v>
      </c>
      <c r="AB27" s="17"/>
    </row>
    <row r="28" spans="1:29" s="5" customFormat="1" ht="16.5" customHeight="1">
      <c r="A28" s="88"/>
      <c r="B28" s="93"/>
      <c r="C28" s="153">
        <v>26</v>
      </c>
      <c r="D28" s="147" t="s">
        <v>240</v>
      </c>
      <c r="E28" s="284" t="s">
        <v>241</v>
      </c>
      <c r="F28" s="285">
        <v>300</v>
      </c>
      <c r="G28" s="286" t="s">
        <v>242</v>
      </c>
      <c r="H28" s="287">
        <f t="shared" si="0"/>
        <v>95.7</v>
      </c>
      <c r="I28" s="154">
        <v>39674.36111111111</v>
      </c>
      <c r="J28" s="154">
        <v>39674.69513888889</v>
      </c>
      <c r="K28" s="288">
        <f t="shared" si="1"/>
        <v>8.016666666779201</v>
      </c>
      <c r="L28" s="14">
        <f t="shared" si="2"/>
        <v>481</v>
      </c>
      <c r="M28" s="155" t="s">
        <v>200</v>
      </c>
      <c r="N28" s="217" t="str">
        <f t="shared" si="3"/>
        <v>--</v>
      </c>
      <c r="O28" s="152" t="str">
        <f t="shared" si="4"/>
        <v>--</v>
      </c>
      <c r="P28" s="151" t="str">
        <f t="shared" si="5"/>
        <v>NO</v>
      </c>
      <c r="Q28" s="289">
        <f t="shared" si="6"/>
        <v>2</v>
      </c>
      <c r="R28" s="290">
        <f t="shared" si="7"/>
        <v>1535.028</v>
      </c>
      <c r="S28" s="291" t="str">
        <f t="shared" si="8"/>
        <v>--</v>
      </c>
      <c r="T28" s="292" t="str">
        <f t="shared" si="9"/>
        <v>--</v>
      </c>
      <c r="U28" s="293" t="str">
        <f t="shared" si="10"/>
        <v>--</v>
      </c>
      <c r="V28" s="294" t="str">
        <f t="shared" si="11"/>
        <v>--</v>
      </c>
      <c r="W28" s="295" t="str">
        <f t="shared" si="12"/>
        <v>--</v>
      </c>
      <c r="X28" s="296" t="str">
        <f t="shared" si="13"/>
        <v>--</v>
      </c>
      <c r="Y28" s="297" t="str">
        <f t="shared" si="14"/>
        <v>--</v>
      </c>
      <c r="Z28" s="298" t="s">
        <v>197</v>
      </c>
      <c r="AA28" s="16">
        <f t="shared" si="15"/>
        <v>1535.028</v>
      </c>
      <c r="AB28" s="17"/>
      <c r="AC28" s="15"/>
    </row>
    <row r="29" spans="1:28" s="5" customFormat="1" ht="16.5" customHeight="1">
      <c r="A29" s="88"/>
      <c r="B29" s="93"/>
      <c r="C29" s="270">
        <v>27</v>
      </c>
      <c r="D29" s="147" t="s">
        <v>240</v>
      </c>
      <c r="E29" s="284" t="s">
        <v>241</v>
      </c>
      <c r="F29" s="285">
        <v>300</v>
      </c>
      <c r="G29" s="286" t="s">
        <v>242</v>
      </c>
      <c r="H29" s="287">
        <f t="shared" si="0"/>
        <v>95.7</v>
      </c>
      <c r="I29" s="154">
        <v>39675.365277777775</v>
      </c>
      <c r="J29" s="154">
        <v>39675.55138888889</v>
      </c>
      <c r="K29" s="288">
        <f t="shared" si="1"/>
        <v>4.466666666732635</v>
      </c>
      <c r="L29" s="14">
        <f t="shared" si="2"/>
        <v>268</v>
      </c>
      <c r="M29" s="155" t="s">
        <v>200</v>
      </c>
      <c r="N29" s="217" t="str">
        <f t="shared" si="3"/>
        <v>--</v>
      </c>
      <c r="O29" s="152" t="str">
        <f t="shared" si="4"/>
        <v>--</v>
      </c>
      <c r="P29" s="151" t="str">
        <f t="shared" si="5"/>
        <v>NO</v>
      </c>
      <c r="Q29" s="289">
        <f t="shared" si="6"/>
        <v>2</v>
      </c>
      <c r="R29" s="290">
        <f t="shared" si="7"/>
        <v>855.558</v>
      </c>
      <c r="S29" s="291" t="str">
        <f t="shared" si="8"/>
        <v>--</v>
      </c>
      <c r="T29" s="292" t="str">
        <f t="shared" si="9"/>
        <v>--</v>
      </c>
      <c r="U29" s="293" t="str">
        <f t="shared" si="10"/>
        <v>--</v>
      </c>
      <c r="V29" s="294" t="str">
        <f t="shared" si="11"/>
        <v>--</v>
      </c>
      <c r="W29" s="295" t="str">
        <f t="shared" si="12"/>
        <v>--</v>
      </c>
      <c r="X29" s="296" t="str">
        <f t="shared" si="13"/>
        <v>--</v>
      </c>
      <c r="Y29" s="297" t="str">
        <f t="shared" si="14"/>
        <v>--</v>
      </c>
      <c r="Z29" s="298" t="s">
        <v>197</v>
      </c>
      <c r="AA29" s="16">
        <f t="shared" si="15"/>
        <v>855.558</v>
      </c>
      <c r="AB29" s="17"/>
    </row>
    <row r="30" spans="1:28" s="5" customFormat="1" ht="16.5" customHeight="1">
      <c r="A30" s="88"/>
      <c r="B30" s="93"/>
      <c r="C30" s="153">
        <v>28</v>
      </c>
      <c r="D30" s="147" t="s">
        <v>243</v>
      </c>
      <c r="E30" s="284" t="s">
        <v>241</v>
      </c>
      <c r="F30" s="285">
        <v>800</v>
      </c>
      <c r="G30" s="286" t="s">
        <v>244</v>
      </c>
      <c r="H30" s="287">
        <f t="shared" si="0"/>
        <v>255.20000000000002</v>
      </c>
      <c r="I30" s="154">
        <v>39676.33541666667</v>
      </c>
      <c r="J30" s="154">
        <v>39679.75833333333</v>
      </c>
      <c r="K30" s="288">
        <f t="shared" si="1"/>
        <v>82.14999999990687</v>
      </c>
      <c r="L30" s="14">
        <f t="shared" si="2"/>
        <v>4929</v>
      </c>
      <c r="M30" s="155" t="s">
        <v>200</v>
      </c>
      <c r="N30" s="217" t="str">
        <f t="shared" si="3"/>
        <v>--</v>
      </c>
      <c r="O30" s="152" t="str">
        <f t="shared" si="4"/>
        <v>--</v>
      </c>
      <c r="P30" s="151" t="str">
        <f t="shared" si="5"/>
        <v>NO</v>
      </c>
      <c r="Q30" s="289">
        <f t="shared" si="6"/>
        <v>2</v>
      </c>
      <c r="R30" s="290">
        <f t="shared" si="7"/>
        <v>41929.36000000001</v>
      </c>
      <c r="S30" s="291" t="str">
        <f t="shared" si="8"/>
        <v>--</v>
      </c>
      <c r="T30" s="292" t="str">
        <f t="shared" si="9"/>
        <v>--</v>
      </c>
      <c r="U30" s="293" t="str">
        <f t="shared" si="10"/>
        <v>--</v>
      </c>
      <c r="V30" s="294" t="str">
        <f t="shared" si="11"/>
        <v>--</v>
      </c>
      <c r="W30" s="295" t="str">
        <f t="shared" si="12"/>
        <v>--</v>
      </c>
      <c r="X30" s="296" t="str">
        <f t="shared" si="13"/>
        <v>--</v>
      </c>
      <c r="Y30" s="297" t="str">
        <f t="shared" si="14"/>
        <v>--</v>
      </c>
      <c r="Z30" s="298" t="s">
        <v>197</v>
      </c>
      <c r="AA30" s="16">
        <f t="shared" si="15"/>
        <v>41929.36000000001</v>
      </c>
      <c r="AB30" s="17"/>
    </row>
    <row r="31" spans="1:28" s="5" customFormat="1" ht="16.5" customHeight="1">
      <c r="A31" s="88"/>
      <c r="B31" s="93"/>
      <c r="C31" s="270">
        <v>29</v>
      </c>
      <c r="D31" s="147" t="s">
        <v>245</v>
      </c>
      <c r="E31" s="284" t="s">
        <v>246</v>
      </c>
      <c r="F31" s="285">
        <v>150</v>
      </c>
      <c r="G31" s="286" t="s">
        <v>236</v>
      </c>
      <c r="H31" s="287">
        <f t="shared" si="0"/>
        <v>47.85</v>
      </c>
      <c r="I31" s="154">
        <v>39678.22430555556</v>
      </c>
      <c r="J31" s="154">
        <v>39678.22638888889</v>
      </c>
      <c r="K31" s="288">
        <f t="shared" si="1"/>
        <v>0.04999999998835847</v>
      </c>
      <c r="L31" s="14">
        <f t="shared" si="2"/>
        <v>3</v>
      </c>
      <c r="M31" s="155" t="s">
        <v>224</v>
      </c>
      <c r="N31" s="217" t="str">
        <f t="shared" si="3"/>
        <v>--</v>
      </c>
      <c r="O31" s="152" t="str">
        <f t="shared" si="4"/>
        <v>NO</v>
      </c>
      <c r="P31" s="151" t="str">
        <f t="shared" si="5"/>
        <v>NO</v>
      </c>
      <c r="Q31" s="289">
        <f t="shared" si="6"/>
        <v>20</v>
      </c>
      <c r="R31" s="290" t="str">
        <f t="shared" si="7"/>
        <v>--</v>
      </c>
      <c r="S31" s="291" t="str">
        <f t="shared" si="8"/>
        <v>--</v>
      </c>
      <c r="T31" s="292">
        <f t="shared" si="9"/>
        <v>957</v>
      </c>
      <c r="U31" s="293">
        <f t="shared" si="10"/>
        <v>47.85</v>
      </c>
      <c r="V31" s="294" t="str">
        <f t="shared" si="11"/>
        <v>--</v>
      </c>
      <c r="W31" s="295" t="str">
        <f t="shared" si="12"/>
        <v>--</v>
      </c>
      <c r="X31" s="296" t="str">
        <f t="shared" si="13"/>
        <v>--</v>
      </c>
      <c r="Y31" s="297" t="str">
        <f t="shared" si="14"/>
        <v>--</v>
      </c>
      <c r="Z31" s="298" t="s">
        <v>197</v>
      </c>
      <c r="AA31" s="16">
        <f t="shared" si="15"/>
        <v>1004.85</v>
      </c>
      <c r="AB31" s="17"/>
    </row>
    <row r="32" spans="1:28" s="5" customFormat="1" ht="16.5" customHeight="1">
      <c r="A32" s="88"/>
      <c r="B32" s="93"/>
      <c r="C32" s="153">
        <v>30</v>
      </c>
      <c r="D32" s="147" t="s">
        <v>245</v>
      </c>
      <c r="E32" s="300" t="s">
        <v>241</v>
      </c>
      <c r="F32" s="285">
        <v>150</v>
      </c>
      <c r="G32" s="286" t="s">
        <v>236</v>
      </c>
      <c r="H32" s="287">
        <f t="shared" si="0"/>
        <v>47.85</v>
      </c>
      <c r="I32" s="154">
        <v>39678.22430555556</v>
      </c>
      <c r="J32" s="154">
        <v>39678.424305555556</v>
      </c>
      <c r="K32" s="288">
        <f t="shared" si="1"/>
        <v>4.799999999930151</v>
      </c>
      <c r="L32" s="14">
        <f t="shared" si="2"/>
        <v>288</v>
      </c>
      <c r="M32" s="155" t="s">
        <v>224</v>
      </c>
      <c r="N32" s="217" t="str">
        <f t="shared" si="3"/>
        <v>--</v>
      </c>
      <c r="O32" s="151" t="s">
        <v>197</v>
      </c>
      <c r="P32" s="151" t="str">
        <f t="shared" si="5"/>
        <v>NO</v>
      </c>
      <c r="Q32" s="289">
        <f t="shared" si="6"/>
        <v>20</v>
      </c>
      <c r="R32" s="290" t="str">
        <f t="shared" si="7"/>
        <v>--</v>
      </c>
      <c r="S32" s="291" t="str">
        <f t="shared" si="8"/>
        <v>--</v>
      </c>
      <c r="T32" s="292" t="str">
        <f t="shared" si="9"/>
        <v>--</v>
      </c>
      <c r="U32" s="293">
        <f t="shared" si="10"/>
        <v>4593.599999999999</v>
      </c>
      <c r="V32" s="294" t="str">
        <f t="shared" si="11"/>
        <v>--</v>
      </c>
      <c r="W32" s="295" t="str">
        <f t="shared" si="12"/>
        <v>--</v>
      </c>
      <c r="X32" s="296" t="str">
        <f t="shared" si="13"/>
        <v>--</v>
      </c>
      <c r="Y32" s="297" t="str">
        <f t="shared" si="14"/>
        <v>--</v>
      </c>
      <c r="Z32" s="298" t="s">
        <v>197</v>
      </c>
      <c r="AA32" s="16">
        <f t="shared" si="15"/>
        <v>4593.599999999999</v>
      </c>
      <c r="AB32" s="17"/>
    </row>
    <row r="33" spans="1:28" s="5" customFormat="1" ht="16.5" customHeight="1">
      <c r="A33" s="88"/>
      <c r="B33" s="93"/>
      <c r="C33" s="270">
        <v>31</v>
      </c>
      <c r="D33" s="147" t="s">
        <v>245</v>
      </c>
      <c r="E33" s="300" t="s">
        <v>241</v>
      </c>
      <c r="F33" s="285">
        <v>150</v>
      </c>
      <c r="G33" s="286" t="s">
        <v>236</v>
      </c>
      <c r="H33" s="287">
        <f t="shared" si="0"/>
        <v>47.85</v>
      </c>
      <c r="I33" s="154">
        <v>39679.385416666664</v>
      </c>
      <c r="J33" s="154">
        <v>39679.38680555556</v>
      </c>
      <c r="K33" s="288">
        <f t="shared" si="1"/>
        <v>0.033333333441987634</v>
      </c>
      <c r="L33" s="14">
        <f t="shared" si="2"/>
        <v>2</v>
      </c>
      <c r="M33" s="155" t="s">
        <v>200</v>
      </c>
      <c r="N33" s="217" t="str">
        <f t="shared" si="3"/>
        <v>--</v>
      </c>
      <c r="O33" s="152" t="str">
        <f t="shared" si="4"/>
        <v>--</v>
      </c>
      <c r="P33" s="151" t="str">
        <f t="shared" si="5"/>
        <v>NO</v>
      </c>
      <c r="Q33" s="289">
        <f t="shared" si="6"/>
        <v>2</v>
      </c>
      <c r="R33" s="290">
        <f t="shared" si="7"/>
        <v>2.871</v>
      </c>
      <c r="S33" s="291" t="str">
        <f t="shared" si="8"/>
        <v>--</v>
      </c>
      <c r="T33" s="292" t="str">
        <f t="shared" si="9"/>
        <v>--</v>
      </c>
      <c r="U33" s="293" t="str">
        <f t="shared" si="10"/>
        <v>--</v>
      </c>
      <c r="V33" s="294" t="str">
        <f t="shared" si="11"/>
        <v>--</v>
      </c>
      <c r="W33" s="295" t="str">
        <f t="shared" si="12"/>
        <v>--</v>
      </c>
      <c r="X33" s="296" t="str">
        <f t="shared" si="13"/>
        <v>--</v>
      </c>
      <c r="Y33" s="297" t="str">
        <f t="shared" si="14"/>
        <v>--</v>
      </c>
      <c r="Z33" s="298" t="s">
        <v>197</v>
      </c>
      <c r="AA33" s="16">
        <f t="shared" si="15"/>
        <v>2.871</v>
      </c>
      <c r="AB33" s="17"/>
    </row>
    <row r="34" spans="1:28" s="5" customFormat="1" ht="16.5" customHeight="1">
      <c r="A34" s="88"/>
      <c r="B34" s="93"/>
      <c r="C34" s="153">
        <v>32</v>
      </c>
      <c r="D34" s="147" t="s">
        <v>245</v>
      </c>
      <c r="E34" s="300" t="s">
        <v>241</v>
      </c>
      <c r="F34" s="285">
        <v>150</v>
      </c>
      <c r="G34" s="286" t="s">
        <v>236</v>
      </c>
      <c r="H34" s="287">
        <f t="shared" si="0"/>
        <v>47.85</v>
      </c>
      <c r="I34" s="154">
        <v>39680.37569444445</v>
      </c>
      <c r="J34" s="154">
        <v>39680.68263888889</v>
      </c>
      <c r="K34" s="288">
        <f t="shared" si="1"/>
        <v>7.366666666581295</v>
      </c>
      <c r="L34" s="14">
        <f t="shared" si="2"/>
        <v>442</v>
      </c>
      <c r="M34" s="155" t="s">
        <v>200</v>
      </c>
      <c r="N34" s="217" t="str">
        <f t="shared" si="3"/>
        <v>--</v>
      </c>
      <c r="O34" s="152" t="str">
        <f t="shared" si="4"/>
        <v>--</v>
      </c>
      <c r="P34" s="151" t="str">
        <f t="shared" si="5"/>
        <v>NO</v>
      </c>
      <c r="Q34" s="289">
        <f t="shared" si="6"/>
        <v>2</v>
      </c>
      <c r="R34" s="290">
        <f t="shared" si="7"/>
        <v>705.3090000000001</v>
      </c>
      <c r="S34" s="291" t="str">
        <f t="shared" si="8"/>
        <v>--</v>
      </c>
      <c r="T34" s="292" t="str">
        <f t="shared" si="9"/>
        <v>--</v>
      </c>
      <c r="U34" s="293" t="str">
        <f t="shared" si="10"/>
        <v>--</v>
      </c>
      <c r="V34" s="294" t="str">
        <f t="shared" si="11"/>
        <v>--</v>
      </c>
      <c r="W34" s="295" t="str">
        <f t="shared" si="12"/>
        <v>--</v>
      </c>
      <c r="X34" s="296" t="str">
        <f t="shared" si="13"/>
        <v>--</v>
      </c>
      <c r="Y34" s="297" t="str">
        <f t="shared" si="14"/>
        <v>--</v>
      </c>
      <c r="Z34" s="298" t="s">
        <v>197</v>
      </c>
      <c r="AA34" s="16">
        <f t="shared" si="15"/>
        <v>705.3090000000001</v>
      </c>
      <c r="AB34" s="17"/>
    </row>
    <row r="35" spans="1:28" s="5" customFormat="1" ht="16.5" customHeight="1">
      <c r="A35" s="88"/>
      <c r="B35" s="93"/>
      <c r="C35" s="270">
        <v>33</v>
      </c>
      <c r="D35" s="147" t="s">
        <v>247</v>
      </c>
      <c r="E35" s="300" t="s">
        <v>246</v>
      </c>
      <c r="F35" s="285">
        <v>300</v>
      </c>
      <c r="G35" s="286" t="s">
        <v>101</v>
      </c>
      <c r="H35" s="287">
        <f t="shared" si="0"/>
        <v>95.7</v>
      </c>
      <c r="I35" s="154">
        <v>39681.52222222222</v>
      </c>
      <c r="J35" s="154">
        <v>39681.558333333334</v>
      </c>
      <c r="K35" s="288">
        <f t="shared" si="1"/>
        <v>0.8666666666977108</v>
      </c>
      <c r="L35" s="14">
        <f t="shared" si="2"/>
        <v>52</v>
      </c>
      <c r="M35" s="155" t="s">
        <v>224</v>
      </c>
      <c r="N35" s="217" t="str">
        <f t="shared" si="3"/>
        <v>--</v>
      </c>
      <c r="O35" s="151" t="s">
        <v>197</v>
      </c>
      <c r="P35" s="151" t="str">
        <f t="shared" si="5"/>
        <v>NO</v>
      </c>
      <c r="Q35" s="289">
        <f t="shared" si="6"/>
        <v>20</v>
      </c>
      <c r="R35" s="290" t="str">
        <f t="shared" si="7"/>
        <v>--</v>
      </c>
      <c r="S35" s="291" t="str">
        <f t="shared" si="8"/>
        <v>--</v>
      </c>
      <c r="T35" s="292" t="str">
        <f t="shared" si="9"/>
        <v>--</v>
      </c>
      <c r="U35" s="293">
        <f t="shared" si="10"/>
        <v>1665.18</v>
      </c>
      <c r="V35" s="294" t="str">
        <f t="shared" si="11"/>
        <v>--</v>
      </c>
      <c r="W35" s="295" t="str">
        <f t="shared" si="12"/>
        <v>--</v>
      </c>
      <c r="X35" s="296" t="str">
        <f t="shared" si="13"/>
        <v>--</v>
      </c>
      <c r="Y35" s="297" t="str">
        <f t="shared" si="14"/>
        <v>--</v>
      </c>
      <c r="Z35" s="298" t="s">
        <v>197</v>
      </c>
      <c r="AA35" s="16">
        <f t="shared" si="15"/>
        <v>1665.18</v>
      </c>
      <c r="AB35" s="17"/>
    </row>
    <row r="36" spans="1:28" s="5" customFormat="1" ht="16.5" customHeight="1">
      <c r="A36" s="88"/>
      <c r="B36" s="93"/>
      <c r="C36" s="153">
        <v>34</v>
      </c>
      <c r="D36" s="147" t="s">
        <v>248</v>
      </c>
      <c r="E36" s="300" t="s">
        <v>249</v>
      </c>
      <c r="F36" s="285">
        <v>100</v>
      </c>
      <c r="G36" s="286" t="s">
        <v>101</v>
      </c>
      <c r="H36" s="287">
        <f t="shared" si="0"/>
        <v>31.900000000000002</v>
      </c>
      <c r="I36" s="154">
        <v>39684.365277777775</v>
      </c>
      <c r="J36" s="154">
        <v>39684.427777777775</v>
      </c>
      <c r="K36" s="288">
        <f t="shared" si="1"/>
        <v>1.5</v>
      </c>
      <c r="L36" s="14">
        <f t="shared" si="2"/>
        <v>90</v>
      </c>
      <c r="M36" s="155" t="s">
        <v>224</v>
      </c>
      <c r="N36" s="217" t="str">
        <f t="shared" si="3"/>
        <v>--</v>
      </c>
      <c r="O36" s="152" t="str">
        <f t="shared" si="4"/>
        <v>NO</v>
      </c>
      <c r="P36" s="151" t="str">
        <f t="shared" si="5"/>
        <v>NO</v>
      </c>
      <c r="Q36" s="289">
        <f t="shared" si="6"/>
        <v>20</v>
      </c>
      <c r="R36" s="290" t="str">
        <f t="shared" si="7"/>
        <v>--</v>
      </c>
      <c r="S36" s="291" t="str">
        <f t="shared" si="8"/>
        <v>--</v>
      </c>
      <c r="T36" s="292">
        <f t="shared" si="9"/>
        <v>638</v>
      </c>
      <c r="U36" s="293">
        <f t="shared" si="10"/>
        <v>957</v>
      </c>
      <c r="V36" s="294" t="str">
        <f t="shared" si="11"/>
        <v>--</v>
      </c>
      <c r="W36" s="295" t="str">
        <f t="shared" si="12"/>
        <v>--</v>
      </c>
      <c r="X36" s="296" t="str">
        <f t="shared" si="13"/>
        <v>--</v>
      </c>
      <c r="Y36" s="297" t="str">
        <f t="shared" si="14"/>
        <v>--</v>
      </c>
      <c r="Z36" s="298" t="s">
        <v>197</v>
      </c>
      <c r="AA36" s="16">
        <f t="shared" si="15"/>
        <v>1595</v>
      </c>
      <c r="AB36" s="17"/>
    </row>
    <row r="37" spans="1:28" s="5" customFormat="1" ht="16.5" customHeight="1">
      <c r="A37" s="88"/>
      <c r="B37" s="93"/>
      <c r="C37" s="270">
        <v>35</v>
      </c>
      <c r="D37" s="147" t="s">
        <v>248</v>
      </c>
      <c r="E37" s="300" t="s">
        <v>250</v>
      </c>
      <c r="F37" s="285">
        <v>300</v>
      </c>
      <c r="G37" s="286" t="s">
        <v>251</v>
      </c>
      <c r="H37" s="287">
        <f t="shared" si="0"/>
        <v>95.7</v>
      </c>
      <c r="I37" s="154">
        <v>39684.38958333333</v>
      </c>
      <c r="J37" s="154">
        <v>39684.425</v>
      </c>
      <c r="K37" s="288">
        <f t="shared" si="1"/>
        <v>0.8500000001513399</v>
      </c>
      <c r="L37" s="14">
        <f t="shared" si="2"/>
        <v>51</v>
      </c>
      <c r="M37" s="155" t="s">
        <v>224</v>
      </c>
      <c r="N37" s="217" t="str">
        <f t="shared" si="3"/>
        <v>--</v>
      </c>
      <c r="O37" s="152" t="str">
        <f t="shared" si="4"/>
        <v>NO</v>
      </c>
      <c r="P37" s="151" t="str">
        <f t="shared" si="5"/>
        <v>NO</v>
      </c>
      <c r="Q37" s="289">
        <f t="shared" si="6"/>
        <v>20</v>
      </c>
      <c r="R37" s="290" t="str">
        <f t="shared" si="7"/>
        <v>--</v>
      </c>
      <c r="S37" s="291" t="str">
        <f t="shared" si="8"/>
        <v>--</v>
      </c>
      <c r="T37" s="292">
        <f t="shared" si="9"/>
        <v>1914</v>
      </c>
      <c r="U37" s="293">
        <f t="shared" si="10"/>
        <v>1626.8999999999999</v>
      </c>
      <c r="V37" s="294" t="str">
        <f t="shared" si="11"/>
        <v>--</v>
      </c>
      <c r="W37" s="295" t="str">
        <f t="shared" si="12"/>
        <v>--</v>
      </c>
      <c r="X37" s="296" t="str">
        <f t="shared" si="13"/>
        <v>--</v>
      </c>
      <c r="Y37" s="297" t="str">
        <f t="shared" si="14"/>
        <v>--</v>
      </c>
      <c r="Z37" s="298" t="s">
        <v>197</v>
      </c>
      <c r="AA37" s="16">
        <f t="shared" si="15"/>
        <v>3540.8999999999996</v>
      </c>
      <c r="AB37" s="17"/>
    </row>
    <row r="38" spans="1:28" s="5" customFormat="1" ht="16.5" customHeight="1">
      <c r="A38" s="88"/>
      <c r="B38" s="93"/>
      <c r="C38" s="153">
        <v>36</v>
      </c>
      <c r="D38" s="147" t="s">
        <v>245</v>
      </c>
      <c r="E38" s="300" t="s">
        <v>246</v>
      </c>
      <c r="F38" s="285">
        <v>150</v>
      </c>
      <c r="G38" s="286" t="s">
        <v>236</v>
      </c>
      <c r="H38" s="287">
        <f t="shared" si="0"/>
        <v>47.85</v>
      </c>
      <c r="I38" s="154">
        <v>39685.364583333336</v>
      </c>
      <c r="J38" s="154">
        <v>39685.49722222222</v>
      </c>
      <c r="K38" s="288">
        <f t="shared" si="1"/>
        <v>3.18333333323244</v>
      </c>
      <c r="L38" s="14">
        <f t="shared" si="2"/>
        <v>191</v>
      </c>
      <c r="M38" s="155" t="s">
        <v>200</v>
      </c>
      <c r="N38" s="217" t="str">
        <f t="shared" si="3"/>
        <v>--</v>
      </c>
      <c r="O38" s="152" t="str">
        <f t="shared" si="4"/>
        <v>--</v>
      </c>
      <c r="P38" s="151" t="str">
        <f t="shared" si="5"/>
        <v>NO</v>
      </c>
      <c r="Q38" s="289">
        <f t="shared" si="6"/>
        <v>2</v>
      </c>
      <c r="R38" s="290">
        <f t="shared" si="7"/>
        <v>304.326</v>
      </c>
      <c r="S38" s="291" t="str">
        <f t="shared" si="8"/>
        <v>--</v>
      </c>
      <c r="T38" s="292" t="str">
        <f t="shared" si="9"/>
        <v>--</v>
      </c>
      <c r="U38" s="293" t="str">
        <f t="shared" si="10"/>
        <v>--</v>
      </c>
      <c r="V38" s="294" t="str">
        <f t="shared" si="11"/>
        <v>--</v>
      </c>
      <c r="W38" s="295" t="str">
        <f t="shared" si="12"/>
        <v>--</v>
      </c>
      <c r="X38" s="296" t="str">
        <f t="shared" si="13"/>
        <v>--</v>
      </c>
      <c r="Y38" s="297" t="str">
        <f t="shared" si="14"/>
        <v>--</v>
      </c>
      <c r="Z38" s="298" t="s">
        <v>197</v>
      </c>
      <c r="AA38" s="16">
        <f t="shared" si="15"/>
        <v>304.326</v>
      </c>
      <c r="AB38" s="17"/>
    </row>
    <row r="39" spans="1:28" s="5" customFormat="1" ht="16.5" customHeight="1">
      <c r="A39" s="88"/>
      <c r="B39" s="93"/>
      <c r="C39" s="270">
        <v>37</v>
      </c>
      <c r="D39" s="147" t="s">
        <v>245</v>
      </c>
      <c r="E39" s="300" t="s">
        <v>241</v>
      </c>
      <c r="F39" s="285">
        <v>150</v>
      </c>
      <c r="G39" s="286" t="s">
        <v>236</v>
      </c>
      <c r="H39" s="287">
        <f t="shared" si="0"/>
        <v>47.85</v>
      </c>
      <c r="I39" s="154">
        <v>39689.38958333333</v>
      </c>
      <c r="J39" s="154">
        <v>39689.72222222222</v>
      </c>
      <c r="K39" s="288">
        <f t="shared" si="1"/>
        <v>7.983333333337214</v>
      </c>
      <c r="L39" s="14">
        <f t="shared" si="2"/>
        <v>479</v>
      </c>
      <c r="M39" s="155" t="s">
        <v>200</v>
      </c>
      <c r="N39" s="217" t="str">
        <f t="shared" si="3"/>
        <v>--</v>
      </c>
      <c r="O39" s="152" t="str">
        <f t="shared" si="4"/>
        <v>--</v>
      </c>
      <c r="P39" s="151" t="str">
        <f t="shared" si="5"/>
        <v>NO</v>
      </c>
      <c r="Q39" s="289">
        <f t="shared" si="6"/>
        <v>2</v>
      </c>
      <c r="R39" s="290">
        <f t="shared" si="7"/>
        <v>763.686</v>
      </c>
      <c r="S39" s="291" t="str">
        <f t="shared" si="8"/>
        <v>--</v>
      </c>
      <c r="T39" s="292" t="str">
        <f t="shared" si="9"/>
        <v>--</v>
      </c>
      <c r="U39" s="293" t="str">
        <f t="shared" si="10"/>
        <v>--</v>
      </c>
      <c r="V39" s="294" t="str">
        <f t="shared" si="11"/>
        <v>--</v>
      </c>
      <c r="W39" s="295" t="str">
        <f t="shared" si="12"/>
        <v>--</v>
      </c>
      <c r="X39" s="296" t="str">
        <f t="shared" si="13"/>
        <v>--</v>
      </c>
      <c r="Y39" s="297" t="str">
        <f t="shared" si="14"/>
        <v>--</v>
      </c>
      <c r="Z39" s="298" t="s">
        <v>197</v>
      </c>
      <c r="AA39" s="16">
        <f t="shared" si="15"/>
        <v>763.686</v>
      </c>
      <c r="AB39" s="17"/>
    </row>
    <row r="40" spans="1:28" s="5" customFormat="1" ht="16.5" customHeight="1">
      <c r="A40" s="88"/>
      <c r="B40" s="93"/>
      <c r="C40" s="153">
        <v>38</v>
      </c>
      <c r="D40" s="147" t="s">
        <v>243</v>
      </c>
      <c r="E40" s="300" t="s">
        <v>246</v>
      </c>
      <c r="F40" s="285">
        <v>800</v>
      </c>
      <c r="G40" s="286" t="s">
        <v>244</v>
      </c>
      <c r="H40" s="287">
        <f t="shared" si="0"/>
        <v>255.20000000000002</v>
      </c>
      <c r="I40" s="154">
        <v>39690.38333333333</v>
      </c>
      <c r="J40" s="154">
        <v>39691.99930555555</v>
      </c>
      <c r="K40" s="288">
        <f t="shared" si="1"/>
        <v>38.78333333332557</v>
      </c>
      <c r="L40" s="14">
        <f t="shared" si="2"/>
        <v>2327</v>
      </c>
      <c r="M40" s="155" t="s">
        <v>200</v>
      </c>
      <c r="N40" s="217" t="str">
        <f t="shared" si="3"/>
        <v>--</v>
      </c>
      <c r="O40" s="152" t="str">
        <f t="shared" si="4"/>
        <v>--</v>
      </c>
      <c r="P40" s="151" t="str">
        <f t="shared" si="5"/>
        <v>NO</v>
      </c>
      <c r="Q40" s="289">
        <f t="shared" si="6"/>
        <v>2</v>
      </c>
      <c r="R40" s="290">
        <f t="shared" si="7"/>
        <v>19793.312</v>
      </c>
      <c r="S40" s="291" t="str">
        <f t="shared" si="8"/>
        <v>--</v>
      </c>
      <c r="T40" s="292" t="str">
        <f t="shared" si="9"/>
        <v>--</v>
      </c>
      <c r="U40" s="293" t="str">
        <f t="shared" si="10"/>
        <v>--</v>
      </c>
      <c r="V40" s="294" t="str">
        <f t="shared" si="11"/>
        <v>--</v>
      </c>
      <c r="W40" s="295" t="str">
        <f t="shared" si="12"/>
        <v>--</v>
      </c>
      <c r="X40" s="296" t="str">
        <f t="shared" si="13"/>
        <v>--</v>
      </c>
      <c r="Y40" s="297" t="str">
        <f t="shared" si="14"/>
        <v>--</v>
      </c>
      <c r="Z40" s="298" t="s">
        <v>197</v>
      </c>
      <c r="AA40" s="16">
        <f t="shared" si="15"/>
        <v>19793.312</v>
      </c>
      <c r="AB40" s="17"/>
    </row>
    <row r="41" spans="1:28" s="5" customFormat="1" ht="16.5" customHeight="1">
      <c r="A41" s="88"/>
      <c r="B41" s="93"/>
      <c r="C41" s="270"/>
      <c r="D41" s="147"/>
      <c r="E41" s="300"/>
      <c r="F41" s="285"/>
      <c r="G41" s="286"/>
      <c r="H41" s="287">
        <f t="shared" si="0"/>
        <v>0</v>
      </c>
      <c r="I41" s="154"/>
      <c r="J41" s="154"/>
      <c r="K41" s="288">
        <f t="shared" si="1"/>
      </c>
      <c r="L41" s="14">
        <f t="shared" si="2"/>
      </c>
      <c r="M41" s="155"/>
      <c r="N41" s="217">
        <f t="shared" si="3"/>
      </c>
      <c r="O41" s="152">
        <f t="shared" si="4"/>
      </c>
      <c r="P41" s="151">
        <f t="shared" si="5"/>
      </c>
      <c r="Q41" s="289">
        <f t="shared" si="6"/>
        <v>20</v>
      </c>
      <c r="R41" s="290" t="str">
        <f t="shared" si="7"/>
        <v>--</v>
      </c>
      <c r="S41" s="291" t="str">
        <f t="shared" si="8"/>
        <v>--</v>
      </c>
      <c r="T41" s="292" t="str">
        <f t="shared" si="9"/>
        <v>--</v>
      </c>
      <c r="U41" s="293" t="str">
        <f t="shared" si="10"/>
        <v>--</v>
      </c>
      <c r="V41" s="294" t="str">
        <f t="shared" si="11"/>
        <v>--</v>
      </c>
      <c r="W41" s="295" t="str">
        <f t="shared" si="12"/>
        <v>--</v>
      </c>
      <c r="X41" s="296" t="str">
        <f t="shared" si="13"/>
        <v>--</v>
      </c>
      <c r="Y41" s="297" t="str">
        <f t="shared" si="14"/>
        <v>--</v>
      </c>
      <c r="Z41" s="298">
        <f>IF(D41="","","SI")</f>
      </c>
      <c r="AA41" s="16">
        <f t="shared" si="15"/>
      </c>
      <c r="AB41" s="17"/>
    </row>
    <row r="42" spans="1:28" s="5" customFormat="1" ht="16.5" customHeight="1" thickBot="1">
      <c r="A42" s="88"/>
      <c r="B42" s="93"/>
      <c r="C42" s="153"/>
      <c r="D42" s="301"/>
      <c r="E42" s="302"/>
      <c r="F42" s="301"/>
      <c r="G42" s="303"/>
      <c r="H42" s="130"/>
      <c r="I42" s="156"/>
      <c r="J42" s="304"/>
      <c r="K42" s="305"/>
      <c r="L42" s="306"/>
      <c r="M42" s="161"/>
      <c r="N42" s="189"/>
      <c r="O42" s="159"/>
      <c r="P42" s="161"/>
      <c r="Q42" s="307"/>
      <c r="R42" s="308"/>
      <c r="S42" s="309"/>
      <c r="T42" s="310"/>
      <c r="U42" s="311"/>
      <c r="V42" s="312"/>
      <c r="W42" s="313"/>
      <c r="X42" s="314"/>
      <c r="Y42" s="315"/>
      <c r="Z42" s="316"/>
      <c r="AA42" s="317"/>
      <c r="AB42" s="17"/>
    </row>
    <row r="43" spans="1:28" s="5" customFormat="1" ht="16.5" customHeight="1" thickBot="1" thickTop="1">
      <c r="A43" s="88"/>
      <c r="B43" s="93"/>
      <c r="C43" s="126" t="s">
        <v>23</v>
      </c>
      <c r="D43" s="127" t="s">
        <v>298</v>
      </c>
      <c r="E43" s="15"/>
      <c r="F43" s="15"/>
      <c r="G43" s="15"/>
      <c r="H43" s="15"/>
      <c r="I43" s="15"/>
      <c r="J43" s="97"/>
      <c r="K43" s="15"/>
      <c r="L43" s="15"/>
      <c r="M43" s="15"/>
      <c r="N43" s="15"/>
      <c r="O43" s="15"/>
      <c r="P43" s="15"/>
      <c r="Q43" s="15"/>
      <c r="R43" s="318">
        <f aca="true" t="shared" si="16" ref="R43:Y43">SUM(R20:R42)</f>
        <v>80051.13600000001</v>
      </c>
      <c r="S43" s="319">
        <f t="shared" si="16"/>
        <v>0</v>
      </c>
      <c r="T43" s="320">
        <f t="shared" si="16"/>
        <v>3509</v>
      </c>
      <c r="U43" s="321">
        <f t="shared" si="16"/>
        <v>10038.929999999998</v>
      </c>
      <c r="V43" s="322">
        <f t="shared" si="16"/>
        <v>0</v>
      </c>
      <c r="W43" s="323">
        <f t="shared" si="16"/>
        <v>0</v>
      </c>
      <c r="X43" s="324">
        <f t="shared" si="16"/>
        <v>0</v>
      </c>
      <c r="Y43" s="325">
        <f t="shared" si="16"/>
        <v>0</v>
      </c>
      <c r="Z43" s="88"/>
      <c r="AA43" s="326">
        <f>ROUND(SUM(AA20:AA42),2)</f>
        <v>93599.07</v>
      </c>
      <c r="AB43" s="17"/>
    </row>
    <row r="44" spans="1:28" s="5" customFormat="1" ht="16.5" customHeight="1" thickBot="1" thickTop="1">
      <c r="A44" s="88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2"/>
    </row>
    <row r="45" spans="1:29" ht="16.5" customHeight="1" thickTop="1">
      <c r="A45" s="2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</row>
    <row r="46" spans="1:29" ht="16.5" customHeight="1">
      <c r="A46" s="2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</row>
    <row r="47" spans="1:29" ht="16.5" customHeight="1">
      <c r="A47" s="2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</row>
    <row r="48" spans="1:29" ht="16.5" customHeight="1">
      <c r="A48" s="2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</row>
    <row r="49" spans="4:29" ht="16.5" customHeight="1"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</row>
    <row r="50" spans="4:29" ht="16.5" customHeight="1"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</row>
    <row r="51" spans="4:29" ht="16.5" customHeight="1"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</row>
    <row r="52" spans="4:29" ht="16.5" customHeight="1"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</row>
    <row r="53" spans="4:29" ht="16.5" customHeight="1"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</row>
    <row r="54" spans="4:29" ht="16.5" customHeight="1"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</row>
    <row r="55" spans="4:29" ht="16.5" customHeight="1"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</row>
    <row r="56" spans="4:29" ht="16.5" customHeight="1"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</row>
    <row r="57" spans="4:29" ht="16.5" customHeight="1"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</row>
    <row r="58" spans="4:29" ht="16.5" customHeight="1"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</row>
    <row r="59" spans="4:29" ht="16.5" customHeight="1"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</row>
    <row r="60" spans="4:29" ht="16.5" customHeight="1"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</row>
    <row r="61" spans="4:29" ht="16.5" customHeight="1"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</row>
    <row r="62" spans="4:29" ht="16.5" customHeight="1"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</row>
    <row r="63" spans="4:29" ht="16.5" customHeight="1"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</row>
    <row r="64" spans="4:29" ht="16.5" customHeight="1"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</row>
    <row r="65" spans="4:29" ht="16.5" customHeight="1"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</row>
    <row r="66" spans="4:29" ht="16.5" customHeight="1"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</row>
    <row r="67" spans="4:29" ht="16.5" customHeight="1"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</row>
    <row r="68" spans="4:29" ht="16.5" customHeight="1"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</row>
    <row r="69" spans="4:29" ht="16.5" customHeight="1"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</row>
    <row r="70" spans="4:29" ht="16.5" customHeight="1"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</row>
    <row r="71" spans="4:29" ht="16.5" customHeight="1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</row>
    <row r="72" spans="4:29" ht="16.5" customHeight="1"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</row>
    <row r="73" spans="4:29" ht="16.5" customHeight="1"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</row>
    <row r="74" spans="4:29" ht="16.5" customHeight="1"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</row>
    <row r="75" spans="4:29" ht="16.5" customHeight="1"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</row>
    <row r="76" spans="4:29" ht="16.5" customHeight="1"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</row>
    <row r="77" spans="4:29" ht="16.5" customHeight="1"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</row>
    <row r="78" spans="4:29" ht="16.5" customHeight="1"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</row>
    <row r="79" spans="4:29" ht="16.5" customHeight="1"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</row>
    <row r="80" spans="4:29" ht="16.5" customHeight="1"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</row>
    <row r="81" spans="4:29" ht="16.5" customHeight="1"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</row>
    <row r="82" spans="4:29" ht="16.5" customHeight="1"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</row>
    <row r="83" spans="4:29" ht="16.5" customHeight="1"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</row>
    <row r="84" spans="4:29" ht="16.5" customHeight="1"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</row>
    <row r="85" spans="4:29" ht="16.5" customHeight="1"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</row>
    <row r="86" spans="4:29" ht="16.5" customHeight="1"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</row>
    <row r="87" spans="4:29" ht="16.5" customHeight="1"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</row>
    <row r="88" spans="4:29" ht="16.5" customHeight="1"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</row>
    <row r="89" spans="4:29" ht="16.5" customHeight="1"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</row>
    <row r="90" spans="4:29" ht="16.5" customHeight="1"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</row>
    <row r="91" spans="4:29" ht="16.5" customHeight="1"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</row>
    <row r="92" spans="4:29" ht="16.5" customHeight="1"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</row>
    <row r="93" spans="4:29" ht="16.5" customHeight="1"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</row>
    <row r="94" spans="4:29" ht="16.5" customHeight="1"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</row>
    <row r="95" spans="4:29" ht="16.5" customHeight="1"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</row>
    <row r="96" spans="4:29" ht="16.5" customHeight="1"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</row>
    <row r="97" spans="4:29" ht="16.5" customHeight="1"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</row>
    <row r="98" spans="4:29" ht="16.5" customHeight="1"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</row>
    <row r="99" spans="4:29" ht="16.5" customHeight="1"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</row>
    <row r="100" spans="4:29" ht="16.5" customHeight="1"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</row>
    <row r="101" spans="4:29" ht="16.5" customHeight="1"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</row>
    <row r="102" spans="4:29" ht="16.5" customHeight="1"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</row>
    <row r="103" spans="4:29" ht="16.5" customHeight="1"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</row>
    <row r="104" spans="4:29" ht="16.5" customHeight="1"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</row>
    <row r="105" spans="4:29" ht="16.5" customHeight="1"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</row>
    <row r="106" spans="4:29" ht="16.5" customHeight="1"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</row>
    <row r="107" spans="4:29" ht="16.5" customHeight="1"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</row>
    <row r="108" spans="4:29" ht="16.5" customHeight="1"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</row>
    <row r="109" spans="4:29" ht="16.5" customHeight="1"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</row>
    <row r="110" spans="4:29" ht="16.5" customHeight="1"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</row>
    <row r="111" spans="4:29" ht="16.5" customHeight="1"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</row>
    <row r="112" spans="4:29" ht="16.5" customHeight="1"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</row>
    <row r="113" spans="4:29" ht="16.5" customHeight="1"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</row>
    <row r="114" spans="4:29" ht="16.5" customHeight="1"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</row>
    <row r="115" spans="4:29" ht="16.5" customHeight="1"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</row>
    <row r="116" spans="4:29" ht="16.5" customHeight="1"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</row>
    <row r="117" spans="4:29" ht="16.5" customHeight="1"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</row>
    <row r="118" spans="4:29" ht="16.5" customHeight="1"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</row>
    <row r="119" spans="4:29" ht="16.5" customHeight="1"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</row>
    <row r="120" spans="4:29" ht="16.5" customHeight="1"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</row>
    <row r="121" spans="4:29" ht="16.5" customHeight="1"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</row>
    <row r="122" spans="4:29" ht="16.5" customHeight="1"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</row>
    <row r="123" spans="4:29" ht="16.5" customHeight="1"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</row>
    <row r="124" spans="4:29" ht="16.5" customHeight="1"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</row>
    <row r="125" spans="4:29" ht="16.5" customHeight="1"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</row>
    <row r="126" spans="4:29" ht="16.5" customHeight="1"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</row>
    <row r="127" spans="4:29" ht="16.5" customHeight="1"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</row>
    <row r="128" spans="4:29" ht="16.5" customHeight="1"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</row>
    <row r="129" spans="4:29" ht="16.5" customHeight="1"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</row>
    <row r="130" spans="4:29" ht="16.5" customHeight="1"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</row>
    <row r="131" spans="4:29" ht="16.5" customHeight="1"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</row>
    <row r="132" spans="4:29" ht="16.5" customHeight="1"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</row>
    <row r="133" spans="4:29" ht="16.5" customHeight="1"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</row>
    <row r="134" spans="4:29" ht="16.5" customHeight="1"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</row>
    <row r="135" spans="4:29" ht="16.5" customHeight="1"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</row>
    <row r="136" spans="4:29" ht="16.5" customHeight="1"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</row>
    <row r="137" spans="4:29" ht="16.5" customHeight="1"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</row>
    <row r="138" spans="4:29" ht="16.5" customHeight="1"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</row>
    <row r="139" spans="4:29" ht="16.5" customHeight="1"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</row>
    <row r="140" spans="4:29" ht="16.5" customHeight="1"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</row>
    <row r="141" spans="4:29" ht="16.5" customHeight="1"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</row>
    <row r="142" spans="4:29" ht="16.5" customHeight="1"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</row>
    <row r="143" spans="4:29" ht="16.5" customHeight="1"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</row>
    <row r="144" spans="4:29" ht="16.5" customHeight="1"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</row>
    <row r="145" spans="4:29" ht="16.5" customHeight="1"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</row>
    <row r="146" spans="4:29" ht="16.5" customHeight="1"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</row>
    <row r="147" spans="4:29" ht="16.5" customHeight="1"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</row>
    <row r="148" spans="4:29" ht="16.5" customHeight="1"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</row>
    <row r="149" spans="4:29" ht="16.5" customHeight="1"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</row>
    <row r="150" spans="4:29" ht="16.5" customHeight="1"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</row>
    <row r="151" spans="4:29" ht="16.5" customHeight="1"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</row>
    <row r="152" spans="4:29" ht="16.5" customHeight="1"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</row>
    <row r="153" ht="16.5" customHeight="1">
      <c r="AC153" s="175"/>
    </row>
    <row r="154" ht="16.5" customHeight="1">
      <c r="AC154" s="175"/>
    </row>
    <row r="155" ht="16.5" customHeight="1">
      <c r="AC155" s="175"/>
    </row>
    <row r="156" ht="16.5" customHeight="1">
      <c r="AC156" s="175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W159"/>
  <sheetViews>
    <sheetView zoomScale="75" zoomScaleNormal="75" workbookViewId="0" topLeftCell="C1">
      <selection activeCell="T43" sqref="T4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2"/>
    </row>
    <row r="2" spans="1:21" s="18" customFormat="1" ht="26.25">
      <c r="A2" s="89"/>
      <c r="B2" s="19" t="str">
        <f>+'TOT-0808'!B2</f>
        <v>ANEXO III al Memorándum D.T.E.E. N°  366 / 2010 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66</v>
      </c>
      <c r="L8" s="104"/>
      <c r="M8" s="104"/>
      <c r="N8" s="94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2" t="s">
        <v>209</v>
      </c>
      <c r="E10" s="347"/>
      <c r="F10" s="104"/>
      <c r="G10" s="107"/>
      <c r="I10" s="107"/>
      <c r="J10" s="107"/>
      <c r="K10" s="107"/>
      <c r="L10" s="107"/>
      <c r="M10" s="107"/>
      <c r="N10" s="107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348"/>
      <c r="E11" s="348"/>
      <c r="F11" s="88"/>
      <c r="G11" s="95"/>
      <c r="H11" s="52"/>
      <c r="I11" s="95"/>
      <c r="J11" s="95"/>
      <c r="K11" s="95"/>
      <c r="L11" s="95"/>
      <c r="M11" s="95"/>
      <c r="N11" s="95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2" t="s">
        <v>75</v>
      </c>
      <c r="E12" s="347"/>
      <c r="F12" s="104"/>
      <c r="G12" s="107"/>
      <c r="I12" s="107"/>
      <c r="J12" s="107"/>
      <c r="K12" s="107"/>
      <c r="L12" s="107"/>
      <c r="M12" s="107"/>
      <c r="N12" s="107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348"/>
      <c r="E13" s="348"/>
      <c r="F13" s="88"/>
      <c r="G13" s="95"/>
      <c r="H13" s="52"/>
      <c r="I13" s="95"/>
      <c r="J13" s="95"/>
      <c r="K13" s="95"/>
      <c r="L13" s="95"/>
      <c r="M13" s="95"/>
      <c r="N13" s="95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'TOT-0808'!B14</f>
        <v>Desde el 01 al 31 de agosto de 2008</v>
      </c>
      <c r="C14" s="40"/>
      <c r="D14" s="40"/>
      <c r="E14" s="40"/>
      <c r="F14" s="40"/>
      <c r="G14" s="349"/>
      <c r="H14" s="349"/>
      <c r="I14" s="349"/>
      <c r="J14" s="349"/>
      <c r="K14" s="349"/>
      <c r="L14" s="349"/>
      <c r="M14" s="349"/>
      <c r="N14" s="349"/>
      <c r="O14" s="40"/>
      <c r="P14" s="40"/>
      <c r="Q14" s="40"/>
      <c r="R14" s="40"/>
      <c r="S14" s="40"/>
      <c r="T14" s="40"/>
      <c r="U14" s="350"/>
    </row>
    <row r="15" spans="2:21" s="5" customFormat="1" ht="14.25" thickBot="1">
      <c r="B15" s="351"/>
      <c r="C15" s="352"/>
      <c r="D15" s="352"/>
      <c r="E15" s="352"/>
      <c r="F15" s="352"/>
      <c r="G15" s="353"/>
      <c r="H15" s="353"/>
      <c r="I15" s="353"/>
      <c r="J15" s="353"/>
      <c r="K15" s="353"/>
      <c r="L15" s="353"/>
      <c r="M15" s="353"/>
      <c r="N15" s="353"/>
      <c r="O15" s="352"/>
      <c r="P15" s="352"/>
      <c r="Q15" s="352"/>
      <c r="R15" s="352"/>
      <c r="S15" s="352"/>
      <c r="T15" s="352"/>
      <c r="U15" s="354"/>
    </row>
    <row r="16" spans="2:21" s="5" customFormat="1" ht="15" thickBot="1" thickTop="1">
      <c r="B16" s="50"/>
      <c r="C16" s="4"/>
      <c r="D16" s="355"/>
      <c r="E16" s="355"/>
      <c r="F16" s="116" t="s">
        <v>76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56" t="s">
        <v>77</v>
      </c>
      <c r="E17" s="357">
        <v>63.904</v>
      </c>
      <c r="F17" s="358">
        <v>200</v>
      </c>
      <c r="T17" s="114"/>
      <c r="U17" s="6"/>
    </row>
    <row r="18" spans="2:21" s="5" customFormat="1" ht="16.5" customHeight="1" thickBot="1" thickTop="1">
      <c r="B18" s="50"/>
      <c r="C18" s="4"/>
      <c r="D18" s="359" t="s">
        <v>78</v>
      </c>
      <c r="E18" s="360">
        <v>57.511</v>
      </c>
      <c r="F18" s="358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361" t="s">
        <v>79</v>
      </c>
      <c r="E19" s="360">
        <v>51.126</v>
      </c>
      <c r="F19" s="358">
        <v>40</v>
      </c>
      <c r="I19" s="199"/>
      <c r="J19" s="200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362"/>
      <c r="D20" s="363"/>
      <c r="E20" s="363"/>
      <c r="F20" s="364"/>
      <c r="G20" s="365"/>
      <c r="H20" s="365"/>
      <c r="I20" s="365"/>
      <c r="J20" s="365"/>
      <c r="K20" s="365"/>
      <c r="L20" s="365"/>
      <c r="M20" s="365"/>
      <c r="N20" s="366"/>
      <c r="O20" s="367"/>
      <c r="P20" s="368"/>
      <c r="Q20" s="368"/>
      <c r="R20" s="368"/>
      <c r="S20" s="369"/>
      <c r="T20" s="370"/>
      <c r="U20" s="6"/>
    </row>
    <row r="21" spans="2:21" s="5" customFormat="1" ht="33.75" customHeight="1" thickBot="1" thickTop="1">
      <c r="B21" s="50"/>
      <c r="C21" s="84" t="s">
        <v>12</v>
      </c>
      <c r="D21" s="86" t="s">
        <v>25</v>
      </c>
      <c r="E21" s="371" t="s">
        <v>26</v>
      </c>
      <c r="F21" s="372" t="s">
        <v>13</v>
      </c>
      <c r="G21" s="128" t="s">
        <v>15</v>
      </c>
      <c r="H21" s="85" t="s">
        <v>16</v>
      </c>
      <c r="I21" s="371" t="s">
        <v>17</v>
      </c>
      <c r="J21" s="373" t="s">
        <v>34</v>
      </c>
      <c r="K21" s="373" t="s">
        <v>29</v>
      </c>
      <c r="L21" s="87" t="s">
        <v>18</v>
      </c>
      <c r="M21" s="177" t="s">
        <v>30</v>
      </c>
      <c r="N21" s="134" t="s">
        <v>35</v>
      </c>
      <c r="O21" s="374" t="s">
        <v>67</v>
      </c>
      <c r="P21" s="178" t="s">
        <v>33</v>
      </c>
      <c r="Q21" s="375"/>
      <c r="R21" s="133" t="s">
        <v>21</v>
      </c>
      <c r="S21" s="131" t="s">
        <v>70</v>
      </c>
      <c r="T21" s="120" t="s">
        <v>22</v>
      </c>
      <c r="U21" s="6"/>
    </row>
    <row r="22" spans="2:21" s="5" customFormat="1" ht="16.5" customHeight="1" thickTop="1">
      <c r="B22" s="50"/>
      <c r="C22" s="7"/>
      <c r="D22" s="376"/>
      <c r="E22" s="376"/>
      <c r="F22" s="376"/>
      <c r="G22" s="214"/>
      <c r="H22" s="376"/>
      <c r="I22" s="376"/>
      <c r="J22" s="376"/>
      <c r="K22" s="376"/>
      <c r="L22" s="376"/>
      <c r="M22" s="376"/>
      <c r="N22" s="377"/>
      <c r="O22" s="378"/>
      <c r="P22" s="379"/>
      <c r="Q22" s="380"/>
      <c r="R22" s="381"/>
      <c r="S22" s="376"/>
      <c r="T22" s="382"/>
      <c r="U22" s="6"/>
    </row>
    <row r="23" spans="2:21" s="5" customFormat="1" ht="16.5" customHeight="1">
      <c r="B23" s="50"/>
      <c r="C23" s="270"/>
      <c r="D23" s="383"/>
      <c r="E23" s="383"/>
      <c r="F23" s="383"/>
      <c r="G23" s="384"/>
      <c r="H23" s="383"/>
      <c r="I23" s="383"/>
      <c r="J23" s="383"/>
      <c r="K23" s="383"/>
      <c r="L23" s="383"/>
      <c r="M23" s="383"/>
      <c r="N23" s="385"/>
      <c r="O23" s="386"/>
      <c r="P23" s="188"/>
      <c r="Q23" s="387"/>
      <c r="R23" s="388"/>
      <c r="S23" s="383"/>
      <c r="T23" s="389"/>
      <c r="U23" s="6"/>
    </row>
    <row r="24" spans="2:21" s="5" customFormat="1" ht="16.5" customHeight="1">
      <c r="B24" s="50"/>
      <c r="C24" s="153">
        <v>39</v>
      </c>
      <c r="D24" s="390" t="s">
        <v>243</v>
      </c>
      <c r="E24" s="390" t="s">
        <v>252</v>
      </c>
      <c r="F24" s="391">
        <v>500</v>
      </c>
      <c r="G24" s="129">
        <f aca="true" t="shared" si="0" ref="G24:G43">IF(F24=500,$E$17,IF(F24=220,$E$18,$E$19))</f>
        <v>63.904</v>
      </c>
      <c r="H24" s="392">
        <v>39661.35763888889</v>
      </c>
      <c r="I24" s="149">
        <v>39663.28680555556</v>
      </c>
      <c r="J24" s="393">
        <f aca="true" t="shared" si="1" ref="J24:J43">IF(D24="","",(I24-H24)*24)</f>
        <v>46.300000000046566</v>
      </c>
      <c r="K24" s="394">
        <f aca="true" t="shared" si="2" ref="K24:K43">IF(D24="","",ROUND((I24-H24)*24*60,0))</f>
        <v>2778</v>
      </c>
      <c r="L24" s="216" t="s">
        <v>200</v>
      </c>
      <c r="M24" s="151" t="str">
        <f aca="true" t="shared" si="3" ref="M24:M43">IF(D24="","",IF(L24="P","--","NO"))</f>
        <v>--</v>
      </c>
      <c r="N24" s="395">
        <f aca="true" t="shared" si="4" ref="N24:N43">IF(F24=500,$F$17,IF(F24=220,$F$18,$F$19))</f>
        <v>200</v>
      </c>
      <c r="O24" s="396">
        <f aca="true" t="shared" si="5" ref="O24:O43">IF(L24="P",G24*N24*ROUND(K24/60,2)*0.1,"--")</f>
        <v>59175.10400000001</v>
      </c>
      <c r="P24" s="397" t="str">
        <f aca="true" t="shared" si="6" ref="P24:P43">IF(AND(L24="F",M24="NO"),G24*N24,"--")</f>
        <v>--</v>
      </c>
      <c r="Q24" s="398" t="str">
        <f aca="true" t="shared" si="7" ref="Q24:Q43">IF(L24="F",G24*N24*ROUND(K24/60,2),"--")</f>
        <v>--</v>
      </c>
      <c r="R24" s="158" t="str">
        <f aca="true" t="shared" si="8" ref="R24:R43">IF(L24="RF",G24*N24*ROUND(K24/60,2),"--")</f>
        <v>--</v>
      </c>
      <c r="S24" s="151" t="str">
        <f aca="true" t="shared" si="9" ref="S24:S43">IF(D24="","","SI")</f>
        <v>SI</v>
      </c>
      <c r="T24" s="399">
        <v>0</v>
      </c>
      <c r="U24" s="6"/>
    </row>
    <row r="25" spans="2:21" s="5" customFormat="1" ht="16.5" customHeight="1">
      <c r="B25" s="50"/>
      <c r="C25" s="270">
        <v>40</v>
      </c>
      <c r="D25" s="390" t="s">
        <v>243</v>
      </c>
      <c r="E25" s="390" t="s">
        <v>253</v>
      </c>
      <c r="F25" s="391">
        <v>500</v>
      </c>
      <c r="G25" s="129">
        <f t="shared" si="0"/>
        <v>63.904</v>
      </c>
      <c r="H25" s="392">
        <v>39663.2875</v>
      </c>
      <c r="I25" s="149">
        <v>39663.56527777778</v>
      </c>
      <c r="J25" s="393">
        <f t="shared" si="1"/>
        <v>6.666666666744277</v>
      </c>
      <c r="K25" s="394">
        <f t="shared" si="2"/>
        <v>400</v>
      </c>
      <c r="L25" s="216" t="s">
        <v>200</v>
      </c>
      <c r="M25" s="151" t="str">
        <f t="shared" si="3"/>
        <v>--</v>
      </c>
      <c r="N25" s="395">
        <f t="shared" si="4"/>
        <v>200</v>
      </c>
      <c r="O25" s="396">
        <f t="shared" si="5"/>
        <v>8524.7936</v>
      </c>
      <c r="P25" s="397" t="str">
        <f t="shared" si="6"/>
        <v>--</v>
      </c>
      <c r="Q25" s="398" t="str">
        <f t="shared" si="7"/>
        <v>--</v>
      </c>
      <c r="R25" s="158" t="str">
        <f t="shared" si="8"/>
        <v>--</v>
      </c>
      <c r="S25" s="151" t="str">
        <f t="shared" si="9"/>
        <v>SI</v>
      </c>
      <c r="T25" s="399">
        <v>0</v>
      </c>
      <c r="U25" s="6"/>
    </row>
    <row r="26" spans="2:21" s="5" customFormat="1" ht="16.5" customHeight="1">
      <c r="B26" s="50"/>
      <c r="C26" s="153">
        <v>41</v>
      </c>
      <c r="D26" s="390" t="s">
        <v>247</v>
      </c>
      <c r="E26" s="390" t="s">
        <v>254</v>
      </c>
      <c r="F26" s="391">
        <v>132</v>
      </c>
      <c r="G26" s="129">
        <f t="shared" si="0"/>
        <v>51.126</v>
      </c>
      <c r="H26" s="392">
        <v>39665.34305555555</v>
      </c>
      <c r="I26" s="149">
        <v>39665.70208333333</v>
      </c>
      <c r="J26" s="393">
        <f t="shared" si="1"/>
        <v>8.616666666639503</v>
      </c>
      <c r="K26" s="394">
        <f t="shared" si="2"/>
        <v>517</v>
      </c>
      <c r="L26" s="216" t="s">
        <v>200</v>
      </c>
      <c r="M26" s="151" t="str">
        <f t="shared" si="3"/>
        <v>--</v>
      </c>
      <c r="N26" s="395">
        <f t="shared" si="4"/>
        <v>40</v>
      </c>
      <c r="O26" s="396">
        <f t="shared" si="5"/>
        <v>1762.8244799999998</v>
      </c>
      <c r="P26" s="397" t="str">
        <f t="shared" si="6"/>
        <v>--</v>
      </c>
      <c r="Q26" s="398" t="str">
        <f t="shared" si="7"/>
        <v>--</v>
      </c>
      <c r="R26" s="158" t="str">
        <f t="shared" si="8"/>
        <v>--</v>
      </c>
      <c r="S26" s="151" t="str">
        <f t="shared" si="9"/>
        <v>SI</v>
      </c>
      <c r="T26" s="399">
        <f aca="true" t="shared" si="10" ref="T26:T43">IF(D26="","",SUM(O26:R26)*IF(S26="SI",1,2))</f>
        <v>1762.8244799999998</v>
      </c>
      <c r="U26" s="6"/>
    </row>
    <row r="27" spans="2:21" s="5" customFormat="1" ht="16.5" customHeight="1">
      <c r="B27" s="50"/>
      <c r="C27" s="270">
        <v>42</v>
      </c>
      <c r="D27" s="390" t="s">
        <v>247</v>
      </c>
      <c r="E27" s="390" t="s">
        <v>255</v>
      </c>
      <c r="F27" s="391">
        <v>132</v>
      </c>
      <c r="G27" s="129">
        <f t="shared" si="0"/>
        <v>51.126</v>
      </c>
      <c r="H27" s="392">
        <v>39665.34444444445</v>
      </c>
      <c r="I27" s="149">
        <v>39665.46388888889</v>
      </c>
      <c r="J27" s="393">
        <f t="shared" si="1"/>
        <v>2.8666666665812954</v>
      </c>
      <c r="K27" s="394">
        <f t="shared" si="2"/>
        <v>172</v>
      </c>
      <c r="L27" s="216" t="s">
        <v>200</v>
      </c>
      <c r="M27" s="151" t="str">
        <f t="shared" si="3"/>
        <v>--</v>
      </c>
      <c r="N27" s="395">
        <f t="shared" si="4"/>
        <v>40</v>
      </c>
      <c r="O27" s="396">
        <f t="shared" si="5"/>
        <v>586.92648</v>
      </c>
      <c r="P27" s="397" t="str">
        <f t="shared" si="6"/>
        <v>--</v>
      </c>
      <c r="Q27" s="398" t="str">
        <f t="shared" si="7"/>
        <v>--</v>
      </c>
      <c r="R27" s="158" t="str">
        <f t="shared" si="8"/>
        <v>--</v>
      </c>
      <c r="S27" s="151" t="str">
        <f t="shared" si="9"/>
        <v>SI</v>
      </c>
      <c r="T27" s="399">
        <v>0</v>
      </c>
      <c r="U27" s="6"/>
    </row>
    <row r="28" spans="2:21" s="5" customFormat="1" ht="16.5" customHeight="1">
      <c r="B28" s="50"/>
      <c r="C28" s="153">
        <v>43</v>
      </c>
      <c r="D28" s="390" t="s">
        <v>247</v>
      </c>
      <c r="E28" s="390" t="s">
        <v>256</v>
      </c>
      <c r="F28" s="391">
        <v>132</v>
      </c>
      <c r="G28" s="129">
        <f t="shared" si="0"/>
        <v>51.126</v>
      </c>
      <c r="H28" s="392">
        <v>39669.38402777778</v>
      </c>
      <c r="I28" s="149">
        <v>39669.49930555555</v>
      </c>
      <c r="J28" s="393">
        <f t="shared" si="1"/>
        <v>2.7666666666045785</v>
      </c>
      <c r="K28" s="394">
        <f t="shared" si="2"/>
        <v>166</v>
      </c>
      <c r="L28" s="216" t="s">
        <v>200</v>
      </c>
      <c r="M28" s="151" t="str">
        <f t="shared" si="3"/>
        <v>--</v>
      </c>
      <c r="N28" s="395">
        <f t="shared" si="4"/>
        <v>40</v>
      </c>
      <c r="O28" s="396">
        <f t="shared" si="5"/>
        <v>566.47608</v>
      </c>
      <c r="P28" s="397" t="str">
        <f t="shared" si="6"/>
        <v>--</v>
      </c>
      <c r="Q28" s="398" t="str">
        <f t="shared" si="7"/>
        <v>--</v>
      </c>
      <c r="R28" s="158" t="str">
        <f t="shared" si="8"/>
        <v>--</v>
      </c>
      <c r="S28" s="151" t="str">
        <f t="shared" si="9"/>
        <v>SI</v>
      </c>
      <c r="T28" s="399">
        <v>0</v>
      </c>
      <c r="U28" s="6"/>
    </row>
    <row r="29" spans="2:21" s="5" customFormat="1" ht="16.5" customHeight="1">
      <c r="B29" s="50"/>
      <c r="C29" s="270">
        <v>44</v>
      </c>
      <c r="D29" s="390" t="s">
        <v>257</v>
      </c>
      <c r="E29" s="390" t="s">
        <v>258</v>
      </c>
      <c r="F29" s="391">
        <v>132</v>
      </c>
      <c r="G29" s="129">
        <f t="shared" si="0"/>
        <v>51.126</v>
      </c>
      <c r="H29" s="392">
        <v>39676.26527777778</v>
      </c>
      <c r="I29" s="149">
        <v>39676.77013888889</v>
      </c>
      <c r="J29" s="393">
        <f t="shared" si="1"/>
        <v>12.11666666669771</v>
      </c>
      <c r="K29" s="394">
        <f t="shared" si="2"/>
        <v>727</v>
      </c>
      <c r="L29" s="216" t="s">
        <v>200</v>
      </c>
      <c r="M29" s="151" t="str">
        <f t="shared" si="3"/>
        <v>--</v>
      </c>
      <c r="N29" s="395">
        <f t="shared" si="4"/>
        <v>40</v>
      </c>
      <c r="O29" s="396">
        <f t="shared" si="5"/>
        <v>2478.58848</v>
      </c>
      <c r="P29" s="397" t="str">
        <f t="shared" si="6"/>
        <v>--</v>
      </c>
      <c r="Q29" s="398" t="str">
        <f t="shared" si="7"/>
        <v>--</v>
      </c>
      <c r="R29" s="158" t="str">
        <f t="shared" si="8"/>
        <v>--</v>
      </c>
      <c r="S29" s="151" t="str">
        <f t="shared" si="9"/>
        <v>SI</v>
      </c>
      <c r="T29" s="399">
        <f t="shared" si="10"/>
        <v>2478.58848</v>
      </c>
      <c r="U29" s="6"/>
    </row>
    <row r="30" spans="2:21" s="5" customFormat="1" ht="16.5" customHeight="1">
      <c r="B30" s="50"/>
      <c r="C30" s="153">
        <v>45</v>
      </c>
      <c r="D30" s="390" t="s">
        <v>245</v>
      </c>
      <c r="E30" s="390" t="s">
        <v>259</v>
      </c>
      <c r="F30" s="391">
        <v>132</v>
      </c>
      <c r="G30" s="129">
        <f t="shared" si="0"/>
        <v>51.126</v>
      </c>
      <c r="H30" s="392">
        <v>39677.27291666667</v>
      </c>
      <c r="I30" s="149">
        <v>39677.74166666667</v>
      </c>
      <c r="J30" s="393">
        <f t="shared" si="1"/>
        <v>11.25</v>
      </c>
      <c r="K30" s="394">
        <f t="shared" si="2"/>
        <v>675</v>
      </c>
      <c r="L30" s="216" t="s">
        <v>200</v>
      </c>
      <c r="M30" s="151" t="str">
        <f t="shared" si="3"/>
        <v>--</v>
      </c>
      <c r="N30" s="395">
        <f t="shared" si="4"/>
        <v>40</v>
      </c>
      <c r="O30" s="396">
        <f t="shared" si="5"/>
        <v>2300.67</v>
      </c>
      <c r="P30" s="397" t="str">
        <f t="shared" si="6"/>
        <v>--</v>
      </c>
      <c r="Q30" s="398" t="str">
        <f t="shared" si="7"/>
        <v>--</v>
      </c>
      <c r="R30" s="158" t="str">
        <f t="shared" si="8"/>
        <v>--</v>
      </c>
      <c r="S30" s="151" t="str">
        <f t="shared" si="9"/>
        <v>SI</v>
      </c>
      <c r="T30" s="399">
        <v>0</v>
      </c>
      <c r="U30" s="6"/>
    </row>
    <row r="31" spans="2:21" s="5" customFormat="1" ht="16.5" customHeight="1">
      <c r="B31" s="50"/>
      <c r="C31" s="270">
        <v>46</v>
      </c>
      <c r="D31" s="390" t="s">
        <v>245</v>
      </c>
      <c r="E31" s="390" t="s">
        <v>260</v>
      </c>
      <c r="F31" s="391">
        <v>132</v>
      </c>
      <c r="G31" s="129">
        <f t="shared" si="0"/>
        <v>51.126</v>
      </c>
      <c r="H31" s="392">
        <v>39677.27291666667</v>
      </c>
      <c r="I31" s="149">
        <v>39677.78888888889</v>
      </c>
      <c r="J31" s="393">
        <f t="shared" si="1"/>
        <v>12.383333333360497</v>
      </c>
      <c r="K31" s="394">
        <f t="shared" si="2"/>
        <v>743</v>
      </c>
      <c r="L31" s="216" t="s">
        <v>200</v>
      </c>
      <c r="M31" s="151" t="str">
        <f t="shared" si="3"/>
        <v>--</v>
      </c>
      <c r="N31" s="395">
        <f t="shared" si="4"/>
        <v>40</v>
      </c>
      <c r="O31" s="396">
        <f t="shared" si="5"/>
        <v>2531.75952</v>
      </c>
      <c r="P31" s="397" t="str">
        <f t="shared" si="6"/>
        <v>--</v>
      </c>
      <c r="Q31" s="398" t="str">
        <f t="shared" si="7"/>
        <v>--</v>
      </c>
      <c r="R31" s="158" t="str">
        <f t="shared" si="8"/>
        <v>--</v>
      </c>
      <c r="S31" s="151" t="str">
        <f t="shared" si="9"/>
        <v>SI</v>
      </c>
      <c r="T31" s="399">
        <v>0</v>
      </c>
      <c r="U31" s="6"/>
    </row>
    <row r="32" spans="2:21" s="5" customFormat="1" ht="16.5" customHeight="1">
      <c r="B32" s="50"/>
      <c r="C32" s="153">
        <v>47</v>
      </c>
      <c r="D32" s="390" t="s">
        <v>261</v>
      </c>
      <c r="E32" s="390" t="s">
        <v>262</v>
      </c>
      <c r="F32" s="391">
        <v>132</v>
      </c>
      <c r="G32" s="129">
        <f t="shared" si="0"/>
        <v>51.126</v>
      </c>
      <c r="H32" s="392">
        <v>39677.34166666667</v>
      </c>
      <c r="I32" s="149">
        <v>39677.73333333333</v>
      </c>
      <c r="J32" s="393">
        <f t="shared" si="1"/>
        <v>9.399999999906868</v>
      </c>
      <c r="K32" s="394">
        <f t="shared" si="2"/>
        <v>564</v>
      </c>
      <c r="L32" s="216" t="s">
        <v>200</v>
      </c>
      <c r="M32" s="151" t="str">
        <f t="shared" si="3"/>
        <v>--</v>
      </c>
      <c r="N32" s="395">
        <f t="shared" si="4"/>
        <v>40</v>
      </c>
      <c r="O32" s="396">
        <f t="shared" si="5"/>
        <v>1922.3376</v>
      </c>
      <c r="P32" s="397" t="str">
        <f t="shared" si="6"/>
        <v>--</v>
      </c>
      <c r="Q32" s="398" t="str">
        <f t="shared" si="7"/>
        <v>--</v>
      </c>
      <c r="R32" s="158" t="str">
        <f t="shared" si="8"/>
        <v>--</v>
      </c>
      <c r="S32" s="151" t="str">
        <f t="shared" si="9"/>
        <v>SI</v>
      </c>
      <c r="T32" s="399">
        <v>0</v>
      </c>
      <c r="U32" s="6"/>
    </row>
    <row r="33" spans="2:21" s="5" customFormat="1" ht="16.5" customHeight="1">
      <c r="B33" s="50"/>
      <c r="C33" s="270">
        <v>48</v>
      </c>
      <c r="D33" s="390" t="s">
        <v>245</v>
      </c>
      <c r="E33" s="390" t="s">
        <v>263</v>
      </c>
      <c r="F33" s="391">
        <v>132</v>
      </c>
      <c r="G33" s="129">
        <f t="shared" si="0"/>
        <v>51.126</v>
      </c>
      <c r="H33" s="392">
        <v>39678.197916666664</v>
      </c>
      <c r="I33" s="149">
        <v>39678.211805555555</v>
      </c>
      <c r="J33" s="393">
        <f t="shared" si="1"/>
        <v>0.33333333337213844</v>
      </c>
      <c r="K33" s="394">
        <f t="shared" si="2"/>
        <v>20</v>
      </c>
      <c r="L33" s="216" t="s">
        <v>224</v>
      </c>
      <c r="M33" s="151" t="s">
        <v>197</v>
      </c>
      <c r="N33" s="395">
        <f t="shared" si="4"/>
        <v>40</v>
      </c>
      <c r="O33" s="396" t="str">
        <f t="shared" si="5"/>
        <v>--</v>
      </c>
      <c r="P33" s="397" t="str">
        <f t="shared" si="6"/>
        <v>--</v>
      </c>
      <c r="Q33" s="398">
        <f t="shared" si="7"/>
        <v>674.8632</v>
      </c>
      <c r="R33" s="158" t="str">
        <f t="shared" si="8"/>
        <v>--</v>
      </c>
      <c r="S33" s="151" t="str">
        <f t="shared" si="9"/>
        <v>SI</v>
      </c>
      <c r="T33" s="399">
        <f t="shared" si="10"/>
        <v>674.8632</v>
      </c>
      <c r="U33" s="6"/>
    </row>
    <row r="34" spans="2:21" s="5" customFormat="1" ht="16.5" customHeight="1">
      <c r="B34" s="50"/>
      <c r="C34" s="153">
        <v>49</v>
      </c>
      <c r="D34" s="390" t="s">
        <v>245</v>
      </c>
      <c r="E34" s="390" t="s">
        <v>264</v>
      </c>
      <c r="F34" s="391">
        <v>132</v>
      </c>
      <c r="G34" s="129">
        <f t="shared" si="0"/>
        <v>51.126</v>
      </c>
      <c r="H34" s="392">
        <v>39678.22430555556</v>
      </c>
      <c r="I34" s="149">
        <v>39678.22708333333</v>
      </c>
      <c r="J34" s="393">
        <f t="shared" si="1"/>
        <v>0.0666666665347293</v>
      </c>
      <c r="K34" s="394">
        <f t="shared" si="2"/>
        <v>4</v>
      </c>
      <c r="L34" s="216" t="s">
        <v>224</v>
      </c>
      <c r="M34" s="151" t="str">
        <f t="shared" si="3"/>
        <v>NO</v>
      </c>
      <c r="N34" s="395">
        <f t="shared" si="4"/>
        <v>40</v>
      </c>
      <c r="O34" s="396" t="str">
        <f t="shared" si="5"/>
        <v>--</v>
      </c>
      <c r="P34" s="397">
        <f t="shared" si="6"/>
        <v>2045.04</v>
      </c>
      <c r="Q34" s="398">
        <f t="shared" si="7"/>
        <v>143.1528</v>
      </c>
      <c r="R34" s="158" t="str">
        <f t="shared" si="8"/>
        <v>--</v>
      </c>
      <c r="S34" s="151" t="str">
        <f t="shared" si="9"/>
        <v>SI</v>
      </c>
      <c r="T34" s="399">
        <f t="shared" si="10"/>
        <v>2188.1928</v>
      </c>
      <c r="U34" s="6"/>
    </row>
    <row r="35" spans="2:21" s="5" customFormat="1" ht="16.5" customHeight="1">
      <c r="B35" s="50"/>
      <c r="C35" s="270">
        <v>50</v>
      </c>
      <c r="D35" s="390" t="s">
        <v>245</v>
      </c>
      <c r="E35" s="390" t="s">
        <v>265</v>
      </c>
      <c r="F35" s="391">
        <v>132</v>
      </c>
      <c r="G35" s="129">
        <f t="shared" si="0"/>
        <v>51.126</v>
      </c>
      <c r="H35" s="392">
        <v>39678.22430555556</v>
      </c>
      <c r="I35" s="149">
        <v>39678.23125</v>
      </c>
      <c r="J35" s="393">
        <f t="shared" si="1"/>
        <v>0.16666666651144624</v>
      </c>
      <c r="K35" s="394">
        <f t="shared" si="2"/>
        <v>10</v>
      </c>
      <c r="L35" s="216" t="s">
        <v>224</v>
      </c>
      <c r="M35" s="151" t="str">
        <f t="shared" si="3"/>
        <v>NO</v>
      </c>
      <c r="N35" s="395">
        <f t="shared" si="4"/>
        <v>40</v>
      </c>
      <c r="O35" s="396" t="str">
        <f t="shared" si="5"/>
        <v>--</v>
      </c>
      <c r="P35" s="397">
        <f t="shared" si="6"/>
        <v>2045.04</v>
      </c>
      <c r="Q35" s="398">
        <f t="shared" si="7"/>
        <v>347.65680000000003</v>
      </c>
      <c r="R35" s="158" t="str">
        <f t="shared" si="8"/>
        <v>--</v>
      </c>
      <c r="S35" s="151" t="str">
        <f t="shared" si="9"/>
        <v>SI</v>
      </c>
      <c r="T35" s="399">
        <f t="shared" si="10"/>
        <v>2392.6968</v>
      </c>
      <c r="U35" s="6"/>
    </row>
    <row r="36" spans="2:21" s="5" customFormat="1" ht="16.5" customHeight="1">
      <c r="B36" s="50"/>
      <c r="C36" s="153">
        <v>51</v>
      </c>
      <c r="D36" s="390" t="s">
        <v>245</v>
      </c>
      <c r="E36" s="390" t="s">
        <v>266</v>
      </c>
      <c r="F36" s="391">
        <v>132</v>
      </c>
      <c r="G36" s="129">
        <f t="shared" si="0"/>
        <v>51.126</v>
      </c>
      <c r="H36" s="392">
        <v>39678.22430555556</v>
      </c>
      <c r="I36" s="149">
        <v>39678.239583333336</v>
      </c>
      <c r="J36" s="393">
        <f t="shared" si="1"/>
        <v>0.3666666666395031</v>
      </c>
      <c r="K36" s="394">
        <f t="shared" si="2"/>
        <v>22</v>
      </c>
      <c r="L36" s="216" t="s">
        <v>224</v>
      </c>
      <c r="M36" s="151" t="str">
        <f t="shared" si="3"/>
        <v>NO</v>
      </c>
      <c r="N36" s="395">
        <f t="shared" si="4"/>
        <v>40</v>
      </c>
      <c r="O36" s="396" t="str">
        <f t="shared" si="5"/>
        <v>--</v>
      </c>
      <c r="P36" s="397">
        <f t="shared" si="6"/>
        <v>2045.04</v>
      </c>
      <c r="Q36" s="398">
        <f t="shared" si="7"/>
        <v>756.6648</v>
      </c>
      <c r="R36" s="158" t="str">
        <f t="shared" si="8"/>
        <v>--</v>
      </c>
      <c r="S36" s="151" t="str">
        <f t="shared" si="9"/>
        <v>SI</v>
      </c>
      <c r="T36" s="399">
        <f t="shared" si="10"/>
        <v>2801.7048</v>
      </c>
      <c r="U36" s="6"/>
    </row>
    <row r="37" spans="2:21" s="5" customFormat="1" ht="16.5" customHeight="1">
      <c r="B37" s="50"/>
      <c r="C37" s="270">
        <v>52</v>
      </c>
      <c r="D37" s="390" t="s">
        <v>257</v>
      </c>
      <c r="E37" s="390" t="s">
        <v>258</v>
      </c>
      <c r="F37" s="391">
        <v>132</v>
      </c>
      <c r="G37" s="129">
        <f t="shared" si="0"/>
        <v>51.126</v>
      </c>
      <c r="H37" s="392">
        <v>39678.35277777778</v>
      </c>
      <c r="I37" s="149">
        <v>39678.72083333333</v>
      </c>
      <c r="J37" s="393">
        <f t="shared" si="1"/>
        <v>8.83333333331393</v>
      </c>
      <c r="K37" s="394">
        <f t="shared" si="2"/>
        <v>530</v>
      </c>
      <c r="L37" s="216" t="s">
        <v>200</v>
      </c>
      <c r="M37" s="151" t="str">
        <f t="shared" si="3"/>
        <v>--</v>
      </c>
      <c r="N37" s="395">
        <f t="shared" si="4"/>
        <v>40</v>
      </c>
      <c r="O37" s="396">
        <f t="shared" si="5"/>
        <v>1805.77032</v>
      </c>
      <c r="P37" s="397" t="str">
        <f t="shared" si="6"/>
        <v>--</v>
      </c>
      <c r="Q37" s="398" t="str">
        <f t="shared" si="7"/>
        <v>--</v>
      </c>
      <c r="R37" s="158" t="str">
        <f t="shared" si="8"/>
        <v>--</v>
      </c>
      <c r="S37" s="151" t="str">
        <f t="shared" si="9"/>
        <v>SI</v>
      </c>
      <c r="T37" s="399">
        <f t="shared" si="10"/>
        <v>1805.77032</v>
      </c>
      <c r="U37" s="6"/>
    </row>
    <row r="38" spans="2:21" s="5" customFormat="1" ht="16.5" customHeight="1">
      <c r="B38" s="50"/>
      <c r="C38" s="153">
        <v>53</v>
      </c>
      <c r="D38" s="390" t="s">
        <v>245</v>
      </c>
      <c r="E38" s="390" t="s">
        <v>260</v>
      </c>
      <c r="F38" s="391">
        <v>132</v>
      </c>
      <c r="G38" s="129">
        <f t="shared" si="0"/>
        <v>51.126</v>
      </c>
      <c r="H38" s="392">
        <v>39679.364583333336</v>
      </c>
      <c r="I38" s="149">
        <v>39679.63958333333</v>
      </c>
      <c r="J38" s="393">
        <f t="shared" si="1"/>
        <v>6.599999999860302</v>
      </c>
      <c r="K38" s="394">
        <f t="shared" si="2"/>
        <v>396</v>
      </c>
      <c r="L38" s="216" t="s">
        <v>200</v>
      </c>
      <c r="M38" s="151" t="str">
        <f t="shared" si="3"/>
        <v>--</v>
      </c>
      <c r="N38" s="395">
        <f t="shared" si="4"/>
        <v>40</v>
      </c>
      <c r="O38" s="396">
        <f t="shared" si="5"/>
        <v>1349.7264</v>
      </c>
      <c r="P38" s="397" t="str">
        <f t="shared" si="6"/>
        <v>--</v>
      </c>
      <c r="Q38" s="398" t="str">
        <f t="shared" si="7"/>
        <v>--</v>
      </c>
      <c r="R38" s="158" t="str">
        <f t="shared" si="8"/>
        <v>--</v>
      </c>
      <c r="S38" s="151" t="str">
        <f t="shared" si="9"/>
        <v>SI</v>
      </c>
      <c r="T38" s="399">
        <v>0</v>
      </c>
      <c r="U38" s="6"/>
    </row>
    <row r="39" spans="2:21" s="5" customFormat="1" ht="16.5" customHeight="1">
      <c r="B39" s="50"/>
      <c r="C39" s="270">
        <v>54</v>
      </c>
      <c r="D39" s="390" t="s">
        <v>247</v>
      </c>
      <c r="E39" s="390" t="s">
        <v>267</v>
      </c>
      <c r="F39" s="391">
        <v>132</v>
      </c>
      <c r="G39" s="129">
        <f t="shared" si="0"/>
        <v>51.126</v>
      </c>
      <c r="H39" s="392">
        <v>39680.36875</v>
      </c>
      <c r="I39" s="149">
        <v>39680.595138888886</v>
      </c>
      <c r="J39" s="393">
        <f t="shared" si="1"/>
        <v>5.43333333323244</v>
      </c>
      <c r="K39" s="394">
        <f t="shared" si="2"/>
        <v>326</v>
      </c>
      <c r="L39" s="216" t="s">
        <v>224</v>
      </c>
      <c r="M39" s="151" t="s">
        <v>197</v>
      </c>
      <c r="N39" s="395">
        <f t="shared" si="4"/>
        <v>40</v>
      </c>
      <c r="O39" s="396" t="str">
        <f t="shared" si="5"/>
        <v>--</v>
      </c>
      <c r="P39" s="397" t="str">
        <f t="shared" si="6"/>
        <v>--</v>
      </c>
      <c r="Q39" s="398">
        <f t="shared" si="7"/>
        <v>11104.5672</v>
      </c>
      <c r="R39" s="158" t="str">
        <f t="shared" si="8"/>
        <v>--</v>
      </c>
      <c r="S39" s="151" t="str">
        <f t="shared" si="9"/>
        <v>SI</v>
      </c>
      <c r="T39" s="399">
        <f t="shared" si="10"/>
        <v>11104.5672</v>
      </c>
      <c r="U39" s="6"/>
    </row>
    <row r="40" spans="2:21" s="5" customFormat="1" ht="16.5" customHeight="1">
      <c r="B40" s="50"/>
      <c r="C40" s="153">
        <v>55</v>
      </c>
      <c r="D40" s="390" t="s">
        <v>268</v>
      </c>
      <c r="E40" s="390" t="s">
        <v>269</v>
      </c>
      <c r="F40" s="391">
        <v>132</v>
      </c>
      <c r="G40" s="129">
        <f t="shared" si="0"/>
        <v>51.126</v>
      </c>
      <c r="H40" s="392">
        <v>39680.37152777778</v>
      </c>
      <c r="I40" s="149">
        <v>39680.7</v>
      </c>
      <c r="J40" s="393">
        <f t="shared" si="1"/>
        <v>7.883333333185874</v>
      </c>
      <c r="K40" s="394">
        <f t="shared" si="2"/>
        <v>473</v>
      </c>
      <c r="L40" s="216" t="s">
        <v>200</v>
      </c>
      <c r="M40" s="151" t="str">
        <f t="shared" si="3"/>
        <v>--</v>
      </c>
      <c r="N40" s="395">
        <f t="shared" si="4"/>
        <v>40</v>
      </c>
      <c r="O40" s="396">
        <f t="shared" si="5"/>
        <v>1611.49152</v>
      </c>
      <c r="P40" s="397" t="str">
        <f t="shared" si="6"/>
        <v>--</v>
      </c>
      <c r="Q40" s="398" t="str">
        <f t="shared" si="7"/>
        <v>--</v>
      </c>
      <c r="R40" s="158" t="str">
        <f t="shared" si="8"/>
        <v>--</v>
      </c>
      <c r="S40" s="151" t="str">
        <f t="shared" si="9"/>
        <v>SI</v>
      </c>
      <c r="T40" s="399">
        <f t="shared" si="10"/>
        <v>1611.49152</v>
      </c>
      <c r="U40" s="6"/>
    </row>
    <row r="41" spans="2:21" s="5" customFormat="1" ht="16.5" customHeight="1">
      <c r="B41" s="50"/>
      <c r="C41" s="270">
        <v>56</v>
      </c>
      <c r="D41" s="390" t="s">
        <v>247</v>
      </c>
      <c r="E41" s="390" t="s">
        <v>267</v>
      </c>
      <c r="F41" s="391">
        <v>132</v>
      </c>
      <c r="G41" s="129">
        <f t="shared" si="0"/>
        <v>51.126</v>
      </c>
      <c r="H41" s="392">
        <v>39681.34375</v>
      </c>
      <c r="I41" s="149">
        <v>39681.49930555555</v>
      </c>
      <c r="J41" s="393">
        <f t="shared" si="1"/>
        <v>3.733333333279006</v>
      </c>
      <c r="K41" s="394">
        <f t="shared" si="2"/>
        <v>224</v>
      </c>
      <c r="L41" s="216" t="s">
        <v>200</v>
      </c>
      <c r="M41" s="151" t="str">
        <f t="shared" si="3"/>
        <v>--</v>
      </c>
      <c r="N41" s="395">
        <f t="shared" si="4"/>
        <v>40</v>
      </c>
      <c r="O41" s="396">
        <f t="shared" si="5"/>
        <v>762.79992</v>
      </c>
      <c r="P41" s="397" t="str">
        <f t="shared" si="6"/>
        <v>--</v>
      </c>
      <c r="Q41" s="398" t="str">
        <f t="shared" si="7"/>
        <v>--</v>
      </c>
      <c r="R41" s="158" t="str">
        <f t="shared" si="8"/>
        <v>--</v>
      </c>
      <c r="S41" s="151" t="str">
        <f t="shared" si="9"/>
        <v>SI</v>
      </c>
      <c r="T41" s="399">
        <v>0</v>
      </c>
      <c r="U41" s="6"/>
    </row>
    <row r="42" spans="2:21" s="5" customFormat="1" ht="16.5" customHeight="1">
      <c r="B42" s="50"/>
      <c r="C42" s="153">
        <v>57</v>
      </c>
      <c r="D42" s="390" t="s">
        <v>247</v>
      </c>
      <c r="E42" s="390" t="s">
        <v>270</v>
      </c>
      <c r="F42" s="391">
        <v>132</v>
      </c>
      <c r="G42" s="129">
        <f t="shared" si="0"/>
        <v>51.126</v>
      </c>
      <c r="H42" s="392">
        <v>39681.34722222222</v>
      </c>
      <c r="I42" s="149">
        <v>39681.49791666667</v>
      </c>
      <c r="J42" s="393">
        <f t="shared" si="1"/>
        <v>3.6166666667559184</v>
      </c>
      <c r="K42" s="394">
        <f t="shared" si="2"/>
        <v>217</v>
      </c>
      <c r="L42" s="216" t="s">
        <v>200</v>
      </c>
      <c r="M42" s="151" t="str">
        <f t="shared" si="3"/>
        <v>--</v>
      </c>
      <c r="N42" s="395">
        <f t="shared" si="4"/>
        <v>40</v>
      </c>
      <c r="O42" s="396">
        <f t="shared" si="5"/>
        <v>740.30448</v>
      </c>
      <c r="P42" s="397" t="str">
        <f t="shared" si="6"/>
        <v>--</v>
      </c>
      <c r="Q42" s="398" t="str">
        <f t="shared" si="7"/>
        <v>--</v>
      </c>
      <c r="R42" s="158" t="str">
        <f t="shared" si="8"/>
        <v>--</v>
      </c>
      <c r="S42" s="151" t="str">
        <f t="shared" si="9"/>
        <v>SI</v>
      </c>
      <c r="T42" s="399">
        <v>0</v>
      </c>
      <c r="U42" s="6"/>
    </row>
    <row r="43" spans="2:21" s="5" customFormat="1" ht="16.5" customHeight="1">
      <c r="B43" s="50"/>
      <c r="C43" s="270"/>
      <c r="D43" s="390"/>
      <c r="E43" s="390"/>
      <c r="F43" s="391"/>
      <c r="G43" s="129">
        <f t="shared" si="0"/>
        <v>51.126</v>
      </c>
      <c r="H43" s="392"/>
      <c r="I43" s="149"/>
      <c r="J43" s="393">
        <f t="shared" si="1"/>
      </c>
      <c r="K43" s="394">
        <f t="shared" si="2"/>
      </c>
      <c r="L43" s="216"/>
      <c r="M43" s="151">
        <f t="shared" si="3"/>
      </c>
      <c r="N43" s="395">
        <f t="shared" si="4"/>
        <v>40</v>
      </c>
      <c r="O43" s="396" t="str">
        <f t="shared" si="5"/>
        <v>--</v>
      </c>
      <c r="P43" s="397" t="str">
        <f t="shared" si="6"/>
        <v>--</v>
      </c>
      <c r="Q43" s="398" t="str">
        <f t="shared" si="7"/>
        <v>--</v>
      </c>
      <c r="R43" s="158" t="str">
        <f t="shared" si="8"/>
        <v>--</v>
      </c>
      <c r="S43" s="151">
        <f t="shared" si="9"/>
      </c>
      <c r="T43" s="399">
        <f t="shared" si="10"/>
      </c>
      <c r="U43" s="6"/>
    </row>
    <row r="44" spans="2:21" s="5" customFormat="1" ht="16.5" customHeight="1" thickBot="1">
      <c r="B44" s="50"/>
      <c r="C44" s="153"/>
      <c r="D44" s="145"/>
      <c r="E44" s="145"/>
      <c r="F44" s="224"/>
      <c r="G44" s="130"/>
      <c r="H44" s="400"/>
      <c r="I44" s="400"/>
      <c r="J44" s="401"/>
      <c r="K44" s="401"/>
      <c r="L44" s="400"/>
      <c r="M44" s="150"/>
      <c r="N44" s="402"/>
      <c r="O44" s="403"/>
      <c r="P44" s="404"/>
      <c r="Q44" s="405"/>
      <c r="R44" s="160"/>
      <c r="S44" s="150"/>
      <c r="T44" s="406"/>
      <c r="U44" s="6"/>
    </row>
    <row r="45" spans="2:21" s="5" customFormat="1" ht="16.5" customHeight="1" thickBot="1" thickTop="1">
      <c r="B45" s="50"/>
      <c r="C45" s="126" t="s">
        <v>23</v>
      </c>
      <c r="D45" s="127" t="s">
        <v>298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07">
        <f>SUM(O22:O44)</f>
        <v>86119.57288</v>
      </c>
      <c r="P45" s="408">
        <f>SUM(P22:P44)</f>
        <v>6135.12</v>
      </c>
      <c r="Q45" s="409">
        <f>SUM(Q22:Q44)</f>
        <v>13026.9048</v>
      </c>
      <c r="R45" s="410">
        <f>SUM(R22:R44)</f>
        <v>0</v>
      </c>
      <c r="S45" s="411"/>
      <c r="T45" s="99">
        <f>ROUND(SUM(T22:T44),2)</f>
        <v>26820.7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75"/>
      <c r="V47" s="175"/>
      <c r="W47" s="175"/>
    </row>
    <row r="48" spans="21:23" ht="16.5" customHeight="1">
      <c r="U48" s="175"/>
      <c r="V48" s="175"/>
      <c r="W48" s="175"/>
    </row>
    <row r="49" spans="21:23" ht="16.5" customHeight="1">
      <c r="U49" s="175"/>
      <c r="V49" s="175"/>
      <c r="W49" s="175"/>
    </row>
    <row r="50" spans="21:23" ht="16.5" customHeight="1">
      <c r="U50" s="175"/>
      <c r="V50" s="175"/>
      <c r="W50" s="175"/>
    </row>
    <row r="51" spans="21:23" ht="16.5" customHeight="1">
      <c r="U51" s="175"/>
      <c r="V51" s="175"/>
      <c r="W51" s="175"/>
    </row>
    <row r="52" spans="4:23" ht="16.5" customHeight="1"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</row>
    <row r="53" spans="4:23" ht="16.5" customHeight="1"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</row>
    <row r="54" spans="4:23" ht="16.5" customHeight="1"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</row>
    <row r="55" spans="4:23" ht="16.5" customHeight="1"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</row>
    <row r="56" spans="4:23" ht="16.5" customHeight="1"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</row>
    <row r="57" spans="4:23" ht="16.5" customHeight="1"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</row>
    <row r="58" spans="4:23" ht="16.5" customHeight="1"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</row>
    <row r="59" spans="4:23" ht="16.5" customHeight="1"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</row>
    <row r="60" spans="4:23" ht="16.5" customHeight="1"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</row>
    <row r="61" spans="4:23" ht="16.5" customHeight="1"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</row>
    <row r="62" spans="4:23" ht="16.5" customHeight="1"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4:23" ht="16.5" customHeight="1"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</row>
    <row r="64" spans="4:23" ht="16.5" customHeight="1"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</row>
    <row r="65" spans="4:23" ht="16.5" customHeight="1"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</row>
    <row r="66" spans="4:23" ht="16.5" customHeight="1"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</row>
    <row r="67" spans="4:23" ht="16.5" customHeight="1"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</row>
    <row r="68" spans="4:23" ht="16.5" customHeight="1"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</row>
    <row r="69" spans="4:23" ht="16.5" customHeight="1"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</row>
    <row r="70" spans="4:23" ht="16.5" customHeight="1"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</row>
    <row r="71" spans="4:23" ht="16.5" customHeight="1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</row>
    <row r="72" spans="4:23" ht="16.5" customHeight="1"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</row>
    <row r="73" spans="4:23" ht="16.5" customHeight="1"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</row>
    <row r="74" spans="4:23" ht="16.5" customHeight="1"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</row>
    <row r="75" spans="4:23" ht="16.5" customHeight="1"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</row>
    <row r="76" spans="4:23" ht="16.5" customHeight="1"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</row>
    <row r="77" spans="4:23" ht="16.5" customHeight="1"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</row>
    <row r="78" spans="4:23" ht="16.5" customHeight="1"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</row>
    <row r="79" spans="4:23" ht="16.5" customHeight="1"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</row>
    <row r="80" spans="4:23" ht="16.5" customHeight="1"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</row>
    <row r="81" spans="4:23" ht="16.5" customHeight="1"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</row>
    <row r="82" spans="4:23" ht="16.5" customHeight="1"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</row>
    <row r="83" spans="4:23" ht="16.5" customHeight="1"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</row>
    <row r="84" spans="4:23" ht="16.5" customHeight="1"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</row>
    <row r="85" spans="4:23" ht="16.5" customHeight="1"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</row>
    <row r="86" spans="4:23" ht="16.5" customHeight="1"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</row>
    <row r="87" spans="4:23" ht="16.5" customHeight="1"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</row>
    <row r="88" spans="4:23" ht="16.5" customHeight="1"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</row>
    <row r="89" spans="4:23" ht="16.5" customHeight="1"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</row>
    <row r="90" spans="4:23" ht="16.5" customHeight="1"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</row>
    <row r="91" spans="4:23" ht="16.5" customHeight="1"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</row>
    <row r="92" spans="4:23" ht="16.5" customHeight="1"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</row>
    <row r="93" spans="4:23" ht="16.5" customHeight="1"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</row>
    <row r="94" spans="4:23" ht="16.5" customHeight="1"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</row>
    <row r="95" spans="4:23" ht="16.5" customHeight="1"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</row>
    <row r="96" spans="4:23" ht="16.5" customHeight="1"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</row>
    <row r="97" spans="4:23" ht="16.5" customHeight="1"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</row>
    <row r="98" spans="4:23" ht="16.5" customHeight="1"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</row>
    <row r="99" spans="4:23" ht="16.5" customHeight="1"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</row>
    <row r="100" spans="4:23" ht="16.5" customHeight="1"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</row>
    <row r="101" spans="4:23" ht="16.5" customHeight="1"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</row>
    <row r="102" spans="4:23" ht="16.5" customHeight="1"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</row>
    <row r="103" spans="4:23" ht="16.5" customHeight="1"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</row>
    <row r="104" spans="4:23" ht="16.5" customHeight="1"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</row>
    <row r="105" spans="4:23" ht="16.5" customHeight="1"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</row>
    <row r="106" spans="4:23" ht="16.5" customHeight="1"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</row>
    <row r="107" spans="4:23" ht="16.5" customHeight="1"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</row>
    <row r="108" spans="4:23" ht="16.5" customHeight="1"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</row>
    <row r="109" spans="4:23" ht="16.5" customHeight="1"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</row>
    <row r="110" spans="4:23" ht="16.5" customHeight="1"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</row>
    <row r="111" spans="4:23" ht="16.5" customHeight="1"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</row>
    <row r="112" spans="4:23" ht="16.5" customHeight="1"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</row>
    <row r="113" spans="4:23" ht="16.5" customHeight="1"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</row>
    <row r="114" spans="4:23" ht="16.5" customHeight="1"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</row>
    <row r="115" spans="4:23" ht="16.5" customHeight="1"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</row>
    <row r="116" spans="4:23" ht="16.5" customHeight="1"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</row>
    <row r="117" spans="4:23" ht="16.5" customHeight="1"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</row>
    <row r="118" spans="4:23" ht="16.5" customHeight="1"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</row>
    <row r="119" spans="4:23" ht="16.5" customHeight="1"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</row>
    <row r="120" spans="4:23" ht="16.5" customHeight="1"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</row>
    <row r="121" spans="4:23" ht="16.5" customHeight="1"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</row>
    <row r="122" spans="4:23" ht="16.5" customHeight="1"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</row>
    <row r="123" spans="4:23" ht="16.5" customHeight="1"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</row>
    <row r="124" spans="4:23" ht="16.5" customHeight="1"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</row>
    <row r="125" spans="4:23" ht="16.5" customHeight="1"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</row>
    <row r="126" spans="4:23" ht="16.5" customHeight="1"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</row>
    <row r="127" spans="4:23" ht="16.5" customHeight="1"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</row>
    <row r="128" spans="4:23" ht="16.5" customHeight="1"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</row>
    <row r="129" spans="4:23" ht="16.5" customHeight="1"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</row>
    <row r="130" spans="4:23" ht="16.5" customHeight="1"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</row>
    <row r="131" spans="4:23" ht="16.5" customHeight="1"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</row>
    <row r="132" spans="4:23" ht="16.5" customHeight="1"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</row>
    <row r="133" spans="4:23" ht="16.5" customHeight="1"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</row>
    <row r="134" spans="4:23" ht="16.5" customHeight="1"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</row>
    <row r="135" spans="4:23" ht="16.5" customHeight="1"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</row>
    <row r="136" spans="4:23" ht="16.5" customHeight="1"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</row>
    <row r="137" spans="4:23" ht="16.5" customHeight="1"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</row>
    <row r="138" spans="4:23" ht="16.5" customHeight="1"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</row>
    <row r="139" spans="4:23" ht="16.5" customHeight="1"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</row>
    <row r="140" spans="4:23" ht="16.5" customHeight="1"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</row>
    <row r="141" spans="4:23" ht="16.5" customHeight="1"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</row>
    <row r="142" spans="4:23" ht="16.5" customHeight="1"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</row>
    <row r="143" spans="4:23" ht="16.5" customHeight="1"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</row>
    <row r="144" spans="4:23" ht="16.5" customHeight="1"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</row>
    <row r="145" spans="4:23" ht="16.5" customHeight="1"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</row>
    <row r="146" spans="4:23" ht="16.5" customHeight="1"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</row>
    <row r="147" spans="4:23" ht="16.5" customHeight="1"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</row>
    <row r="148" spans="4:23" ht="16.5" customHeight="1"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</row>
    <row r="149" spans="4:23" ht="16.5" customHeight="1"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</row>
    <row r="150" spans="4:23" ht="16.5" customHeight="1"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</row>
    <row r="151" spans="4:23" ht="16.5" customHeight="1"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</row>
    <row r="152" spans="4:23" ht="16.5" customHeight="1"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</row>
    <row r="153" spans="4:23" ht="16.5" customHeight="1"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</row>
    <row r="154" spans="4:23" ht="16.5" customHeight="1"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</row>
    <row r="155" spans="4:23" ht="16.5" customHeight="1"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</row>
    <row r="156" spans="4:23" ht="16.5" customHeight="1"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</row>
    <row r="157" spans="4:23" ht="16.5" customHeight="1"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</row>
    <row r="158" spans="4:23" ht="16.5" customHeight="1"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</row>
    <row r="159" spans="4:23" ht="16.5" customHeight="1"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W159"/>
  <sheetViews>
    <sheetView zoomScale="75" zoomScaleNormal="75" workbookViewId="0" topLeftCell="C1">
      <selection activeCell="T30" sqref="T30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2"/>
    </row>
    <row r="2" spans="1:21" s="18" customFormat="1" ht="26.25">
      <c r="A2" s="89"/>
      <c r="B2" s="19" t="str">
        <f>+'TOT-0808'!B2</f>
        <v>ANEXO III al Memorándum D.T.E.E. N°  366 / 2010 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66</v>
      </c>
      <c r="L8" s="104"/>
      <c r="M8" s="104"/>
      <c r="N8" s="94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2" t="s">
        <v>209</v>
      </c>
      <c r="E10" s="347"/>
      <c r="F10" s="104"/>
      <c r="G10" s="107"/>
      <c r="I10" s="107"/>
      <c r="J10" s="107"/>
      <c r="K10" s="107"/>
      <c r="L10" s="107"/>
      <c r="M10" s="107"/>
      <c r="N10" s="107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348"/>
      <c r="E11" s="348"/>
      <c r="F11" s="88"/>
      <c r="G11" s="95"/>
      <c r="H11" s="52"/>
      <c r="I11" s="95"/>
      <c r="J11" s="95"/>
      <c r="K11" s="95"/>
      <c r="L11" s="95"/>
      <c r="M11" s="95"/>
      <c r="N11" s="95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2" t="s">
        <v>75</v>
      </c>
      <c r="E12" s="347"/>
      <c r="F12" s="104"/>
      <c r="G12" s="107"/>
      <c r="I12" s="107"/>
      <c r="J12" s="107"/>
      <c r="K12" s="107"/>
      <c r="L12" s="107"/>
      <c r="M12" s="107"/>
      <c r="N12" s="107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348"/>
      <c r="E13" s="348"/>
      <c r="F13" s="88"/>
      <c r="G13" s="95"/>
      <c r="H13" s="52"/>
      <c r="I13" s="95"/>
      <c r="J13" s="95"/>
      <c r="K13" s="95"/>
      <c r="L13" s="95"/>
      <c r="M13" s="95"/>
      <c r="N13" s="95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'TOT-0808'!B14</f>
        <v>Desde el 01 al 31 de agosto de 2008</v>
      </c>
      <c r="C14" s="40"/>
      <c r="D14" s="40"/>
      <c r="E14" s="40"/>
      <c r="F14" s="40"/>
      <c r="G14" s="349"/>
      <c r="H14" s="349"/>
      <c r="I14" s="349"/>
      <c r="J14" s="349"/>
      <c r="K14" s="349"/>
      <c r="L14" s="349"/>
      <c r="M14" s="349"/>
      <c r="N14" s="349"/>
      <c r="O14" s="40"/>
      <c r="P14" s="40"/>
      <c r="Q14" s="40"/>
      <c r="R14" s="40"/>
      <c r="S14" s="40"/>
      <c r="T14" s="40"/>
      <c r="U14" s="350"/>
    </row>
    <row r="15" spans="2:21" s="5" customFormat="1" ht="14.25" thickBot="1">
      <c r="B15" s="351"/>
      <c r="C15" s="352"/>
      <c r="D15" s="352"/>
      <c r="E15" s="352"/>
      <c r="F15" s="352"/>
      <c r="G15" s="353"/>
      <c r="H15" s="353"/>
      <c r="I15" s="353"/>
      <c r="J15" s="353"/>
      <c r="K15" s="353"/>
      <c r="L15" s="353"/>
      <c r="M15" s="353"/>
      <c r="N15" s="353"/>
      <c r="O15" s="352"/>
      <c r="P15" s="352"/>
      <c r="Q15" s="352"/>
      <c r="R15" s="352"/>
      <c r="S15" s="352"/>
      <c r="T15" s="352"/>
      <c r="U15" s="354"/>
    </row>
    <row r="16" spans="2:21" s="5" customFormat="1" ht="15" thickBot="1" thickTop="1">
      <c r="B16" s="50"/>
      <c r="C16" s="4"/>
      <c r="D16" s="355"/>
      <c r="E16" s="355"/>
      <c r="F16" s="116" t="s">
        <v>76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56" t="s">
        <v>77</v>
      </c>
      <c r="E17" s="357">
        <v>63.904</v>
      </c>
      <c r="F17" s="358">
        <v>200</v>
      </c>
      <c r="T17" s="114"/>
      <c r="U17" s="6"/>
    </row>
    <row r="18" spans="2:21" s="5" customFormat="1" ht="16.5" customHeight="1" thickBot="1" thickTop="1">
      <c r="B18" s="50"/>
      <c r="C18" s="4"/>
      <c r="D18" s="359" t="s">
        <v>78</v>
      </c>
      <c r="E18" s="360">
        <v>57.511</v>
      </c>
      <c r="F18" s="358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361" t="s">
        <v>79</v>
      </c>
      <c r="E19" s="360">
        <v>51.126</v>
      </c>
      <c r="F19" s="358">
        <v>40</v>
      </c>
      <c r="I19" s="199"/>
      <c r="J19" s="200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362"/>
      <c r="D20" s="363"/>
      <c r="E20" s="363"/>
      <c r="F20" s="364"/>
      <c r="G20" s="365"/>
      <c r="H20" s="365"/>
      <c r="I20" s="365"/>
      <c r="J20" s="365"/>
      <c r="K20" s="365"/>
      <c r="L20" s="365"/>
      <c r="M20" s="365"/>
      <c r="N20" s="366"/>
      <c r="O20" s="367"/>
      <c r="P20" s="368"/>
      <c r="Q20" s="368"/>
      <c r="R20" s="368"/>
      <c r="S20" s="369"/>
      <c r="T20" s="370"/>
      <c r="U20" s="6"/>
    </row>
    <row r="21" spans="2:21" s="5" customFormat="1" ht="33.75" customHeight="1" thickBot="1" thickTop="1">
      <c r="B21" s="50"/>
      <c r="C21" s="84" t="s">
        <v>12</v>
      </c>
      <c r="D21" s="86" t="s">
        <v>25</v>
      </c>
      <c r="E21" s="371" t="s">
        <v>26</v>
      </c>
      <c r="F21" s="372" t="s">
        <v>13</v>
      </c>
      <c r="G21" s="128" t="s">
        <v>15</v>
      </c>
      <c r="H21" s="85" t="s">
        <v>16</v>
      </c>
      <c r="I21" s="371" t="s">
        <v>17</v>
      </c>
      <c r="J21" s="373" t="s">
        <v>34</v>
      </c>
      <c r="K21" s="373" t="s">
        <v>29</v>
      </c>
      <c r="L21" s="87" t="s">
        <v>18</v>
      </c>
      <c r="M21" s="177" t="s">
        <v>30</v>
      </c>
      <c r="N21" s="134" t="s">
        <v>35</v>
      </c>
      <c r="O21" s="374" t="s">
        <v>67</v>
      </c>
      <c r="P21" s="178" t="s">
        <v>33</v>
      </c>
      <c r="Q21" s="375"/>
      <c r="R21" s="133" t="s">
        <v>21</v>
      </c>
      <c r="S21" s="131" t="s">
        <v>70</v>
      </c>
      <c r="T21" s="120" t="s">
        <v>22</v>
      </c>
      <c r="U21" s="6"/>
    </row>
    <row r="22" spans="2:21" s="5" customFormat="1" ht="16.5" customHeight="1" thickTop="1">
      <c r="B22" s="50"/>
      <c r="C22" s="7"/>
      <c r="D22" s="376"/>
      <c r="E22" s="376"/>
      <c r="F22" s="376"/>
      <c r="G22" s="214"/>
      <c r="H22" s="376"/>
      <c r="I22" s="376"/>
      <c r="J22" s="376"/>
      <c r="K22" s="376"/>
      <c r="L22" s="376"/>
      <c r="M22" s="376"/>
      <c r="N22" s="377"/>
      <c r="O22" s="378"/>
      <c r="P22" s="379"/>
      <c r="Q22" s="380"/>
      <c r="R22" s="381"/>
      <c r="S22" s="376"/>
      <c r="T22" s="382">
        <f>'SA-08 (1)'!T45</f>
        <v>26820.7</v>
      </c>
      <c r="U22" s="6"/>
    </row>
    <row r="23" spans="2:21" s="5" customFormat="1" ht="16.5" customHeight="1">
      <c r="B23" s="50"/>
      <c r="C23" s="270"/>
      <c r="D23" s="383"/>
      <c r="E23" s="383"/>
      <c r="F23" s="383"/>
      <c r="G23" s="384"/>
      <c r="H23" s="383"/>
      <c r="I23" s="383"/>
      <c r="J23" s="383"/>
      <c r="K23" s="383"/>
      <c r="L23" s="383"/>
      <c r="M23" s="383"/>
      <c r="N23" s="385"/>
      <c r="O23" s="386"/>
      <c r="P23" s="188"/>
      <c r="Q23" s="387"/>
      <c r="R23" s="388"/>
      <c r="S23" s="383"/>
      <c r="T23" s="389"/>
      <c r="U23" s="6"/>
    </row>
    <row r="24" spans="2:21" s="5" customFormat="1" ht="16.5" customHeight="1">
      <c r="B24" s="50"/>
      <c r="C24" s="153">
        <v>58</v>
      </c>
      <c r="D24" s="390" t="s">
        <v>268</v>
      </c>
      <c r="E24" s="390" t="s">
        <v>271</v>
      </c>
      <c r="F24" s="391">
        <v>132</v>
      </c>
      <c r="G24" s="129">
        <f aca="true" t="shared" si="0" ref="G24:G43">IF(F24=500,$E$17,IF(F24=220,$E$18,$E$19))</f>
        <v>51.126</v>
      </c>
      <c r="H24" s="392">
        <v>39681.35277777778</v>
      </c>
      <c r="I24" s="149">
        <v>39681.70416666667</v>
      </c>
      <c r="J24" s="393">
        <f aca="true" t="shared" si="1" ref="J24:J43">IF(D24="","",(I24-H24)*24)</f>
        <v>8.433333333407063</v>
      </c>
      <c r="K24" s="394">
        <f aca="true" t="shared" si="2" ref="K24:K43">IF(D24="","",ROUND((I24-H24)*24*60,0))</f>
        <v>506</v>
      </c>
      <c r="L24" s="216" t="s">
        <v>200</v>
      </c>
      <c r="M24" s="151" t="str">
        <f aca="true" t="shared" si="3" ref="M24:M43">IF(D24="","",IF(L24="P","--","NO"))</f>
        <v>--</v>
      </c>
      <c r="N24" s="395">
        <f aca="true" t="shared" si="4" ref="N24:N43">IF(F24=500,$F$17,IF(F24=220,$F$18,$F$19))</f>
        <v>40</v>
      </c>
      <c r="O24" s="396">
        <f aca="true" t="shared" si="5" ref="O24:O43">IF(L24="P",G24*N24*ROUND(K24/60,2)*0.1,"--")</f>
        <v>1723.96872</v>
      </c>
      <c r="P24" s="397" t="str">
        <f aca="true" t="shared" si="6" ref="P24:P43">IF(AND(L24="F",M24="NO"),G24*N24,"--")</f>
        <v>--</v>
      </c>
      <c r="Q24" s="398" t="str">
        <f aca="true" t="shared" si="7" ref="Q24:Q43">IF(L24="F",G24*N24*ROUND(K24/60,2),"--")</f>
        <v>--</v>
      </c>
      <c r="R24" s="158" t="str">
        <f aca="true" t="shared" si="8" ref="R24:R43">IF(L24="RF",G24*N24*ROUND(K24/60,2),"--")</f>
        <v>--</v>
      </c>
      <c r="S24" s="151" t="str">
        <f aca="true" t="shared" si="9" ref="S24:S43">IF(D24="","","SI")</f>
        <v>SI</v>
      </c>
      <c r="T24" s="399">
        <f aca="true" t="shared" si="10" ref="T24:T43">IF(D24="","",SUM(O24:R24)*IF(S24="SI",1,2))</f>
        <v>1723.96872</v>
      </c>
      <c r="U24" s="6"/>
    </row>
    <row r="25" spans="2:21" s="5" customFormat="1" ht="16.5" customHeight="1">
      <c r="B25" s="50"/>
      <c r="C25" s="270">
        <v>59</v>
      </c>
      <c r="D25" s="390" t="s">
        <v>272</v>
      </c>
      <c r="E25" s="390" t="s">
        <v>273</v>
      </c>
      <c r="F25" s="391">
        <v>132</v>
      </c>
      <c r="G25" s="129">
        <f t="shared" si="0"/>
        <v>51.126</v>
      </c>
      <c r="H25" s="392">
        <v>39681.66805555556</v>
      </c>
      <c r="I25" s="149">
        <v>39681.74166666667</v>
      </c>
      <c r="J25" s="393">
        <f t="shared" si="1"/>
        <v>1.7666666666627862</v>
      </c>
      <c r="K25" s="394">
        <f t="shared" si="2"/>
        <v>106</v>
      </c>
      <c r="L25" s="216" t="s">
        <v>200</v>
      </c>
      <c r="M25" s="151" t="str">
        <f t="shared" si="3"/>
        <v>--</v>
      </c>
      <c r="N25" s="395">
        <f t="shared" si="4"/>
        <v>40</v>
      </c>
      <c r="O25" s="396">
        <f t="shared" si="5"/>
        <v>361.97208</v>
      </c>
      <c r="P25" s="397" t="str">
        <f t="shared" si="6"/>
        <v>--</v>
      </c>
      <c r="Q25" s="398" t="str">
        <f t="shared" si="7"/>
        <v>--</v>
      </c>
      <c r="R25" s="158" t="str">
        <f t="shared" si="8"/>
        <v>--</v>
      </c>
      <c r="S25" s="151" t="str">
        <f t="shared" si="9"/>
        <v>SI</v>
      </c>
      <c r="T25" s="399">
        <v>0</v>
      </c>
      <c r="U25" s="6"/>
    </row>
    <row r="26" spans="2:21" s="5" customFormat="1" ht="16.5" customHeight="1">
      <c r="B26" s="50"/>
      <c r="C26" s="153">
        <v>60</v>
      </c>
      <c r="D26" s="390" t="s">
        <v>257</v>
      </c>
      <c r="E26" s="390" t="s">
        <v>274</v>
      </c>
      <c r="F26" s="391">
        <v>132</v>
      </c>
      <c r="G26" s="129">
        <f t="shared" si="0"/>
        <v>51.126</v>
      </c>
      <c r="H26" s="392">
        <v>39682.35486111111</v>
      </c>
      <c r="I26" s="149">
        <v>39682.623611111114</v>
      </c>
      <c r="J26" s="393">
        <f t="shared" si="1"/>
        <v>6.450000000069849</v>
      </c>
      <c r="K26" s="394">
        <f t="shared" si="2"/>
        <v>387</v>
      </c>
      <c r="L26" s="216" t="s">
        <v>200</v>
      </c>
      <c r="M26" s="151" t="str">
        <f t="shared" si="3"/>
        <v>--</v>
      </c>
      <c r="N26" s="395">
        <f t="shared" si="4"/>
        <v>40</v>
      </c>
      <c r="O26" s="396">
        <f t="shared" si="5"/>
        <v>1319.0508</v>
      </c>
      <c r="P26" s="397" t="str">
        <f t="shared" si="6"/>
        <v>--</v>
      </c>
      <c r="Q26" s="398" t="str">
        <f t="shared" si="7"/>
        <v>--</v>
      </c>
      <c r="R26" s="158" t="str">
        <f t="shared" si="8"/>
        <v>--</v>
      </c>
      <c r="S26" s="151" t="str">
        <f t="shared" si="9"/>
        <v>SI</v>
      </c>
      <c r="T26" s="399">
        <f t="shared" si="10"/>
        <v>1319.0508</v>
      </c>
      <c r="U26" s="6"/>
    </row>
    <row r="27" spans="2:21" s="5" customFormat="1" ht="16.5" customHeight="1">
      <c r="B27" s="50"/>
      <c r="C27" s="270">
        <v>61</v>
      </c>
      <c r="D27" s="390" t="s">
        <v>245</v>
      </c>
      <c r="E27" s="390" t="s">
        <v>263</v>
      </c>
      <c r="F27" s="391">
        <v>132</v>
      </c>
      <c r="G27" s="129">
        <f t="shared" si="0"/>
        <v>51.126</v>
      </c>
      <c r="H27" s="392">
        <v>39682.444444444445</v>
      </c>
      <c r="I27" s="149">
        <v>39682.638194444444</v>
      </c>
      <c r="J27" s="393">
        <f t="shared" si="1"/>
        <v>4.649999999965075</v>
      </c>
      <c r="K27" s="394">
        <f t="shared" si="2"/>
        <v>279</v>
      </c>
      <c r="L27" s="216" t="s">
        <v>200</v>
      </c>
      <c r="M27" s="151" t="str">
        <f t="shared" si="3"/>
        <v>--</v>
      </c>
      <c r="N27" s="395">
        <f t="shared" si="4"/>
        <v>40</v>
      </c>
      <c r="O27" s="396">
        <f t="shared" si="5"/>
        <v>950.9436000000001</v>
      </c>
      <c r="P27" s="397" t="str">
        <f t="shared" si="6"/>
        <v>--</v>
      </c>
      <c r="Q27" s="398" t="str">
        <f t="shared" si="7"/>
        <v>--</v>
      </c>
      <c r="R27" s="158" t="str">
        <f t="shared" si="8"/>
        <v>--</v>
      </c>
      <c r="S27" s="151" t="str">
        <f t="shared" si="9"/>
        <v>SI</v>
      </c>
      <c r="T27" s="399">
        <f t="shared" si="10"/>
        <v>950.9436000000001</v>
      </c>
      <c r="U27" s="6"/>
    </row>
    <row r="28" spans="2:21" s="5" customFormat="1" ht="16.5" customHeight="1">
      <c r="B28" s="50"/>
      <c r="C28" s="153">
        <v>62</v>
      </c>
      <c r="D28" s="390" t="s">
        <v>240</v>
      </c>
      <c r="E28" s="390" t="s">
        <v>275</v>
      </c>
      <c r="F28" s="391">
        <v>132</v>
      </c>
      <c r="G28" s="129">
        <f t="shared" si="0"/>
        <v>51.126</v>
      </c>
      <c r="H28" s="392">
        <v>39684.36875</v>
      </c>
      <c r="I28" s="149">
        <v>39684.55138888889</v>
      </c>
      <c r="J28" s="393">
        <f t="shared" si="1"/>
        <v>4.383333333302289</v>
      </c>
      <c r="K28" s="394">
        <f t="shared" si="2"/>
        <v>263</v>
      </c>
      <c r="L28" s="216" t="s">
        <v>200</v>
      </c>
      <c r="M28" s="151" t="str">
        <f t="shared" si="3"/>
        <v>--</v>
      </c>
      <c r="N28" s="395">
        <f t="shared" si="4"/>
        <v>40</v>
      </c>
      <c r="O28" s="396">
        <f t="shared" si="5"/>
        <v>895.72752</v>
      </c>
      <c r="P28" s="397" t="str">
        <f t="shared" si="6"/>
        <v>--</v>
      </c>
      <c r="Q28" s="398" t="str">
        <f t="shared" si="7"/>
        <v>--</v>
      </c>
      <c r="R28" s="158" t="str">
        <f t="shared" si="8"/>
        <v>--</v>
      </c>
      <c r="S28" s="151" t="str">
        <f t="shared" si="9"/>
        <v>SI</v>
      </c>
      <c r="T28" s="399">
        <v>0</v>
      </c>
      <c r="U28" s="6"/>
    </row>
    <row r="29" spans="2:21" s="5" customFormat="1" ht="16.5" customHeight="1">
      <c r="B29" s="50"/>
      <c r="C29" s="270">
        <v>63</v>
      </c>
      <c r="D29" s="390" t="s">
        <v>268</v>
      </c>
      <c r="E29" s="390" t="s">
        <v>276</v>
      </c>
      <c r="F29" s="391">
        <v>132</v>
      </c>
      <c r="G29" s="129">
        <f t="shared" si="0"/>
        <v>51.126</v>
      </c>
      <c r="H29" s="392">
        <v>39685.38611111111</v>
      </c>
      <c r="I29" s="149">
        <v>39685.700694444444</v>
      </c>
      <c r="J29" s="393">
        <f t="shared" si="1"/>
        <v>7.5499999999883585</v>
      </c>
      <c r="K29" s="394">
        <f t="shared" si="2"/>
        <v>453</v>
      </c>
      <c r="L29" s="216" t="s">
        <v>200</v>
      </c>
      <c r="M29" s="151" t="str">
        <f t="shared" si="3"/>
        <v>--</v>
      </c>
      <c r="N29" s="395">
        <f t="shared" si="4"/>
        <v>40</v>
      </c>
      <c r="O29" s="396">
        <f t="shared" si="5"/>
        <v>1544.0052</v>
      </c>
      <c r="P29" s="397" t="str">
        <f t="shared" si="6"/>
        <v>--</v>
      </c>
      <c r="Q29" s="398" t="str">
        <f t="shared" si="7"/>
        <v>--</v>
      </c>
      <c r="R29" s="158" t="str">
        <f t="shared" si="8"/>
        <v>--</v>
      </c>
      <c r="S29" s="151" t="str">
        <f t="shared" si="9"/>
        <v>SI</v>
      </c>
      <c r="T29" s="399">
        <v>0</v>
      </c>
      <c r="U29" s="6"/>
    </row>
    <row r="30" spans="2:21" s="5" customFormat="1" ht="16.5" customHeight="1">
      <c r="B30" s="50"/>
      <c r="C30" s="153">
        <v>64</v>
      </c>
      <c r="D30" s="390" t="s">
        <v>247</v>
      </c>
      <c r="E30" s="390" t="s">
        <v>277</v>
      </c>
      <c r="F30" s="391">
        <v>132</v>
      </c>
      <c r="G30" s="129">
        <f t="shared" si="0"/>
        <v>51.126</v>
      </c>
      <c r="H30" s="392">
        <v>39686.29583333333</v>
      </c>
      <c r="I30" s="149">
        <v>39686.61875</v>
      </c>
      <c r="J30" s="393">
        <f t="shared" si="1"/>
        <v>7.750000000116415</v>
      </c>
      <c r="K30" s="394">
        <f t="shared" si="2"/>
        <v>465</v>
      </c>
      <c r="L30" s="216" t="s">
        <v>200</v>
      </c>
      <c r="M30" s="151" t="str">
        <f t="shared" si="3"/>
        <v>--</v>
      </c>
      <c r="N30" s="395">
        <f t="shared" si="4"/>
        <v>40</v>
      </c>
      <c r="O30" s="396">
        <f t="shared" si="5"/>
        <v>1584.906</v>
      </c>
      <c r="P30" s="397" t="str">
        <f t="shared" si="6"/>
        <v>--</v>
      </c>
      <c r="Q30" s="398" t="str">
        <f t="shared" si="7"/>
        <v>--</v>
      </c>
      <c r="R30" s="158" t="str">
        <f t="shared" si="8"/>
        <v>--</v>
      </c>
      <c r="S30" s="151" t="str">
        <f t="shared" si="9"/>
        <v>SI</v>
      </c>
      <c r="T30" s="399">
        <f t="shared" si="10"/>
        <v>1584.906</v>
      </c>
      <c r="U30" s="6"/>
    </row>
    <row r="31" spans="2:21" s="5" customFormat="1" ht="16.5" customHeight="1">
      <c r="B31" s="50"/>
      <c r="C31" s="270">
        <v>65</v>
      </c>
      <c r="D31" s="390" t="s">
        <v>245</v>
      </c>
      <c r="E31" s="390" t="s">
        <v>278</v>
      </c>
      <c r="F31" s="391">
        <v>132</v>
      </c>
      <c r="G31" s="129">
        <f t="shared" si="0"/>
        <v>51.126</v>
      </c>
      <c r="H31" s="392">
        <v>39686.42152777778</v>
      </c>
      <c r="I31" s="149">
        <v>39686.71388888889</v>
      </c>
      <c r="J31" s="393">
        <f t="shared" si="1"/>
        <v>7.016666666662786</v>
      </c>
      <c r="K31" s="394">
        <f t="shared" si="2"/>
        <v>421</v>
      </c>
      <c r="L31" s="216" t="s">
        <v>200</v>
      </c>
      <c r="M31" s="151" t="str">
        <f t="shared" si="3"/>
        <v>--</v>
      </c>
      <c r="N31" s="395">
        <f t="shared" si="4"/>
        <v>40</v>
      </c>
      <c r="O31" s="396">
        <f t="shared" si="5"/>
        <v>1435.61808</v>
      </c>
      <c r="P31" s="397" t="str">
        <f t="shared" si="6"/>
        <v>--</v>
      </c>
      <c r="Q31" s="398" t="str">
        <f t="shared" si="7"/>
        <v>--</v>
      </c>
      <c r="R31" s="158" t="str">
        <f t="shared" si="8"/>
        <v>--</v>
      </c>
      <c r="S31" s="151" t="str">
        <f t="shared" si="9"/>
        <v>SI</v>
      </c>
      <c r="T31" s="399">
        <f t="shared" si="10"/>
        <v>1435.61808</v>
      </c>
      <c r="U31" s="6"/>
    </row>
    <row r="32" spans="2:21" s="5" customFormat="1" ht="16.5" customHeight="1">
      <c r="B32" s="50"/>
      <c r="C32" s="153">
        <v>66</v>
      </c>
      <c r="D32" s="390" t="s">
        <v>247</v>
      </c>
      <c r="E32" s="390" t="s">
        <v>277</v>
      </c>
      <c r="F32" s="391">
        <v>132</v>
      </c>
      <c r="G32" s="129">
        <f t="shared" si="0"/>
        <v>51.126</v>
      </c>
      <c r="H32" s="392">
        <v>39687.28402777778</v>
      </c>
      <c r="I32" s="149">
        <v>39687.635416666664</v>
      </c>
      <c r="J32" s="393">
        <f t="shared" si="1"/>
        <v>8.43333333323244</v>
      </c>
      <c r="K32" s="394">
        <f t="shared" si="2"/>
        <v>506</v>
      </c>
      <c r="L32" s="216" t="s">
        <v>200</v>
      </c>
      <c r="M32" s="151" t="str">
        <f t="shared" si="3"/>
        <v>--</v>
      </c>
      <c r="N32" s="395">
        <f t="shared" si="4"/>
        <v>40</v>
      </c>
      <c r="O32" s="396">
        <f t="shared" si="5"/>
        <v>1723.96872</v>
      </c>
      <c r="P32" s="397" t="str">
        <f t="shared" si="6"/>
        <v>--</v>
      </c>
      <c r="Q32" s="398" t="str">
        <f t="shared" si="7"/>
        <v>--</v>
      </c>
      <c r="R32" s="158" t="str">
        <f t="shared" si="8"/>
        <v>--</v>
      </c>
      <c r="S32" s="151" t="str">
        <f t="shared" si="9"/>
        <v>SI</v>
      </c>
      <c r="T32" s="399">
        <f t="shared" si="10"/>
        <v>1723.96872</v>
      </c>
      <c r="U32" s="6"/>
    </row>
    <row r="33" spans="2:21" s="5" customFormat="1" ht="16.5" customHeight="1">
      <c r="B33" s="50"/>
      <c r="C33" s="270">
        <v>67</v>
      </c>
      <c r="D33" s="390" t="s">
        <v>245</v>
      </c>
      <c r="E33" s="390" t="s">
        <v>278</v>
      </c>
      <c r="F33" s="391">
        <v>132</v>
      </c>
      <c r="G33" s="129">
        <f t="shared" si="0"/>
        <v>51.126</v>
      </c>
      <c r="H33" s="392">
        <v>39687.356944444444</v>
      </c>
      <c r="I33" s="149">
        <v>39687.72083333333</v>
      </c>
      <c r="J33" s="393">
        <f t="shared" si="1"/>
        <v>8.733333333337214</v>
      </c>
      <c r="K33" s="394">
        <f t="shared" si="2"/>
        <v>524</v>
      </c>
      <c r="L33" s="216" t="s">
        <v>200</v>
      </c>
      <c r="M33" s="151" t="str">
        <f t="shared" si="3"/>
        <v>--</v>
      </c>
      <c r="N33" s="395">
        <f t="shared" si="4"/>
        <v>40</v>
      </c>
      <c r="O33" s="396">
        <f t="shared" si="5"/>
        <v>1785.31992</v>
      </c>
      <c r="P33" s="397" t="str">
        <f t="shared" si="6"/>
        <v>--</v>
      </c>
      <c r="Q33" s="398" t="str">
        <f t="shared" si="7"/>
        <v>--</v>
      </c>
      <c r="R33" s="158" t="str">
        <f t="shared" si="8"/>
        <v>--</v>
      </c>
      <c r="S33" s="151" t="str">
        <f t="shared" si="9"/>
        <v>SI</v>
      </c>
      <c r="T33" s="399">
        <f t="shared" si="10"/>
        <v>1785.31992</v>
      </c>
      <c r="U33" s="6"/>
    </row>
    <row r="34" spans="2:21" s="5" customFormat="1" ht="16.5" customHeight="1">
      <c r="B34" s="50"/>
      <c r="C34" s="153">
        <v>68</v>
      </c>
      <c r="D34" s="390" t="s">
        <v>245</v>
      </c>
      <c r="E34" s="390" t="s">
        <v>278</v>
      </c>
      <c r="F34" s="391">
        <v>132</v>
      </c>
      <c r="G34" s="129">
        <f t="shared" si="0"/>
        <v>51.126</v>
      </c>
      <c r="H34" s="392">
        <v>39688.342361111114</v>
      </c>
      <c r="I34" s="149">
        <v>39688.739583333336</v>
      </c>
      <c r="J34" s="393">
        <f t="shared" si="1"/>
        <v>9.533333333325572</v>
      </c>
      <c r="K34" s="394">
        <f t="shared" si="2"/>
        <v>572</v>
      </c>
      <c r="L34" s="216" t="s">
        <v>200</v>
      </c>
      <c r="M34" s="151" t="str">
        <f t="shared" si="3"/>
        <v>--</v>
      </c>
      <c r="N34" s="395">
        <f t="shared" si="4"/>
        <v>40</v>
      </c>
      <c r="O34" s="396">
        <f t="shared" si="5"/>
        <v>1948.92312</v>
      </c>
      <c r="P34" s="397" t="str">
        <f t="shared" si="6"/>
        <v>--</v>
      </c>
      <c r="Q34" s="398" t="str">
        <f t="shared" si="7"/>
        <v>--</v>
      </c>
      <c r="R34" s="158" t="str">
        <f t="shared" si="8"/>
        <v>--</v>
      </c>
      <c r="S34" s="151" t="str">
        <f t="shared" si="9"/>
        <v>SI</v>
      </c>
      <c r="T34" s="399">
        <f t="shared" si="10"/>
        <v>1948.92312</v>
      </c>
      <c r="U34" s="6"/>
    </row>
    <row r="35" spans="2:21" s="5" customFormat="1" ht="16.5" customHeight="1">
      <c r="B35" s="50"/>
      <c r="C35" s="270">
        <v>69</v>
      </c>
      <c r="D35" s="390" t="s">
        <v>245</v>
      </c>
      <c r="E35" s="390" t="s">
        <v>278</v>
      </c>
      <c r="F35" s="391">
        <v>132</v>
      </c>
      <c r="G35" s="129">
        <f t="shared" si="0"/>
        <v>51.126</v>
      </c>
      <c r="H35" s="392">
        <v>39689.34583333333</v>
      </c>
      <c r="I35" s="149">
        <v>39689.72986111111</v>
      </c>
      <c r="J35" s="393">
        <f t="shared" si="1"/>
        <v>9.216666666674428</v>
      </c>
      <c r="K35" s="394">
        <f t="shared" si="2"/>
        <v>553</v>
      </c>
      <c r="L35" s="216" t="s">
        <v>200</v>
      </c>
      <c r="M35" s="151" t="str">
        <f t="shared" si="3"/>
        <v>--</v>
      </c>
      <c r="N35" s="395">
        <f t="shared" si="4"/>
        <v>40</v>
      </c>
      <c r="O35" s="396">
        <f t="shared" si="5"/>
        <v>1885.5268800000003</v>
      </c>
      <c r="P35" s="397" t="str">
        <f t="shared" si="6"/>
        <v>--</v>
      </c>
      <c r="Q35" s="398" t="str">
        <f t="shared" si="7"/>
        <v>--</v>
      </c>
      <c r="R35" s="158" t="str">
        <f t="shared" si="8"/>
        <v>--</v>
      </c>
      <c r="S35" s="151" t="str">
        <f t="shared" si="9"/>
        <v>SI</v>
      </c>
      <c r="T35" s="399">
        <f t="shared" si="10"/>
        <v>1885.5268800000003</v>
      </c>
      <c r="U35" s="6"/>
    </row>
    <row r="36" spans="2:21" s="5" customFormat="1" ht="16.5" customHeight="1">
      <c r="B36" s="50"/>
      <c r="C36" s="153"/>
      <c r="D36" s="390"/>
      <c r="E36" s="390"/>
      <c r="F36" s="391"/>
      <c r="G36" s="129">
        <f t="shared" si="0"/>
        <v>51.126</v>
      </c>
      <c r="H36" s="392"/>
      <c r="I36" s="149"/>
      <c r="J36" s="393">
        <f t="shared" si="1"/>
      </c>
      <c r="K36" s="394">
        <f t="shared" si="2"/>
      </c>
      <c r="L36" s="216"/>
      <c r="M36" s="151">
        <f t="shared" si="3"/>
      </c>
      <c r="N36" s="395">
        <f t="shared" si="4"/>
        <v>40</v>
      </c>
      <c r="O36" s="396" t="str">
        <f t="shared" si="5"/>
        <v>--</v>
      </c>
      <c r="P36" s="397" t="str">
        <f t="shared" si="6"/>
        <v>--</v>
      </c>
      <c r="Q36" s="398" t="str">
        <f t="shared" si="7"/>
        <v>--</v>
      </c>
      <c r="R36" s="158" t="str">
        <f t="shared" si="8"/>
        <v>--</v>
      </c>
      <c r="S36" s="151">
        <f t="shared" si="9"/>
      </c>
      <c r="T36" s="399">
        <f t="shared" si="10"/>
      </c>
      <c r="U36" s="6"/>
    </row>
    <row r="37" spans="2:21" s="5" customFormat="1" ht="16.5" customHeight="1">
      <c r="B37" s="50"/>
      <c r="C37" s="270"/>
      <c r="D37" s="390"/>
      <c r="E37" s="390"/>
      <c r="F37" s="391"/>
      <c r="G37" s="129">
        <f t="shared" si="0"/>
        <v>51.126</v>
      </c>
      <c r="H37" s="392"/>
      <c r="I37" s="149"/>
      <c r="J37" s="393">
        <f t="shared" si="1"/>
      </c>
      <c r="K37" s="394">
        <f t="shared" si="2"/>
      </c>
      <c r="L37" s="216"/>
      <c r="M37" s="151">
        <f t="shared" si="3"/>
      </c>
      <c r="N37" s="395">
        <f t="shared" si="4"/>
        <v>40</v>
      </c>
      <c r="O37" s="396" t="str">
        <f t="shared" si="5"/>
        <v>--</v>
      </c>
      <c r="P37" s="397" t="str">
        <f t="shared" si="6"/>
        <v>--</v>
      </c>
      <c r="Q37" s="398" t="str">
        <f t="shared" si="7"/>
        <v>--</v>
      </c>
      <c r="R37" s="158" t="str">
        <f t="shared" si="8"/>
        <v>--</v>
      </c>
      <c r="S37" s="151">
        <f t="shared" si="9"/>
      </c>
      <c r="T37" s="399">
        <f t="shared" si="10"/>
      </c>
      <c r="U37" s="6"/>
    </row>
    <row r="38" spans="2:21" s="5" customFormat="1" ht="16.5" customHeight="1">
      <c r="B38" s="50"/>
      <c r="C38" s="153"/>
      <c r="D38" s="390"/>
      <c r="E38" s="390"/>
      <c r="F38" s="391"/>
      <c r="G38" s="129">
        <f t="shared" si="0"/>
        <v>51.126</v>
      </c>
      <c r="H38" s="392"/>
      <c r="I38" s="149"/>
      <c r="J38" s="393">
        <f t="shared" si="1"/>
      </c>
      <c r="K38" s="394">
        <f t="shared" si="2"/>
      </c>
      <c r="L38" s="216"/>
      <c r="M38" s="151">
        <f t="shared" si="3"/>
      </c>
      <c r="N38" s="395">
        <f t="shared" si="4"/>
        <v>40</v>
      </c>
      <c r="O38" s="396" t="str">
        <f t="shared" si="5"/>
        <v>--</v>
      </c>
      <c r="P38" s="397" t="str">
        <f t="shared" si="6"/>
        <v>--</v>
      </c>
      <c r="Q38" s="398" t="str">
        <f t="shared" si="7"/>
        <v>--</v>
      </c>
      <c r="R38" s="158" t="str">
        <f t="shared" si="8"/>
        <v>--</v>
      </c>
      <c r="S38" s="151">
        <f t="shared" si="9"/>
      </c>
      <c r="T38" s="399">
        <f t="shared" si="10"/>
      </c>
      <c r="U38" s="6"/>
    </row>
    <row r="39" spans="2:21" s="5" customFormat="1" ht="16.5" customHeight="1">
      <c r="B39" s="50"/>
      <c r="C39" s="270"/>
      <c r="D39" s="390"/>
      <c r="E39" s="390"/>
      <c r="F39" s="391"/>
      <c r="G39" s="129">
        <f t="shared" si="0"/>
        <v>51.126</v>
      </c>
      <c r="H39" s="392"/>
      <c r="I39" s="149"/>
      <c r="J39" s="393">
        <f t="shared" si="1"/>
      </c>
      <c r="K39" s="394">
        <f t="shared" si="2"/>
      </c>
      <c r="L39" s="216"/>
      <c r="M39" s="151">
        <f t="shared" si="3"/>
      </c>
      <c r="N39" s="395">
        <f t="shared" si="4"/>
        <v>40</v>
      </c>
      <c r="O39" s="396" t="str">
        <f t="shared" si="5"/>
        <v>--</v>
      </c>
      <c r="P39" s="397" t="str">
        <f t="shared" si="6"/>
        <v>--</v>
      </c>
      <c r="Q39" s="398" t="str">
        <f t="shared" si="7"/>
        <v>--</v>
      </c>
      <c r="R39" s="158" t="str">
        <f t="shared" si="8"/>
        <v>--</v>
      </c>
      <c r="S39" s="151">
        <f t="shared" si="9"/>
      </c>
      <c r="T39" s="399">
        <f t="shared" si="10"/>
      </c>
      <c r="U39" s="6"/>
    </row>
    <row r="40" spans="2:21" s="5" customFormat="1" ht="16.5" customHeight="1">
      <c r="B40" s="50"/>
      <c r="C40" s="153"/>
      <c r="D40" s="390"/>
      <c r="E40" s="390"/>
      <c r="F40" s="391"/>
      <c r="G40" s="129">
        <f t="shared" si="0"/>
        <v>51.126</v>
      </c>
      <c r="H40" s="392"/>
      <c r="I40" s="149"/>
      <c r="J40" s="393">
        <f t="shared" si="1"/>
      </c>
      <c r="K40" s="394">
        <f t="shared" si="2"/>
      </c>
      <c r="L40" s="216"/>
      <c r="M40" s="151">
        <f t="shared" si="3"/>
      </c>
      <c r="N40" s="395">
        <f t="shared" si="4"/>
        <v>40</v>
      </c>
      <c r="O40" s="396" t="str">
        <f t="shared" si="5"/>
        <v>--</v>
      </c>
      <c r="P40" s="397" t="str">
        <f t="shared" si="6"/>
        <v>--</v>
      </c>
      <c r="Q40" s="398" t="str">
        <f t="shared" si="7"/>
        <v>--</v>
      </c>
      <c r="R40" s="158" t="str">
        <f t="shared" si="8"/>
        <v>--</v>
      </c>
      <c r="S40" s="151">
        <f t="shared" si="9"/>
      </c>
      <c r="T40" s="399">
        <f t="shared" si="10"/>
      </c>
      <c r="U40" s="6"/>
    </row>
    <row r="41" spans="2:21" s="5" customFormat="1" ht="16.5" customHeight="1">
      <c r="B41" s="50"/>
      <c r="C41" s="270"/>
      <c r="D41" s="390"/>
      <c r="E41" s="390"/>
      <c r="F41" s="391"/>
      <c r="G41" s="129">
        <f t="shared" si="0"/>
        <v>51.126</v>
      </c>
      <c r="H41" s="392"/>
      <c r="I41" s="149"/>
      <c r="J41" s="393">
        <f t="shared" si="1"/>
      </c>
      <c r="K41" s="394">
        <f t="shared" si="2"/>
      </c>
      <c r="L41" s="216"/>
      <c r="M41" s="151">
        <f t="shared" si="3"/>
      </c>
      <c r="N41" s="395">
        <f t="shared" si="4"/>
        <v>40</v>
      </c>
      <c r="O41" s="396" t="str">
        <f t="shared" si="5"/>
        <v>--</v>
      </c>
      <c r="P41" s="397" t="str">
        <f t="shared" si="6"/>
        <v>--</v>
      </c>
      <c r="Q41" s="398" t="str">
        <f t="shared" si="7"/>
        <v>--</v>
      </c>
      <c r="R41" s="158" t="str">
        <f t="shared" si="8"/>
        <v>--</v>
      </c>
      <c r="S41" s="151">
        <f t="shared" si="9"/>
      </c>
      <c r="T41" s="399">
        <f t="shared" si="10"/>
      </c>
      <c r="U41" s="6"/>
    </row>
    <row r="42" spans="2:21" s="5" customFormat="1" ht="16.5" customHeight="1">
      <c r="B42" s="50"/>
      <c r="C42" s="153"/>
      <c r="D42" s="390"/>
      <c r="E42" s="390"/>
      <c r="F42" s="391"/>
      <c r="G42" s="129">
        <f t="shared" si="0"/>
        <v>51.126</v>
      </c>
      <c r="H42" s="392"/>
      <c r="I42" s="149"/>
      <c r="J42" s="393">
        <f t="shared" si="1"/>
      </c>
      <c r="K42" s="394">
        <f t="shared" si="2"/>
      </c>
      <c r="L42" s="216"/>
      <c r="M42" s="151">
        <f t="shared" si="3"/>
      </c>
      <c r="N42" s="395">
        <f t="shared" si="4"/>
        <v>40</v>
      </c>
      <c r="O42" s="396" t="str">
        <f t="shared" si="5"/>
        <v>--</v>
      </c>
      <c r="P42" s="397" t="str">
        <f t="shared" si="6"/>
        <v>--</v>
      </c>
      <c r="Q42" s="398" t="str">
        <f t="shared" si="7"/>
        <v>--</v>
      </c>
      <c r="R42" s="158" t="str">
        <f t="shared" si="8"/>
        <v>--</v>
      </c>
      <c r="S42" s="151">
        <f t="shared" si="9"/>
      </c>
      <c r="T42" s="399">
        <f t="shared" si="10"/>
      </c>
      <c r="U42" s="6"/>
    </row>
    <row r="43" spans="2:21" s="5" customFormat="1" ht="16.5" customHeight="1">
      <c r="B43" s="50"/>
      <c r="C43" s="270"/>
      <c r="D43" s="390"/>
      <c r="E43" s="390"/>
      <c r="F43" s="391"/>
      <c r="G43" s="129">
        <f t="shared" si="0"/>
        <v>51.126</v>
      </c>
      <c r="H43" s="392"/>
      <c r="I43" s="149"/>
      <c r="J43" s="393">
        <f t="shared" si="1"/>
      </c>
      <c r="K43" s="394">
        <f t="shared" si="2"/>
      </c>
      <c r="L43" s="216"/>
      <c r="M43" s="151">
        <f t="shared" si="3"/>
      </c>
      <c r="N43" s="395">
        <f t="shared" si="4"/>
        <v>40</v>
      </c>
      <c r="O43" s="396" t="str">
        <f t="shared" si="5"/>
        <v>--</v>
      </c>
      <c r="P43" s="397" t="str">
        <f t="shared" si="6"/>
        <v>--</v>
      </c>
      <c r="Q43" s="398" t="str">
        <f t="shared" si="7"/>
        <v>--</v>
      </c>
      <c r="R43" s="158" t="str">
        <f t="shared" si="8"/>
        <v>--</v>
      </c>
      <c r="S43" s="151">
        <f t="shared" si="9"/>
      </c>
      <c r="T43" s="399">
        <f t="shared" si="10"/>
      </c>
      <c r="U43" s="6"/>
    </row>
    <row r="44" spans="2:21" s="5" customFormat="1" ht="16.5" customHeight="1" thickBot="1">
      <c r="B44" s="50"/>
      <c r="C44" s="153"/>
      <c r="D44" s="145"/>
      <c r="E44" s="145"/>
      <c r="F44" s="224"/>
      <c r="G44" s="130"/>
      <c r="H44" s="400"/>
      <c r="I44" s="400"/>
      <c r="J44" s="401"/>
      <c r="K44" s="401"/>
      <c r="L44" s="400"/>
      <c r="M44" s="150"/>
      <c r="N44" s="402"/>
      <c r="O44" s="403"/>
      <c r="P44" s="404"/>
      <c r="Q44" s="405"/>
      <c r="R44" s="160"/>
      <c r="S44" s="150"/>
      <c r="T44" s="406"/>
      <c r="U44" s="6"/>
    </row>
    <row r="45" spans="2:21" s="5" customFormat="1" ht="16.5" customHeight="1" thickBot="1" thickTop="1">
      <c r="B45" s="50"/>
      <c r="C45" s="126" t="s">
        <v>23</v>
      </c>
      <c r="D45" s="127" t="s">
        <v>302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07">
        <f>SUM(O22:O44)</f>
        <v>17159.93064</v>
      </c>
      <c r="P45" s="408">
        <f>SUM(P22:P44)</f>
        <v>0</v>
      </c>
      <c r="Q45" s="409">
        <f>SUM(Q22:Q44)</f>
        <v>0</v>
      </c>
      <c r="R45" s="410">
        <f>SUM(R22:R44)</f>
        <v>0</v>
      </c>
      <c r="S45" s="411"/>
      <c r="T45" s="99">
        <f>ROUND(SUM(T22:T44),2)</f>
        <v>41178.93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75"/>
      <c r="V47" s="175"/>
      <c r="W47" s="175"/>
    </row>
    <row r="48" spans="21:23" ht="16.5" customHeight="1">
      <c r="U48" s="175"/>
      <c r="V48" s="175"/>
      <c r="W48" s="175"/>
    </row>
    <row r="49" spans="21:23" ht="16.5" customHeight="1">
      <c r="U49" s="175"/>
      <c r="V49" s="175"/>
      <c r="W49" s="175"/>
    </row>
    <row r="50" spans="21:23" ht="16.5" customHeight="1">
      <c r="U50" s="175"/>
      <c r="V50" s="175"/>
      <c r="W50" s="175"/>
    </row>
    <row r="51" spans="21:23" ht="16.5" customHeight="1">
      <c r="U51" s="175"/>
      <c r="V51" s="175"/>
      <c r="W51" s="175"/>
    </row>
    <row r="52" spans="4:23" ht="16.5" customHeight="1"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</row>
    <row r="53" spans="4:23" ht="16.5" customHeight="1"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</row>
    <row r="54" spans="4:23" ht="16.5" customHeight="1"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</row>
    <row r="55" spans="4:23" ht="16.5" customHeight="1"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</row>
    <row r="56" spans="4:23" ht="16.5" customHeight="1"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</row>
    <row r="57" spans="4:23" ht="16.5" customHeight="1"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</row>
    <row r="58" spans="4:23" ht="16.5" customHeight="1"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</row>
    <row r="59" spans="4:23" ht="16.5" customHeight="1"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</row>
    <row r="60" spans="4:23" ht="16.5" customHeight="1"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</row>
    <row r="61" spans="4:23" ht="16.5" customHeight="1"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</row>
    <row r="62" spans="4:23" ht="16.5" customHeight="1"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4:23" ht="16.5" customHeight="1"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</row>
    <row r="64" spans="4:23" ht="16.5" customHeight="1"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</row>
    <row r="65" spans="4:23" ht="16.5" customHeight="1"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</row>
    <row r="66" spans="4:23" ht="16.5" customHeight="1"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</row>
    <row r="67" spans="4:23" ht="16.5" customHeight="1"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</row>
    <row r="68" spans="4:23" ht="16.5" customHeight="1"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</row>
    <row r="69" spans="4:23" ht="16.5" customHeight="1"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</row>
    <row r="70" spans="4:23" ht="16.5" customHeight="1"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</row>
    <row r="71" spans="4:23" ht="16.5" customHeight="1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</row>
    <row r="72" spans="4:23" ht="16.5" customHeight="1"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</row>
    <row r="73" spans="4:23" ht="16.5" customHeight="1"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</row>
    <row r="74" spans="4:23" ht="16.5" customHeight="1"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</row>
    <row r="75" spans="4:23" ht="16.5" customHeight="1"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</row>
    <row r="76" spans="4:23" ht="16.5" customHeight="1"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</row>
    <row r="77" spans="4:23" ht="16.5" customHeight="1"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</row>
    <row r="78" spans="4:23" ht="16.5" customHeight="1"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</row>
    <row r="79" spans="4:23" ht="16.5" customHeight="1"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</row>
    <row r="80" spans="4:23" ht="16.5" customHeight="1"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</row>
    <row r="81" spans="4:23" ht="16.5" customHeight="1"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</row>
    <row r="82" spans="4:23" ht="16.5" customHeight="1"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</row>
    <row r="83" spans="4:23" ht="16.5" customHeight="1"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</row>
    <row r="84" spans="4:23" ht="16.5" customHeight="1"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</row>
    <row r="85" spans="4:23" ht="16.5" customHeight="1"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</row>
    <row r="86" spans="4:23" ht="16.5" customHeight="1"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</row>
    <row r="87" spans="4:23" ht="16.5" customHeight="1"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</row>
    <row r="88" spans="4:23" ht="16.5" customHeight="1"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</row>
    <row r="89" spans="4:23" ht="16.5" customHeight="1"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</row>
    <row r="90" spans="4:23" ht="16.5" customHeight="1"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</row>
    <row r="91" spans="4:23" ht="16.5" customHeight="1"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</row>
    <row r="92" spans="4:23" ht="16.5" customHeight="1"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</row>
    <row r="93" spans="4:23" ht="16.5" customHeight="1"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</row>
    <row r="94" spans="4:23" ht="16.5" customHeight="1"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</row>
    <row r="95" spans="4:23" ht="16.5" customHeight="1"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</row>
    <row r="96" spans="4:23" ht="16.5" customHeight="1"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</row>
    <row r="97" spans="4:23" ht="16.5" customHeight="1"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</row>
    <row r="98" spans="4:23" ht="16.5" customHeight="1"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</row>
    <row r="99" spans="4:23" ht="16.5" customHeight="1"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</row>
    <row r="100" spans="4:23" ht="16.5" customHeight="1"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</row>
    <row r="101" spans="4:23" ht="16.5" customHeight="1"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</row>
    <row r="102" spans="4:23" ht="16.5" customHeight="1"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</row>
    <row r="103" spans="4:23" ht="16.5" customHeight="1"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</row>
    <row r="104" spans="4:23" ht="16.5" customHeight="1"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</row>
    <row r="105" spans="4:23" ht="16.5" customHeight="1"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</row>
    <row r="106" spans="4:23" ht="16.5" customHeight="1"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</row>
    <row r="107" spans="4:23" ht="16.5" customHeight="1"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</row>
    <row r="108" spans="4:23" ht="16.5" customHeight="1"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</row>
    <row r="109" spans="4:23" ht="16.5" customHeight="1"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</row>
    <row r="110" spans="4:23" ht="16.5" customHeight="1"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</row>
    <row r="111" spans="4:23" ht="16.5" customHeight="1"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</row>
    <row r="112" spans="4:23" ht="16.5" customHeight="1"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</row>
    <row r="113" spans="4:23" ht="16.5" customHeight="1"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</row>
    <row r="114" spans="4:23" ht="16.5" customHeight="1"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</row>
    <row r="115" spans="4:23" ht="16.5" customHeight="1"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</row>
    <row r="116" spans="4:23" ht="16.5" customHeight="1"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</row>
    <row r="117" spans="4:23" ht="16.5" customHeight="1"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</row>
    <row r="118" spans="4:23" ht="16.5" customHeight="1"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</row>
    <row r="119" spans="4:23" ht="16.5" customHeight="1"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</row>
    <row r="120" spans="4:23" ht="16.5" customHeight="1"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</row>
    <row r="121" spans="4:23" ht="16.5" customHeight="1"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</row>
    <row r="122" spans="4:23" ht="16.5" customHeight="1"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</row>
    <row r="123" spans="4:23" ht="16.5" customHeight="1"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</row>
    <row r="124" spans="4:23" ht="16.5" customHeight="1"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</row>
    <row r="125" spans="4:23" ht="16.5" customHeight="1"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</row>
    <row r="126" spans="4:23" ht="16.5" customHeight="1"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</row>
    <row r="127" spans="4:23" ht="16.5" customHeight="1"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</row>
    <row r="128" spans="4:23" ht="16.5" customHeight="1"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</row>
    <row r="129" spans="4:23" ht="16.5" customHeight="1"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</row>
    <row r="130" spans="4:23" ht="16.5" customHeight="1"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</row>
    <row r="131" spans="4:23" ht="16.5" customHeight="1"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</row>
    <row r="132" spans="4:23" ht="16.5" customHeight="1"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</row>
    <row r="133" spans="4:23" ht="16.5" customHeight="1"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</row>
    <row r="134" spans="4:23" ht="16.5" customHeight="1"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</row>
    <row r="135" spans="4:23" ht="16.5" customHeight="1"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</row>
    <row r="136" spans="4:23" ht="16.5" customHeight="1"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</row>
    <row r="137" spans="4:23" ht="16.5" customHeight="1"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</row>
    <row r="138" spans="4:23" ht="16.5" customHeight="1"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</row>
    <row r="139" spans="4:23" ht="16.5" customHeight="1"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</row>
    <row r="140" spans="4:23" ht="16.5" customHeight="1"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</row>
    <row r="141" spans="4:23" ht="16.5" customHeight="1"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</row>
    <row r="142" spans="4:23" ht="16.5" customHeight="1"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</row>
    <row r="143" spans="4:23" ht="16.5" customHeight="1"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</row>
    <row r="144" spans="4:23" ht="16.5" customHeight="1"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</row>
    <row r="145" spans="4:23" ht="16.5" customHeight="1"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</row>
    <row r="146" spans="4:23" ht="16.5" customHeight="1"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</row>
    <row r="147" spans="4:23" ht="16.5" customHeight="1"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</row>
    <row r="148" spans="4:23" ht="16.5" customHeight="1"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</row>
    <row r="149" spans="4:23" ht="16.5" customHeight="1"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</row>
    <row r="150" spans="4:23" ht="16.5" customHeight="1"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</row>
    <row r="151" spans="4:23" ht="16.5" customHeight="1"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</row>
    <row r="152" spans="4:23" ht="16.5" customHeight="1"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</row>
    <row r="153" spans="4:23" ht="16.5" customHeight="1"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</row>
    <row r="154" spans="4:23" ht="16.5" customHeight="1"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</row>
    <row r="155" spans="4:23" ht="16.5" customHeight="1"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</row>
    <row r="156" spans="4:23" ht="16.5" customHeight="1"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</row>
    <row r="157" spans="4:23" ht="16.5" customHeight="1"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</row>
    <row r="158" spans="4:23" ht="16.5" customHeight="1"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</row>
    <row r="159" spans="4:23" ht="16.5" customHeight="1"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AA156"/>
  <sheetViews>
    <sheetView zoomScale="75" zoomScaleNormal="75" workbookViewId="0" topLeftCell="B1">
      <selection activeCell="E49" sqref="E49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00390625" style="0" customWidth="1"/>
    <col min="7" max="7" width="5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20" width="9.57421875" style="0" hidden="1" customWidth="1"/>
    <col min="21" max="22" width="12.28125" style="0" hidden="1" customWidth="1"/>
    <col min="23" max="23" width="9.7109375" style="0" customWidth="1"/>
    <col min="24" max="25" width="15.7109375" style="0" customWidth="1"/>
  </cols>
  <sheetData>
    <row r="1" s="18" customFormat="1" ht="26.25">
      <c r="Y1" s="142"/>
    </row>
    <row r="2" spans="1:25" s="18" customFormat="1" ht="26.25">
      <c r="A2" s="89"/>
      <c r="B2" s="413" t="str">
        <f>+'TOT-0808'!B2</f>
        <v>ANEXO III al Memorándum D.T.E.E. N°  366 / 2010            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D8" s="174" t="s">
        <v>80</v>
      </c>
      <c r="E8" s="414"/>
      <c r="F8" s="171"/>
      <c r="G8" s="170"/>
      <c r="H8" s="170"/>
      <c r="I8" s="170"/>
      <c r="J8" s="170"/>
      <c r="K8" s="170"/>
      <c r="L8" s="170"/>
      <c r="M8" s="170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415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D10" s="11" t="s">
        <v>81</v>
      </c>
      <c r="F10" s="416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D12" s="11" t="s">
        <v>82</v>
      </c>
      <c r="F12" s="416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2:25" s="36" customFormat="1" ht="16.5" customHeight="1">
      <c r="B14" s="37" t="str">
        <f>'TOT-0808'!B14</f>
        <v>Desde el 01 al 31 de agosto de 2008</v>
      </c>
      <c r="C14" s="417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7"/>
      <c r="Q14" s="417"/>
      <c r="R14" s="417"/>
      <c r="S14" s="417"/>
      <c r="T14" s="417"/>
      <c r="U14" s="417"/>
      <c r="V14" s="417"/>
      <c r="W14" s="417"/>
      <c r="X14" s="417"/>
      <c r="Y14" s="419"/>
    </row>
    <row r="15" spans="2:25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6.5" customHeight="1" thickBot="1" thickTop="1">
      <c r="B16" s="50"/>
      <c r="C16" s="4"/>
      <c r="D16" s="115" t="s">
        <v>72</v>
      </c>
      <c r="E16" s="420"/>
      <c r="F16" s="746">
        <v>0.319</v>
      </c>
      <c r="G16" s="355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6.5" customHeight="1" thickBot="1" thickTop="1">
      <c r="B17" s="50"/>
      <c r="C17" s="4"/>
      <c r="D17" s="421" t="s">
        <v>24</v>
      </c>
      <c r="E17" s="422"/>
      <c r="F17" s="747">
        <v>20</v>
      </c>
      <c r="G17" s="355"/>
      <c r="H17"/>
      <c r="I17" s="199"/>
      <c r="J17" s="200"/>
      <c r="K17" s="4"/>
      <c r="L17" s="4"/>
      <c r="M17" s="4"/>
      <c r="O17" s="4"/>
      <c r="P17" s="4"/>
      <c r="Q17" s="4"/>
      <c r="R17" s="114"/>
      <c r="S17" s="114"/>
      <c r="T17" s="114"/>
      <c r="U17" s="114"/>
      <c r="V17" s="114"/>
      <c r="W17" s="114"/>
      <c r="X17" s="114"/>
      <c r="Y17" s="6"/>
    </row>
    <row r="18" spans="2:25" s="5" customFormat="1" ht="16.5" customHeight="1" thickBot="1" thickTop="1">
      <c r="B18" s="50"/>
      <c r="C18" s="66"/>
      <c r="D18" s="423"/>
      <c r="E18" s="424"/>
      <c r="F18" s="424"/>
      <c r="G18" s="190"/>
      <c r="H18" s="190"/>
      <c r="I18" s="190"/>
      <c r="J18" s="190"/>
      <c r="K18" s="190"/>
      <c r="L18" s="190"/>
      <c r="M18" s="190"/>
      <c r="N18" s="190"/>
      <c r="O18" s="425"/>
      <c r="P18" s="426"/>
      <c r="Q18" s="427"/>
      <c r="R18" s="427"/>
      <c r="S18" s="427"/>
      <c r="T18" s="427"/>
      <c r="U18" s="427"/>
      <c r="V18" s="427"/>
      <c r="W18" s="428"/>
      <c r="X18" s="429"/>
      <c r="Y18" s="6"/>
    </row>
    <row r="19" spans="2:25" s="5" customFormat="1" ht="33.75" customHeight="1" thickBot="1" thickTop="1">
      <c r="B19" s="50"/>
      <c r="C19" s="84" t="s">
        <v>12</v>
      </c>
      <c r="D19" s="86" t="s">
        <v>25</v>
      </c>
      <c r="E19" s="85" t="s">
        <v>26</v>
      </c>
      <c r="F19" s="430" t="s">
        <v>27</v>
      </c>
      <c r="G19" s="128" t="s">
        <v>15</v>
      </c>
      <c r="H19" s="85" t="s">
        <v>16</v>
      </c>
      <c r="I19" s="85" t="s">
        <v>17</v>
      </c>
      <c r="J19" s="86" t="s">
        <v>34</v>
      </c>
      <c r="K19" s="86" t="s">
        <v>29</v>
      </c>
      <c r="L19" s="87" t="s">
        <v>18</v>
      </c>
      <c r="M19" s="87" t="s">
        <v>56</v>
      </c>
      <c r="N19" s="85" t="s">
        <v>30</v>
      </c>
      <c r="O19" s="128" t="s">
        <v>35</v>
      </c>
      <c r="P19" s="431" t="s">
        <v>67</v>
      </c>
      <c r="Q19" s="432" t="s">
        <v>214</v>
      </c>
      <c r="R19" s="433"/>
      <c r="S19" s="252" t="s">
        <v>215</v>
      </c>
      <c r="T19" s="253"/>
      <c r="U19" s="434" t="s">
        <v>21</v>
      </c>
      <c r="V19" s="251" t="s">
        <v>20</v>
      </c>
      <c r="W19" s="131" t="s">
        <v>70</v>
      </c>
      <c r="X19" s="435" t="s">
        <v>22</v>
      </c>
      <c r="Y19" s="6"/>
    </row>
    <row r="20" spans="2:25" s="5" customFormat="1" ht="16.5" customHeight="1" thickTop="1">
      <c r="B20" s="50"/>
      <c r="C20" s="436"/>
      <c r="D20" s="437"/>
      <c r="E20" s="437"/>
      <c r="F20" s="437"/>
      <c r="G20" s="327"/>
      <c r="H20" s="438"/>
      <c r="I20" s="438"/>
      <c r="J20" s="436"/>
      <c r="K20" s="436"/>
      <c r="L20" s="437"/>
      <c r="M20" s="180"/>
      <c r="N20" s="436"/>
      <c r="O20" s="439"/>
      <c r="P20" s="440"/>
      <c r="Q20" s="441"/>
      <c r="R20" s="442"/>
      <c r="S20" s="265"/>
      <c r="T20" s="266"/>
      <c r="U20" s="443"/>
      <c r="V20" s="443"/>
      <c r="W20" s="444"/>
      <c r="X20" s="445"/>
      <c r="Y20" s="6"/>
    </row>
    <row r="21" spans="2:25" s="5" customFormat="1" ht="16.5" customHeight="1">
      <c r="B21" s="50"/>
      <c r="C21" s="270"/>
      <c r="D21" s="446"/>
      <c r="E21" s="447"/>
      <c r="F21" s="448"/>
      <c r="G21" s="449"/>
      <c r="H21" s="450"/>
      <c r="I21" s="451"/>
      <c r="J21" s="452"/>
      <c r="K21" s="453"/>
      <c r="L21" s="454"/>
      <c r="M21" s="181"/>
      <c r="N21" s="455"/>
      <c r="O21" s="456"/>
      <c r="P21" s="457"/>
      <c r="Q21" s="458"/>
      <c r="R21" s="459"/>
      <c r="S21" s="279"/>
      <c r="T21" s="280"/>
      <c r="U21" s="460"/>
      <c r="V21" s="460"/>
      <c r="W21" s="455"/>
      <c r="X21" s="461"/>
      <c r="Y21" s="6"/>
    </row>
    <row r="22" spans="2:25" s="5" customFormat="1" ht="16.5" customHeight="1">
      <c r="B22" s="50"/>
      <c r="C22" s="153">
        <v>70</v>
      </c>
      <c r="D22" s="462" t="s">
        <v>243</v>
      </c>
      <c r="E22" s="390" t="s">
        <v>279</v>
      </c>
      <c r="F22" s="463">
        <v>245</v>
      </c>
      <c r="G22" s="287">
        <f aca="true" t="shared" si="0" ref="G22:G40">F22*$F$16</f>
        <v>78.155</v>
      </c>
      <c r="H22" s="392">
        <v>39661.467361111114</v>
      </c>
      <c r="I22" s="184">
        <v>39661.635416666664</v>
      </c>
      <c r="J22" s="393">
        <f aca="true" t="shared" si="1" ref="J22:J40">IF(D22="","",(I22-H22)*24)</f>
        <v>4.033333333209157</v>
      </c>
      <c r="K22" s="394">
        <f aca="true" t="shared" si="2" ref="K22:K40">IF(D22="","",ROUND((I22-H22)*24*60,0))</f>
        <v>242</v>
      </c>
      <c r="L22" s="216" t="s">
        <v>224</v>
      </c>
      <c r="M22" s="217" t="str">
        <f aca="true" t="shared" si="3" ref="M22:M40">IF(D22="","","--")</f>
        <v>--</v>
      </c>
      <c r="N22" s="151" t="str">
        <f aca="true" t="shared" si="4" ref="N22:N40">IF(D22="","",IF(OR(L22="P",L22="RP"),"--","NO"))</f>
        <v>NO</v>
      </c>
      <c r="O22" s="464">
        <f aca="true" t="shared" si="5" ref="O22:O40">IF(OR(L22="P",L22="RP"),$F$17/10,$F$17)</f>
        <v>20</v>
      </c>
      <c r="P22" s="465" t="str">
        <f aca="true" t="shared" si="6" ref="P22:P40">IF(L22="P",G22*O22*ROUND(K22/60,2),"--")</f>
        <v>--</v>
      </c>
      <c r="Q22" s="466">
        <f aca="true" t="shared" si="7" ref="Q22:Q40">IF(AND(L22="F",N22="NO"),G22*O22,"--")</f>
        <v>1563.1</v>
      </c>
      <c r="R22" s="467">
        <f aca="true" t="shared" si="8" ref="R22:R40">IF(L22="F",G22*O22*ROUND(K22/60,2),"--")</f>
        <v>6299.293</v>
      </c>
      <c r="S22" s="294" t="str">
        <f aca="true" t="shared" si="9" ref="S22:S40">IF(AND(L22="R",N22="NO"),G22*O22*M22/100,"--")</f>
        <v>--</v>
      </c>
      <c r="T22" s="799" t="s">
        <v>197</v>
      </c>
      <c r="U22" s="468" t="str">
        <f aca="true" t="shared" si="10" ref="U22:U40">IF(L22="RF",G22*O22*ROUND(K22/60,2),"--")</f>
        <v>--</v>
      </c>
      <c r="V22" s="291" t="str">
        <f aca="true" t="shared" si="11" ref="V22:V40">IF(L22="RP",G22*O22*M22/100*ROUND(K22/60,2),"--")</f>
        <v>--</v>
      </c>
      <c r="W22" s="151" t="str">
        <f aca="true" t="shared" si="12" ref="W22:W40">IF(D22="","","SI")</f>
        <v>SI</v>
      </c>
      <c r="X22" s="399">
        <f aca="true" t="shared" si="13" ref="X22:X40">IF(D22="","",SUM(P22:V22)*IF(W22="SI",1,2)*IF(AND(M22&lt;&gt;"--",L22="RF"),M22/100,1))</f>
        <v>7862.393</v>
      </c>
      <c r="Y22" s="6"/>
    </row>
    <row r="23" spans="2:25" s="5" customFormat="1" ht="16.5" customHeight="1">
      <c r="B23" s="50"/>
      <c r="C23" s="270">
        <v>71</v>
      </c>
      <c r="D23" s="462" t="s">
        <v>243</v>
      </c>
      <c r="E23" s="390" t="s">
        <v>279</v>
      </c>
      <c r="F23" s="463">
        <v>245</v>
      </c>
      <c r="G23" s="287">
        <f t="shared" si="0"/>
        <v>78.155</v>
      </c>
      <c r="H23" s="392">
        <v>39666.35555555556</v>
      </c>
      <c r="I23" s="184">
        <v>39666.74444444444</v>
      </c>
      <c r="J23" s="393">
        <f t="shared" si="1"/>
        <v>9.333333333197515</v>
      </c>
      <c r="K23" s="394">
        <f t="shared" si="2"/>
        <v>560</v>
      </c>
      <c r="L23" s="216" t="s">
        <v>200</v>
      </c>
      <c r="M23" s="217" t="str">
        <f t="shared" si="3"/>
        <v>--</v>
      </c>
      <c r="N23" s="151" t="str">
        <f t="shared" si="4"/>
        <v>--</v>
      </c>
      <c r="O23" s="464">
        <f t="shared" si="5"/>
        <v>2</v>
      </c>
      <c r="P23" s="465">
        <f t="shared" si="6"/>
        <v>1458.3723</v>
      </c>
      <c r="Q23" s="466" t="str">
        <f t="shared" si="7"/>
        <v>--</v>
      </c>
      <c r="R23" s="467" t="str">
        <f t="shared" si="8"/>
        <v>--</v>
      </c>
      <c r="S23" s="294" t="str">
        <f t="shared" si="9"/>
        <v>--</v>
      </c>
      <c r="T23" s="799" t="s">
        <v>197</v>
      </c>
      <c r="U23" s="468" t="str">
        <f t="shared" si="10"/>
        <v>--</v>
      </c>
      <c r="V23" s="291" t="str">
        <f t="shared" si="11"/>
        <v>--</v>
      </c>
      <c r="W23" s="151" t="str">
        <f t="shared" si="12"/>
        <v>SI</v>
      </c>
      <c r="X23" s="399">
        <f t="shared" si="13"/>
        <v>1458.3723</v>
      </c>
      <c r="Y23" s="6"/>
    </row>
    <row r="24" spans="2:25" s="5" customFormat="1" ht="16.5" customHeight="1">
      <c r="B24" s="50"/>
      <c r="C24" s="153">
        <v>72</v>
      </c>
      <c r="D24" s="462" t="s">
        <v>280</v>
      </c>
      <c r="E24" s="390" t="s">
        <v>281</v>
      </c>
      <c r="F24" s="463">
        <v>150</v>
      </c>
      <c r="G24" s="287">
        <f t="shared" si="0"/>
        <v>47.85</v>
      </c>
      <c r="H24" s="392">
        <v>39669.55694444444</v>
      </c>
      <c r="I24" s="184">
        <v>39670.785416666666</v>
      </c>
      <c r="J24" s="393">
        <f t="shared" si="1"/>
        <v>29.48333333339542</v>
      </c>
      <c r="K24" s="394">
        <f t="shared" si="2"/>
        <v>1769</v>
      </c>
      <c r="L24" s="216" t="s">
        <v>224</v>
      </c>
      <c r="M24" s="217" t="str">
        <f t="shared" si="3"/>
        <v>--</v>
      </c>
      <c r="N24" s="151" t="str">
        <f t="shared" si="4"/>
        <v>NO</v>
      </c>
      <c r="O24" s="464">
        <f t="shared" si="5"/>
        <v>20</v>
      </c>
      <c r="P24" s="465" t="str">
        <f t="shared" si="6"/>
        <v>--</v>
      </c>
      <c r="Q24" s="466">
        <f t="shared" si="7"/>
        <v>957</v>
      </c>
      <c r="R24" s="467">
        <f t="shared" si="8"/>
        <v>28212.36</v>
      </c>
      <c r="S24" s="294" t="str">
        <f t="shared" si="9"/>
        <v>--</v>
      </c>
      <c r="T24" s="799" t="s">
        <v>197</v>
      </c>
      <c r="U24" s="468" t="str">
        <f t="shared" si="10"/>
        <v>--</v>
      </c>
      <c r="V24" s="291" t="str">
        <f t="shared" si="11"/>
        <v>--</v>
      </c>
      <c r="W24" s="151" t="str">
        <f t="shared" si="12"/>
        <v>SI</v>
      </c>
      <c r="X24" s="399">
        <f t="shared" si="13"/>
        <v>29169.36</v>
      </c>
      <c r="Y24" s="6"/>
    </row>
    <row r="25" spans="2:25" s="5" customFormat="1" ht="16.5" customHeight="1">
      <c r="B25" s="50"/>
      <c r="C25" s="270">
        <v>73</v>
      </c>
      <c r="D25" s="462" t="s">
        <v>282</v>
      </c>
      <c r="E25" s="390" t="s">
        <v>283</v>
      </c>
      <c r="F25" s="463">
        <v>150</v>
      </c>
      <c r="G25" s="287">
        <f t="shared" si="0"/>
        <v>47.85</v>
      </c>
      <c r="H25" s="392">
        <v>39674.61736111111</v>
      </c>
      <c r="I25" s="184">
        <v>39675.697916666664</v>
      </c>
      <c r="J25" s="393">
        <f t="shared" si="1"/>
        <v>25.933333333348855</v>
      </c>
      <c r="K25" s="394">
        <f t="shared" si="2"/>
        <v>1556</v>
      </c>
      <c r="L25" s="216" t="s">
        <v>224</v>
      </c>
      <c r="M25" s="217" t="str">
        <f t="shared" si="3"/>
        <v>--</v>
      </c>
      <c r="N25" s="151" t="str">
        <f t="shared" si="4"/>
        <v>NO</v>
      </c>
      <c r="O25" s="464">
        <f t="shared" si="5"/>
        <v>20</v>
      </c>
      <c r="P25" s="465" t="str">
        <f t="shared" si="6"/>
        <v>--</v>
      </c>
      <c r="Q25" s="466">
        <f t="shared" si="7"/>
        <v>957</v>
      </c>
      <c r="R25" s="467">
        <f t="shared" si="8"/>
        <v>24815.01</v>
      </c>
      <c r="S25" s="294" t="str">
        <f t="shared" si="9"/>
        <v>--</v>
      </c>
      <c r="T25" s="799" t="s">
        <v>197</v>
      </c>
      <c r="U25" s="468" t="str">
        <f t="shared" si="10"/>
        <v>--</v>
      </c>
      <c r="V25" s="291" t="str">
        <f t="shared" si="11"/>
        <v>--</v>
      </c>
      <c r="W25" s="151" t="str">
        <f t="shared" si="12"/>
        <v>SI</v>
      </c>
      <c r="X25" s="399">
        <f t="shared" si="13"/>
        <v>25772.01</v>
      </c>
      <c r="Y25" s="469"/>
    </row>
    <row r="26" spans="2:25" s="5" customFormat="1" ht="16.5" customHeight="1">
      <c r="B26" s="50"/>
      <c r="C26" s="153">
        <v>74</v>
      </c>
      <c r="D26" s="462" t="s">
        <v>243</v>
      </c>
      <c r="E26" s="390" t="s">
        <v>279</v>
      </c>
      <c r="F26" s="463">
        <v>245</v>
      </c>
      <c r="G26" s="287">
        <f t="shared" si="0"/>
        <v>78.155</v>
      </c>
      <c r="H26" s="392">
        <v>39676.33263888889</v>
      </c>
      <c r="I26" s="184">
        <v>39679.76944444444</v>
      </c>
      <c r="J26" s="393">
        <f t="shared" si="1"/>
        <v>82.483333333279</v>
      </c>
      <c r="K26" s="394">
        <f t="shared" si="2"/>
        <v>4949</v>
      </c>
      <c r="L26" s="216" t="s">
        <v>200</v>
      </c>
      <c r="M26" s="217" t="str">
        <f t="shared" si="3"/>
        <v>--</v>
      </c>
      <c r="N26" s="151" t="str">
        <f t="shared" si="4"/>
        <v>--</v>
      </c>
      <c r="O26" s="464">
        <f t="shared" si="5"/>
        <v>2</v>
      </c>
      <c r="P26" s="465">
        <f t="shared" si="6"/>
        <v>12892.4488</v>
      </c>
      <c r="Q26" s="466" t="str">
        <f t="shared" si="7"/>
        <v>--</v>
      </c>
      <c r="R26" s="467" t="str">
        <f t="shared" si="8"/>
        <v>--</v>
      </c>
      <c r="S26" s="294" t="str">
        <f t="shared" si="9"/>
        <v>--</v>
      </c>
      <c r="T26" s="799" t="s">
        <v>197</v>
      </c>
      <c r="U26" s="468" t="str">
        <f t="shared" si="10"/>
        <v>--</v>
      </c>
      <c r="V26" s="291" t="str">
        <f t="shared" si="11"/>
        <v>--</v>
      </c>
      <c r="W26" s="151" t="str">
        <f t="shared" si="12"/>
        <v>SI</v>
      </c>
      <c r="X26" s="399">
        <f t="shared" si="13"/>
        <v>12892.4488</v>
      </c>
      <c r="Y26" s="469"/>
    </row>
    <row r="27" spans="2:25" s="5" customFormat="1" ht="16.5" customHeight="1">
      <c r="B27" s="50"/>
      <c r="C27" s="270">
        <v>75</v>
      </c>
      <c r="D27" s="462" t="s">
        <v>243</v>
      </c>
      <c r="E27" s="390" t="s">
        <v>284</v>
      </c>
      <c r="F27" s="463">
        <v>245</v>
      </c>
      <c r="G27" s="287">
        <f t="shared" si="0"/>
        <v>78.155</v>
      </c>
      <c r="H27" s="392">
        <v>39676.333333333336</v>
      </c>
      <c r="I27" s="184">
        <v>39679.76736111111</v>
      </c>
      <c r="J27" s="393">
        <f t="shared" si="1"/>
        <v>82.41666666656965</v>
      </c>
      <c r="K27" s="394">
        <f t="shared" si="2"/>
        <v>4945</v>
      </c>
      <c r="L27" s="216" t="s">
        <v>200</v>
      </c>
      <c r="M27" s="217" t="str">
        <f t="shared" si="3"/>
        <v>--</v>
      </c>
      <c r="N27" s="151" t="str">
        <f t="shared" si="4"/>
        <v>--</v>
      </c>
      <c r="O27" s="464">
        <f t="shared" si="5"/>
        <v>2</v>
      </c>
      <c r="P27" s="465">
        <f t="shared" si="6"/>
        <v>12883.0702</v>
      </c>
      <c r="Q27" s="466" t="str">
        <f t="shared" si="7"/>
        <v>--</v>
      </c>
      <c r="R27" s="467" t="str">
        <f t="shared" si="8"/>
        <v>--</v>
      </c>
      <c r="S27" s="294" t="str">
        <f t="shared" si="9"/>
        <v>--</v>
      </c>
      <c r="T27" s="799" t="s">
        <v>197</v>
      </c>
      <c r="U27" s="468" t="str">
        <f t="shared" si="10"/>
        <v>--</v>
      </c>
      <c r="V27" s="291" t="str">
        <f t="shared" si="11"/>
        <v>--</v>
      </c>
      <c r="W27" s="151" t="str">
        <f t="shared" si="12"/>
        <v>SI</v>
      </c>
      <c r="X27" s="399">
        <f t="shared" si="13"/>
        <v>12883.0702</v>
      </c>
      <c r="Y27" s="469"/>
    </row>
    <row r="28" spans="2:25" s="5" customFormat="1" ht="16.5" customHeight="1">
      <c r="B28" s="50"/>
      <c r="C28" s="153">
        <v>76</v>
      </c>
      <c r="D28" s="462" t="s">
        <v>243</v>
      </c>
      <c r="E28" s="390" t="s">
        <v>284</v>
      </c>
      <c r="F28" s="463">
        <v>245</v>
      </c>
      <c r="G28" s="287">
        <f t="shared" si="0"/>
        <v>78.155</v>
      </c>
      <c r="H28" s="392">
        <v>39681.40833333333</v>
      </c>
      <c r="I28" s="184">
        <v>39681.41458333333</v>
      </c>
      <c r="J28" s="393">
        <f t="shared" si="1"/>
        <v>0.1499999999650754</v>
      </c>
      <c r="K28" s="394">
        <f t="shared" si="2"/>
        <v>9</v>
      </c>
      <c r="L28" s="216" t="s">
        <v>224</v>
      </c>
      <c r="M28" s="217" t="str">
        <f t="shared" si="3"/>
        <v>--</v>
      </c>
      <c r="N28" s="151" t="s">
        <v>197</v>
      </c>
      <c r="O28" s="464">
        <f t="shared" si="5"/>
        <v>20</v>
      </c>
      <c r="P28" s="465" t="str">
        <f t="shared" si="6"/>
        <v>--</v>
      </c>
      <c r="Q28" s="466" t="str">
        <f t="shared" si="7"/>
        <v>--</v>
      </c>
      <c r="R28" s="467">
        <f t="shared" si="8"/>
        <v>234.46499999999997</v>
      </c>
      <c r="S28" s="294" t="str">
        <f t="shared" si="9"/>
        <v>--</v>
      </c>
      <c r="T28" s="799" t="s">
        <v>197</v>
      </c>
      <c r="U28" s="468" t="str">
        <f t="shared" si="10"/>
        <v>--</v>
      </c>
      <c r="V28" s="291" t="str">
        <f t="shared" si="11"/>
        <v>--</v>
      </c>
      <c r="W28" s="151" t="str">
        <f t="shared" si="12"/>
        <v>SI</v>
      </c>
      <c r="X28" s="399">
        <f t="shared" si="13"/>
        <v>234.46499999999997</v>
      </c>
      <c r="Y28" s="469"/>
    </row>
    <row r="29" spans="2:25" s="5" customFormat="1" ht="16.5" customHeight="1">
      <c r="B29" s="50"/>
      <c r="C29" s="270">
        <v>77</v>
      </c>
      <c r="D29" s="462" t="s">
        <v>243</v>
      </c>
      <c r="E29" s="390" t="s">
        <v>279</v>
      </c>
      <c r="F29" s="463">
        <v>245</v>
      </c>
      <c r="G29" s="287">
        <f t="shared" si="0"/>
        <v>78.155</v>
      </c>
      <c r="H29" s="392">
        <v>39681.40972222222</v>
      </c>
      <c r="I29" s="184">
        <v>39681.600694444445</v>
      </c>
      <c r="J29" s="393">
        <f t="shared" si="1"/>
        <v>4.583333333430346</v>
      </c>
      <c r="K29" s="394">
        <f t="shared" si="2"/>
        <v>275</v>
      </c>
      <c r="L29" s="216" t="s">
        <v>200</v>
      </c>
      <c r="M29" s="217" t="str">
        <f t="shared" si="3"/>
        <v>--</v>
      </c>
      <c r="N29" s="151" t="str">
        <f t="shared" si="4"/>
        <v>--</v>
      </c>
      <c r="O29" s="464">
        <f t="shared" si="5"/>
        <v>2</v>
      </c>
      <c r="P29" s="465">
        <f t="shared" si="6"/>
        <v>715.8998</v>
      </c>
      <c r="Q29" s="466" t="str">
        <f t="shared" si="7"/>
        <v>--</v>
      </c>
      <c r="R29" s="467" t="str">
        <f t="shared" si="8"/>
        <v>--</v>
      </c>
      <c r="S29" s="294" t="str">
        <f t="shared" si="9"/>
        <v>--</v>
      </c>
      <c r="T29" s="799" t="s">
        <v>197</v>
      </c>
      <c r="U29" s="468" t="str">
        <f t="shared" si="10"/>
        <v>--</v>
      </c>
      <c r="V29" s="291" t="str">
        <f t="shared" si="11"/>
        <v>--</v>
      </c>
      <c r="W29" s="151" t="str">
        <f t="shared" si="12"/>
        <v>SI</v>
      </c>
      <c r="X29" s="399">
        <f t="shared" si="13"/>
        <v>715.8998</v>
      </c>
      <c r="Y29" s="469"/>
    </row>
    <row r="30" spans="2:25" s="5" customFormat="1" ht="16.5" customHeight="1">
      <c r="B30" s="50"/>
      <c r="C30" s="153">
        <v>78</v>
      </c>
      <c r="D30" s="462" t="s">
        <v>280</v>
      </c>
      <c r="E30" s="390" t="s">
        <v>285</v>
      </c>
      <c r="F30" s="463">
        <v>150</v>
      </c>
      <c r="G30" s="287">
        <f t="shared" si="0"/>
        <v>47.85</v>
      </c>
      <c r="H30" s="392">
        <v>39681.41458333333</v>
      </c>
      <c r="I30" s="184">
        <v>39681.58611111111</v>
      </c>
      <c r="J30" s="393">
        <f t="shared" si="1"/>
        <v>4.116666666639503</v>
      </c>
      <c r="K30" s="394">
        <f t="shared" si="2"/>
        <v>247</v>
      </c>
      <c r="L30" s="216" t="s">
        <v>200</v>
      </c>
      <c r="M30" s="217" t="str">
        <f t="shared" si="3"/>
        <v>--</v>
      </c>
      <c r="N30" s="151" t="str">
        <f t="shared" si="4"/>
        <v>--</v>
      </c>
      <c r="O30" s="464">
        <f t="shared" si="5"/>
        <v>2</v>
      </c>
      <c r="P30" s="465">
        <f t="shared" si="6"/>
        <v>394.28400000000005</v>
      </c>
      <c r="Q30" s="466" t="str">
        <f t="shared" si="7"/>
        <v>--</v>
      </c>
      <c r="R30" s="467" t="str">
        <f t="shared" si="8"/>
        <v>--</v>
      </c>
      <c r="S30" s="294" t="str">
        <f t="shared" si="9"/>
        <v>--</v>
      </c>
      <c r="T30" s="799" t="s">
        <v>197</v>
      </c>
      <c r="U30" s="468" t="str">
        <f t="shared" si="10"/>
        <v>--</v>
      </c>
      <c r="V30" s="291" t="str">
        <f t="shared" si="11"/>
        <v>--</v>
      </c>
      <c r="W30" s="151" t="str">
        <f t="shared" si="12"/>
        <v>SI</v>
      </c>
      <c r="X30" s="399">
        <f t="shared" si="13"/>
        <v>394.28400000000005</v>
      </c>
      <c r="Y30" s="469"/>
    </row>
    <row r="31" spans="2:25" s="5" customFormat="1" ht="16.5" customHeight="1">
      <c r="B31" s="50"/>
      <c r="C31" s="270">
        <v>79</v>
      </c>
      <c r="D31" s="462" t="s">
        <v>243</v>
      </c>
      <c r="E31" s="390" t="s">
        <v>286</v>
      </c>
      <c r="F31" s="463">
        <v>245</v>
      </c>
      <c r="G31" s="287">
        <f t="shared" si="0"/>
        <v>78.155</v>
      </c>
      <c r="H31" s="392">
        <v>39682.34652777778</v>
      </c>
      <c r="I31" s="184">
        <v>39682.60277777778</v>
      </c>
      <c r="J31" s="393">
        <f t="shared" si="1"/>
        <v>6.149999999965075</v>
      </c>
      <c r="K31" s="394">
        <f t="shared" si="2"/>
        <v>369</v>
      </c>
      <c r="L31" s="216" t="s">
        <v>200</v>
      </c>
      <c r="M31" s="217" t="str">
        <f t="shared" si="3"/>
        <v>--</v>
      </c>
      <c r="N31" s="151" t="str">
        <f t="shared" si="4"/>
        <v>--</v>
      </c>
      <c r="O31" s="464">
        <f t="shared" si="5"/>
        <v>2</v>
      </c>
      <c r="P31" s="465">
        <f t="shared" si="6"/>
        <v>961.3065</v>
      </c>
      <c r="Q31" s="466" t="str">
        <f t="shared" si="7"/>
        <v>--</v>
      </c>
      <c r="R31" s="467" t="str">
        <f t="shared" si="8"/>
        <v>--</v>
      </c>
      <c r="S31" s="294" t="str">
        <f t="shared" si="9"/>
        <v>--</v>
      </c>
      <c r="T31" s="799" t="s">
        <v>197</v>
      </c>
      <c r="U31" s="468" t="str">
        <f t="shared" si="10"/>
        <v>--</v>
      </c>
      <c r="V31" s="291" t="str">
        <f t="shared" si="11"/>
        <v>--</v>
      </c>
      <c r="W31" s="151" t="str">
        <f t="shared" si="12"/>
        <v>SI</v>
      </c>
      <c r="X31" s="399">
        <f t="shared" si="13"/>
        <v>961.3065</v>
      </c>
      <c r="Y31" s="6"/>
    </row>
    <row r="32" spans="2:25" s="5" customFormat="1" ht="16.5" customHeight="1">
      <c r="B32" s="50"/>
      <c r="C32" s="153">
        <v>80</v>
      </c>
      <c r="D32" s="462" t="s">
        <v>282</v>
      </c>
      <c r="E32" s="390" t="s">
        <v>283</v>
      </c>
      <c r="F32" s="463">
        <v>150</v>
      </c>
      <c r="G32" s="287">
        <f t="shared" si="0"/>
        <v>47.85</v>
      </c>
      <c r="H32" s="392">
        <v>39682.4375</v>
      </c>
      <c r="I32" s="184">
        <v>39682.67013888889</v>
      </c>
      <c r="J32" s="393">
        <f t="shared" si="1"/>
        <v>5.583333333372138</v>
      </c>
      <c r="K32" s="394">
        <f t="shared" si="2"/>
        <v>335</v>
      </c>
      <c r="L32" s="216" t="s">
        <v>200</v>
      </c>
      <c r="M32" s="217" t="str">
        <f t="shared" si="3"/>
        <v>--</v>
      </c>
      <c r="N32" s="151" t="str">
        <f t="shared" si="4"/>
        <v>--</v>
      </c>
      <c r="O32" s="464">
        <f t="shared" si="5"/>
        <v>2</v>
      </c>
      <c r="P32" s="465">
        <f t="shared" si="6"/>
        <v>534.006</v>
      </c>
      <c r="Q32" s="466" t="str">
        <f t="shared" si="7"/>
        <v>--</v>
      </c>
      <c r="R32" s="467" t="str">
        <f t="shared" si="8"/>
        <v>--</v>
      </c>
      <c r="S32" s="294" t="str">
        <f t="shared" si="9"/>
        <v>--</v>
      </c>
      <c r="T32" s="799" t="s">
        <v>197</v>
      </c>
      <c r="U32" s="468" t="str">
        <f t="shared" si="10"/>
        <v>--</v>
      </c>
      <c r="V32" s="291" t="str">
        <f t="shared" si="11"/>
        <v>--</v>
      </c>
      <c r="W32" s="151" t="str">
        <f t="shared" si="12"/>
        <v>SI</v>
      </c>
      <c r="X32" s="399">
        <f t="shared" si="13"/>
        <v>534.006</v>
      </c>
      <c r="Y32" s="6"/>
    </row>
    <row r="33" spans="2:25" s="5" customFormat="1" ht="16.5" customHeight="1">
      <c r="B33" s="50"/>
      <c r="C33" s="153">
        <v>82</v>
      </c>
      <c r="D33" s="462" t="s">
        <v>248</v>
      </c>
      <c r="E33" s="390" t="s">
        <v>287</v>
      </c>
      <c r="F33" s="463">
        <v>150</v>
      </c>
      <c r="G33" s="287">
        <f t="shared" si="0"/>
        <v>47.85</v>
      </c>
      <c r="H33" s="392">
        <v>39684.365277777775</v>
      </c>
      <c r="I33" s="184">
        <v>39684.677777777775</v>
      </c>
      <c r="J33" s="393">
        <f t="shared" si="1"/>
        <v>7.5</v>
      </c>
      <c r="K33" s="394">
        <f t="shared" si="2"/>
        <v>450</v>
      </c>
      <c r="L33" s="216" t="s">
        <v>224</v>
      </c>
      <c r="M33" s="217" t="str">
        <f t="shared" si="3"/>
        <v>--</v>
      </c>
      <c r="N33" s="151" t="str">
        <f t="shared" si="4"/>
        <v>NO</v>
      </c>
      <c r="O33" s="464">
        <f t="shared" si="5"/>
        <v>20</v>
      </c>
      <c r="P33" s="465" t="str">
        <f t="shared" si="6"/>
        <v>--</v>
      </c>
      <c r="Q33" s="466">
        <f t="shared" si="7"/>
        <v>957</v>
      </c>
      <c r="R33" s="467">
        <f t="shared" si="8"/>
        <v>7177.5</v>
      </c>
      <c r="S33" s="294" t="str">
        <f t="shared" si="9"/>
        <v>--</v>
      </c>
      <c r="T33" s="799" t="s">
        <v>197</v>
      </c>
      <c r="U33" s="468" t="str">
        <f t="shared" si="10"/>
        <v>--</v>
      </c>
      <c r="V33" s="291" t="str">
        <f t="shared" si="11"/>
        <v>--</v>
      </c>
      <c r="W33" s="151" t="str">
        <f t="shared" si="12"/>
        <v>SI</v>
      </c>
      <c r="X33" s="399">
        <f t="shared" si="13"/>
        <v>8134.5</v>
      </c>
      <c r="Y33" s="6"/>
    </row>
    <row r="34" spans="2:25" s="5" customFormat="1" ht="16.5" customHeight="1">
      <c r="B34" s="50"/>
      <c r="C34" s="270">
        <v>83</v>
      </c>
      <c r="D34" s="462" t="s">
        <v>248</v>
      </c>
      <c r="E34" s="390" t="s">
        <v>288</v>
      </c>
      <c r="F34" s="463">
        <v>150</v>
      </c>
      <c r="G34" s="287">
        <f t="shared" si="0"/>
        <v>47.85</v>
      </c>
      <c r="H34" s="392">
        <v>39684.38958333333</v>
      </c>
      <c r="I34" s="184">
        <v>39684.42083333333</v>
      </c>
      <c r="J34" s="393">
        <f t="shared" si="1"/>
        <v>0.75</v>
      </c>
      <c r="K34" s="394">
        <f t="shared" si="2"/>
        <v>45</v>
      </c>
      <c r="L34" s="216" t="s">
        <v>224</v>
      </c>
      <c r="M34" s="217" t="str">
        <f t="shared" si="3"/>
        <v>--</v>
      </c>
      <c r="N34" s="151" t="str">
        <f t="shared" si="4"/>
        <v>NO</v>
      </c>
      <c r="O34" s="464">
        <f t="shared" si="5"/>
        <v>20</v>
      </c>
      <c r="P34" s="465" t="str">
        <f t="shared" si="6"/>
        <v>--</v>
      </c>
      <c r="Q34" s="466">
        <f t="shared" si="7"/>
        <v>957</v>
      </c>
      <c r="R34" s="467">
        <f t="shared" si="8"/>
        <v>717.75</v>
      </c>
      <c r="S34" s="294" t="str">
        <f t="shared" si="9"/>
        <v>--</v>
      </c>
      <c r="T34" s="799" t="s">
        <v>197</v>
      </c>
      <c r="U34" s="468" t="str">
        <f t="shared" si="10"/>
        <v>--</v>
      </c>
      <c r="V34" s="291" t="str">
        <f t="shared" si="11"/>
        <v>--</v>
      </c>
      <c r="W34" s="151" t="str">
        <f t="shared" si="12"/>
        <v>SI</v>
      </c>
      <c r="X34" s="399">
        <f t="shared" si="13"/>
        <v>1674.75</v>
      </c>
      <c r="Y34" s="6"/>
    </row>
    <row r="35" spans="2:25" s="5" customFormat="1" ht="16.5" customHeight="1">
      <c r="B35" s="50"/>
      <c r="C35" s="153">
        <v>84</v>
      </c>
      <c r="D35" s="462" t="s">
        <v>248</v>
      </c>
      <c r="E35" s="390" t="s">
        <v>288</v>
      </c>
      <c r="F35" s="463">
        <v>150</v>
      </c>
      <c r="G35" s="287">
        <f t="shared" si="0"/>
        <v>47.85</v>
      </c>
      <c r="H35" s="392">
        <v>39684.5375</v>
      </c>
      <c r="I35" s="184">
        <v>39684.538194444445</v>
      </c>
      <c r="J35" s="393">
        <f t="shared" si="1"/>
        <v>0.016666666720993817</v>
      </c>
      <c r="K35" s="394">
        <f t="shared" si="2"/>
        <v>1</v>
      </c>
      <c r="L35" s="216" t="s">
        <v>224</v>
      </c>
      <c r="M35" s="217" t="str">
        <f t="shared" si="3"/>
        <v>--</v>
      </c>
      <c r="N35" s="151" t="str">
        <f t="shared" si="4"/>
        <v>NO</v>
      </c>
      <c r="O35" s="464">
        <f t="shared" si="5"/>
        <v>20</v>
      </c>
      <c r="P35" s="465" t="str">
        <f t="shared" si="6"/>
        <v>--</v>
      </c>
      <c r="Q35" s="466">
        <f t="shared" si="7"/>
        <v>957</v>
      </c>
      <c r="R35" s="467">
        <f t="shared" si="8"/>
        <v>19.14</v>
      </c>
      <c r="S35" s="294" t="str">
        <f t="shared" si="9"/>
        <v>--</v>
      </c>
      <c r="T35" s="799" t="s">
        <v>197</v>
      </c>
      <c r="U35" s="468" t="str">
        <f t="shared" si="10"/>
        <v>--</v>
      </c>
      <c r="V35" s="291" t="str">
        <f t="shared" si="11"/>
        <v>--</v>
      </c>
      <c r="W35" s="151" t="str">
        <f t="shared" si="12"/>
        <v>SI</v>
      </c>
      <c r="X35" s="399">
        <f t="shared" si="13"/>
        <v>976.14</v>
      </c>
      <c r="Y35" s="6"/>
    </row>
    <row r="36" spans="2:25" s="5" customFormat="1" ht="16.5" customHeight="1">
      <c r="B36" s="50"/>
      <c r="C36" s="153">
        <v>85</v>
      </c>
      <c r="D36" s="462" t="s">
        <v>243</v>
      </c>
      <c r="E36" s="390" t="s">
        <v>289</v>
      </c>
      <c r="F36" s="463">
        <v>245</v>
      </c>
      <c r="G36" s="287">
        <f t="shared" si="0"/>
        <v>78.155</v>
      </c>
      <c r="H36" s="392">
        <v>39690.385416666664</v>
      </c>
      <c r="I36" s="184">
        <v>39691.99930555555</v>
      </c>
      <c r="J36" s="393">
        <f>IF(D36="","",(I36-H36)*24)</f>
        <v>38.733333333337214</v>
      </c>
      <c r="K36" s="394">
        <f>IF(D36="","",ROUND((I36-H36)*24*60,0))</f>
        <v>2324</v>
      </c>
      <c r="L36" s="216" t="s">
        <v>200</v>
      </c>
      <c r="M36" s="217" t="str">
        <f>IF(D36="","","--")</f>
        <v>--</v>
      </c>
      <c r="N36" s="151" t="str">
        <f>IF(D36="","",IF(OR(L36="P",L36="RP"),"--","NO"))</f>
        <v>--</v>
      </c>
      <c r="O36" s="464">
        <f>IF(OR(L36="P",L36="RP"),$F$17/10,$F$17)</f>
        <v>2</v>
      </c>
      <c r="P36" s="465">
        <f>IF(L36="P",G36*O36*ROUND(K36/60,2),"--")</f>
        <v>6053.886299999999</v>
      </c>
      <c r="Q36" s="466" t="str">
        <f>IF(AND(L36="F",N36="NO"),G36*O36,"--")</f>
        <v>--</v>
      </c>
      <c r="R36" s="467" t="str">
        <f>IF(L36="F",G36*O36*ROUND(K36/60,2),"--")</f>
        <v>--</v>
      </c>
      <c r="S36" s="294" t="str">
        <f>IF(AND(L36="R",N36="NO"),G36*O36*M36/100,"--")</f>
        <v>--</v>
      </c>
      <c r="T36" s="799" t="s">
        <v>197</v>
      </c>
      <c r="U36" s="468" t="str">
        <f>IF(L36="RF",G36*O36*ROUND(K36/60,2),"--")</f>
        <v>--</v>
      </c>
      <c r="V36" s="291" t="str">
        <f>IF(L36="RP",G36*O36*M36/100*ROUND(K36/60,2),"--")</f>
        <v>--</v>
      </c>
      <c r="W36" s="151" t="str">
        <f>IF(D36="","","SI")</f>
        <v>SI</v>
      </c>
      <c r="X36" s="399">
        <f>IF(D36="","",SUM(P36:V36)*IF(W36="SI",1,2)*IF(AND(M36&lt;&gt;"--",L36="RF"),M36/100,1))</f>
        <v>6053.886299999999</v>
      </c>
      <c r="Y36" s="6"/>
    </row>
    <row r="37" spans="2:25" s="5" customFormat="1" ht="16.5" customHeight="1">
      <c r="B37" s="50"/>
      <c r="C37" s="153">
        <v>86</v>
      </c>
      <c r="D37" s="462" t="s">
        <v>243</v>
      </c>
      <c r="E37" s="390" t="s">
        <v>290</v>
      </c>
      <c r="F37" s="463">
        <v>245</v>
      </c>
      <c r="G37" s="287">
        <f t="shared" si="0"/>
        <v>78.155</v>
      </c>
      <c r="H37" s="392">
        <v>39690.38611111111</v>
      </c>
      <c r="I37" s="184">
        <v>39691.99930555555</v>
      </c>
      <c r="J37" s="393">
        <f>IF(D37="","",(I37-H37)*24)</f>
        <v>38.71666666661622</v>
      </c>
      <c r="K37" s="394">
        <f>IF(D37="","",ROUND((I37-H37)*24*60,0))</f>
        <v>2323</v>
      </c>
      <c r="L37" s="216" t="s">
        <v>200</v>
      </c>
      <c r="M37" s="217" t="str">
        <f>IF(D37="","","--")</f>
        <v>--</v>
      </c>
      <c r="N37" s="151" t="str">
        <f>IF(D37="","",IF(OR(L37="P",L37="RP"),"--","NO"))</f>
        <v>--</v>
      </c>
      <c r="O37" s="464">
        <f>IF(OR(L37="P",L37="RP"),$F$17/10,$F$17)</f>
        <v>2</v>
      </c>
      <c r="P37" s="465">
        <f>IF(L37="P",G37*O37*ROUND(K37/60,2),"--")</f>
        <v>6052.3232</v>
      </c>
      <c r="Q37" s="466" t="str">
        <f>IF(AND(L37="F",N37="NO"),G37*O37,"--")</f>
        <v>--</v>
      </c>
      <c r="R37" s="467" t="str">
        <f>IF(L37="F",G37*O37*ROUND(K37/60,2),"--")</f>
        <v>--</v>
      </c>
      <c r="S37" s="294" t="str">
        <f>IF(AND(L37="R",N37="NO"),G37*O37*M37/100,"--")</f>
        <v>--</v>
      </c>
      <c r="T37" s="799" t="s">
        <v>197</v>
      </c>
      <c r="U37" s="468" t="str">
        <f>IF(L37="RF",G37*O37*ROUND(K37/60,2),"--")</f>
        <v>--</v>
      </c>
      <c r="V37" s="291" t="str">
        <f>IF(L37="RP",G37*O37*M37/100*ROUND(K37/60,2),"--")</f>
        <v>--</v>
      </c>
      <c r="W37" s="151" t="str">
        <f>IF(D37="","","SI")</f>
        <v>SI</v>
      </c>
      <c r="X37" s="399">
        <f>IF(D37="","",SUM(P37:V37)*IF(W37="SI",1,2)*IF(AND(M37&lt;&gt;"--",L37="RF"),M37/100,1))</f>
        <v>6052.3232</v>
      </c>
      <c r="Y37" s="6"/>
    </row>
    <row r="38" spans="2:25" s="5" customFormat="1" ht="16.5" customHeight="1">
      <c r="B38" s="50"/>
      <c r="C38" s="153"/>
      <c r="D38" s="462"/>
      <c r="E38" s="390"/>
      <c r="F38" s="463"/>
      <c r="G38" s="287"/>
      <c r="H38" s="392"/>
      <c r="I38" s="184"/>
      <c r="J38" s="393"/>
      <c r="K38" s="394"/>
      <c r="L38" s="216"/>
      <c r="M38" s="217"/>
      <c r="N38" s="151"/>
      <c r="O38" s="464"/>
      <c r="P38" s="465"/>
      <c r="Q38" s="466"/>
      <c r="R38" s="467"/>
      <c r="S38" s="294"/>
      <c r="T38" s="799"/>
      <c r="U38" s="468"/>
      <c r="V38" s="291"/>
      <c r="W38" s="151"/>
      <c r="X38" s="399"/>
      <c r="Y38" s="6"/>
    </row>
    <row r="39" spans="2:25" s="5" customFormat="1" ht="16.5" customHeight="1">
      <c r="B39" s="50"/>
      <c r="C39" s="153"/>
      <c r="D39" s="462"/>
      <c r="E39" s="390"/>
      <c r="F39" s="463"/>
      <c r="G39" s="287">
        <f t="shared" si="0"/>
        <v>0</v>
      </c>
      <c r="H39" s="392"/>
      <c r="I39" s="184"/>
      <c r="J39" s="393">
        <f t="shared" si="1"/>
      </c>
      <c r="K39" s="394">
        <f t="shared" si="2"/>
      </c>
      <c r="L39" s="216"/>
      <c r="M39" s="217">
        <f t="shared" si="3"/>
      </c>
      <c r="N39" s="151">
        <f t="shared" si="4"/>
      </c>
      <c r="O39" s="464">
        <f t="shared" si="5"/>
        <v>20</v>
      </c>
      <c r="P39" s="465" t="str">
        <f t="shared" si="6"/>
        <v>--</v>
      </c>
      <c r="Q39" s="466" t="str">
        <f t="shared" si="7"/>
        <v>--</v>
      </c>
      <c r="R39" s="467" t="str">
        <f t="shared" si="8"/>
        <v>--</v>
      </c>
      <c r="S39" s="294" t="str">
        <f t="shared" si="9"/>
        <v>--</v>
      </c>
      <c r="T39" s="295" t="str">
        <f>IF(L39="R",G39*O39*M39/100*ROUND(K39/60,2),"--")</f>
        <v>--</v>
      </c>
      <c r="U39" s="468" t="str">
        <f t="shared" si="10"/>
        <v>--</v>
      </c>
      <c r="V39" s="291" t="str">
        <f t="shared" si="11"/>
        <v>--</v>
      </c>
      <c r="W39" s="151">
        <f t="shared" si="12"/>
      </c>
      <c r="X39" s="399">
        <f t="shared" si="13"/>
      </c>
      <c r="Y39" s="6"/>
    </row>
    <row r="40" spans="2:25" s="5" customFormat="1" ht="16.5" customHeight="1">
      <c r="B40" s="50"/>
      <c r="C40" s="270"/>
      <c r="D40" s="462"/>
      <c r="E40" s="390"/>
      <c r="F40" s="463"/>
      <c r="G40" s="287">
        <f t="shared" si="0"/>
        <v>0</v>
      </c>
      <c r="H40" s="392"/>
      <c r="I40" s="184"/>
      <c r="J40" s="393">
        <f t="shared" si="1"/>
      </c>
      <c r="K40" s="394">
        <f t="shared" si="2"/>
      </c>
      <c r="L40" s="216"/>
      <c r="M40" s="217">
        <f t="shared" si="3"/>
      </c>
      <c r="N40" s="151">
        <f t="shared" si="4"/>
      </c>
      <c r="O40" s="464">
        <f t="shared" si="5"/>
        <v>20</v>
      </c>
      <c r="P40" s="465" t="str">
        <f t="shared" si="6"/>
        <v>--</v>
      </c>
      <c r="Q40" s="466" t="str">
        <f t="shared" si="7"/>
        <v>--</v>
      </c>
      <c r="R40" s="467" t="str">
        <f t="shared" si="8"/>
        <v>--</v>
      </c>
      <c r="S40" s="294" t="str">
        <f t="shared" si="9"/>
        <v>--</v>
      </c>
      <c r="T40" s="295" t="str">
        <f>IF(L40="R",G40*O40*M40/100*ROUND(K40/60,2),"--")</f>
        <v>--</v>
      </c>
      <c r="U40" s="468" t="str">
        <f t="shared" si="10"/>
        <v>--</v>
      </c>
      <c r="V40" s="291" t="str">
        <f t="shared" si="11"/>
        <v>--</v>
      </c>
      <c r="W40" s="151">
        <f t="shared" si="12"/>
      </c>
      <c r="X40" s="399">
        <f t="shared" si="13"/>
      </c>
      <c r="Y40" s="6"/>
    </row>
    <row r="41" spans="2:25" s="5" customFormat="1" ht="16.5" customHeight="1" thickBot="1">
      <c r="B41" s="50"/>
      <c r="C41" s="153"/>
      <c r="D41" s="470"/>
      <c r="E41" s="145"/>
      <c r="F41" s="471"/>
      <c r="G41" s="130"/>
      <c r="H41" s="400"/>
      <c r="I41" s="400"/>
      <c r="J41" s="401"/>
      <c r="K41" s="401"/>
      <c r="L41" s="400"/>
      <c r="M41" s="189"/>
      <c r="N41" s="150"/>
      <c r="O41" s="472"/>
      <c r="P41" s="473"/>
      <c r="Q41" s="474"/>
      <c r="R41" s="475"/>
      <c r="S41" s="312"/>
      <c r="T41" s="313"/>
      <c r="U41" s="476"/>
      <c r="V41" s="476"/>
      <c r="W41" s="150"/>
      <c r="X41" s="477"/>
      <c r="Y41" s="6"/>
    </row>
    <row r="42" spans="2:25" s="5" customFormat="1" ht="16.5" customHeight="1" thickBot="1" thickTop="1">
      <c r="B42" s="50"/>
      <c r="C42" s="126" t="s">
        <v>23</v>
      </c>
      <c r="D42" s="127" t="s">
        <v>298</v>
      </c>
      <c r="G42" s="4"/>
      <c r="H42" s="4"/>
      <c r="I42" s="4"/>
      <c r="J42" s="4"/>
      <c r="K42" s="4"/>
      <c r="L42" s="4"/>
      <c r="M42" s="4"/>
      <c r="N42" s="4"/>
      <c r="O42" s="4"/>
      <c r="P42" s="478">
        <f aca="true" t="shared" si="14" ref="P42:V42">SUM(P20:P41)</f>
        <v>41945.5971</v>
      </c>
      <c r="Q42" s="479">
        <f t="shared" si="14"/>
        <v>6348.1</v>
      </c>
      <c r="R42" s="480">
        <f t="shared" si="14"/>
        <v>67475.518</v>
      </c>
      <c r="S42" s="322">
        <f t="shared" si="14"/>
        <v>0</v>
      </c>
      <c r="T42" s="323">
        <f t="shared" si="14"/>
        <v>0</v>
      </c>
      <c r="U42" s="481">
        <f t="shared" si="14"/>
        <v>0</v>
      </c>
      <c r="V42" s="481">
        <f t="shared" si="14"/>
        <v>0</v>
      </c>
      <c r="X42" s="99">
        <f>ROUND(SUM(X20:X41),2)</f>
        <v>115769.22</v>
      </c>
      <c r="Y42" s="482"/>
    </row>
    <row r="43" spans="2:25" s="5" customFormat="1" ht="16.5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6"/>
    </row>
    <row r="44" spans="4:27" ht="16.5" customHeight="1" thickTop="1">
      <c r="D44" s="176"/>
      <c r="E44" s="176"/>
      <c r="F44" s="176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</row>
    <row r="45" spans="4:27" ht="16.5" customHeight="1">
      <c r="D45" s="176"/>
      <c r="E45" s="176"/>
      <c r="F45" s="176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</row>
    <row r="46" spans="4:27" ht="16.5" customHeight="1">
      <c r="D46" s="176"/>
      <c r="E46" s="176"/>
      <c r="F46" s="176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</row>
    <row r="47" spans="4:27" ht="16.5" customHeight="1">
      <c r="D47" s="176"/>
      <c r="E47" s="176"/>
      <c r="F47" s="176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</row>
    <row r="48" spans="4:27" ht="16.5" customHeight="1">
      <c r="D48" s="176"/>
      <c r="E48" s="176"/>
      <c r="F48" s="176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</row>
    <row r="49" spans="4:27" ht="16.5" customHeight="1">
      <c r="D49" s="176"/>
      <c r="E49" s="176"/>
      <c r="F49" s="176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</row>
    <row r="50" spans="4:27" ht="16.5" customHeight="1"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</row>
    <row r="51" spans="4:27" ht="16.5" customHeight="1"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</row>
    <row r="52" spans="4:27" ht="16.5" customHeight="1"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</row>
    <row r="53" spans="4:27" ht="16.5" customHeight="1"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</row>
    <row r="54" spans="4:27" ht="16.5" customHeight="1"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</row>
    <row r="55" spans="4:27" ht="16.5" customHeight="1"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</row>
    <row r="56" spans="4:27" ht="16.5" customHeight="1"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</row>
    <row r="57" spans="4:27" ht="16.5" customHeight="1"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</row>
    <row r="58" spans="4:27" ht="16.5" customHeight="1"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</row>
    <row r="59" spans="4:27" ht="16.5" customHeight="1"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</row>
    <row r="60" spans="4:27" ht="16.5" customHeight="1"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</row>
    <row r="61" spans="4:27" ht="16.5" customHeight="1"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</row>
    <row r="62" spans="4:27" ht="16.5" customHeight="1"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</row>
    <row r="63" spans="4:27" ht="16.5" customHeight="1"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</row>
    <row r="64" spans="4:27" ht="16.5" customHeight="1"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</row>
    <row r="65" spans="4:27" ht="16.5" customHeight="1"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</row>
    <row r="66" spans="4:27" ht="16.5" customHeight="1"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</row>
    <row r="67" spans="4:27" ht="16.5" customHeight="1"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</row>
    <row r="68" spans="4:27" ht="16.5" customHeight="1"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</row>
    <row r="69" spans="4:27" ht="16.5" customHeight="1"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</row>
    <row r="70" spans="4:27" ht="16.5" customHeight="1"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</row>
    <row r="71" spans="4:27" ht="16.5" customHeight="1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</row>
    <row r="72" spans="4:27" ht="16.5" customHeight="1"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</row>
    <row r="73" spans="4:27" ht="16.5" customHeight="1"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</row>
    <row r="74" spans="4:27" ht="16.5" customHeight="1"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</row>
    <row r="75" spans="4:27" ht="16.5" customHeight="1"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</row>
    <row r="76" spans="4:27" ht="16.5" customHeight="1"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</row>
    <row r="77" spans="4:27" ht="16.5" customHeight="1"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</row>
    <row r="78" spans="4:27" ht="16.5" customHeight="1"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</row>
    <row r="79" spans="4:27" ht="16.5" customHeight="1"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</row>
    <row r="80" spans="4:27" ht="16.5" customHeight="1"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</row>
    <row r="81" spans="4:27" ht="16.5" customHeight="1"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</row>
    <row r="82" spans="4:27" ht="16.5" customHeight="1"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</row>
    <row r="83" spans="4:27" ht="16.5" customHeight="1"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</row>
    <row r="84" spans="4:27" ht="16.5" customHeight="1"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</row>
    <row r="85" spans="4:27" ht="16.5" customHeight="1"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</row>
    <row r="86" spans="4:27" ht="16.5" customHeight="1"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</row>
    <row r="87" spans="4:27" ht="16.5" customHeight="1"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</row>
    <row r="88" spans="4:27" ht="16.5" customHeight="1"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4:27" ht="16.5" customHeight="1"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</row>
    <row r="90" spans="4:27" ht="16.5" customHeight="1"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</row>
    <row r="91" spans="4:27" ht="16.5" customHeight="1"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</row>
    <row r="92" spans="4:27" ht="16.5" customHeight="1"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</row>
    <row r="93" spans="4:27" ht="16.5" customHeight="1"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</row>
    <row r="94" spans="4:27" ht="16.5" customHeight="1"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</row>
    <row r="95" spans="4:27" ht="16.5" customHeight="1"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</row>
    <row r="96" spans="4:27" ht="16.5" customHeight="1"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</row>
    <row r="97" spans="4:27" ht="16.5" customHeight="1"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</row>
    <row r="98" spans="4:27" ht="16.5" customHeight="1"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</row>
    <row r="99" spans="4:27" ht="16.5" customHeight="1"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</row>
    <row r="100" spans="4:27" ht="16.5" customHeight="1"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</row>
    <row r="101" spans="4:27" ht="16.5" customHeight="1"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</row>
    <row r="102" spans="4:27" ht="16.5" customHeight="1"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</row>
    <row r="103" spans="4:27" ht="16.5" customHeight="1"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</row>
    <row r="104" spans="4:27" ht="16.5" customHeight="1"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</row>
    <row r="105" spans="4:27" ht="16.5" customHeight="1"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</row>
    <row r="106" spans="4:27" ht="16.5" customHeight="1"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</row>
    <row r="107" spans="4:27" ht="16.5" customHeight="1"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</row>
    <row r="108" spans="4:27" ht="16.5" customHeight="1"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</row>
    <row r="109" spans="4:27" ht="16.5" customHeight="1"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</row>
    <row r="110" spans="4:27" ht="16.5" customHeight="1"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</row>
    <row r="111" spans="4:27" ht="16.5" customHeight="1"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4:27" ht="16.5" customHeight="1"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</row>
    <row r="113" spans="4:27" ht="16.5" customHeight="1"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</row>
    <row r="114" spans="4:27" ht="16.5" customHeight="1"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</row>
    <row r="115" spans="4:27" ht="16.5" customHeight="1"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</row>
    <row r="116" spans="4:27" ht="16.5" customHeight="1"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</row>
    <row r="117" spans="4:27" ht="16.5" customHeight="1"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</row>
    <row r="118" spans="4:27" ht="16.5" customHeight="1"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</row>
    <row r="119" spans="4:27" ht="16.5" customHeight="1"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</row>
    <row r="120" spans="4:27" ht="16.5" customHeight="1"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</row>
    <row r="121" spans="4:27" ht="16.5" customHeight="1"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</row>
    <row r="122" spans="4:27" ht="16.5" customHeight="1"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</row>
    <row r="123" spans="4:27" ht="16.5" customHeight="1"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</row>
    <row r="124" spans="4:27" ht="16.5" customHeight="1"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</row>
    <row r="125" spans="4:27" ht="16.5" customHeight="1"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</row>
    <row r="126" spans="4:27" ht="16.5" customHeight="1"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</row>
    <row r="127" spans="4:27" ht="16.5" customHeight="1"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</row>
    <row r="128" spans="4:27" ht="16.5" customHeight="1"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</row>
    <row r="129" spans="4:27" ht="16.5" customHeight="1"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</row>
    <row r="130" spans="4:27" ht="16.5" customHeight="1"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</row>
    <row r="131" spans="4:27" ht="16.5" customHeight="1"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</row>
    <row r="132" spans="4:27" ht="16.5" customHeight="1"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</row>
    <row r="133" spans="4:27" ht="16.5" customHeight="1"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</row>
    <row r="134" spans="4:27" ht="16.5" customHeight="1"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</row>
    <row r="135" spans="4:27" ht="16.5" customHeight="1"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</row>
    <row r="136" spans="4:27" ht="16.5" customHeight="1"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</row>
    <row r="137" spans="4:27" ht="16.5" customHeight="1"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</row>
    <row r="138" spans="4:27" ht="16.5" customHeight="1"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</row>
    <row r="139" spans="4:27" ht="16.5" customHeight="1"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</row>
    <row r="140" spans="4:27" ht="16.5" customHeight="1"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</row>
    <row r="141" spans="4:27" ht="16.5" customHeight="1"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</row>
    <row r="142" spans="4:27" ht="16.5" customHeight="1"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</row>
    <row r="143" spans="4:27" ht="16.5" customHeight="1"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</row>
    <row r="144" spans="4:27" ht="16.5" customHeight="1"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</row>
    <row r="145" spans="4:27" ht="16.5" customHeight="1"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</row>
    <row r="146" spans="4:27" ht="16.5" customHeight="1"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</row>
    <row r="147" spans="4:27" ht="16.5" customHeight="1"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</row>
    <row r="148" spans="4:27" ht="16.5" customHeight="1"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</row>
    <row r="149" spans="4:27" ht="16.5" customHeight="1"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</row>
    <row r="150" spans="4:27" ht="16.5" customHeight="1"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</row>
    <row r="151" spans="4:27" ht="16.5" customHeight="1">
      <c r="D151" s="175"/>
      <c r="E151" s="175"/>
      <c r="F151" s="175"/>
      <c r="Z151" s="175"/>
      <c r="AA151" s="175"/>
    </row>
    <row r="152" spans="4:6" ht="16.5" customHeight="1">
      <c r="D152" s="175"/>
      <c r="E152" s="175"/>
      <c r="F152" s="175"/>
    </row>
    <row r="153" spans="4:6" ht="16.5" customHeight="1">
      <c r="D153" s="175"/>
      <c r="E153" s="175"/>
      <c r="F153" s="175"/>
    </row>
    <row r="154" spans="4:6" ht="16.5" customHeight="1">
      <c r="D154" s="175"/>
      <c r="E154" s="175"/>
      <c r="F154" s="175"/>
    </row>
    <row r="155" spans="4:6" ht="16.5" customHeight="1">
      <c r="D155" s="175"/>
      <c r="E155" s="175"/>
      <c r="F155" s="175"/>
    </row>
    <row r="156" spans="4:6" ht="16.5" customHeight="1">
      <c r="D156" s="175"/>
      <c r="E156" s="175"/>
      <c r="F156" s="175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C154"/>
  <sheetViews>
    <sheetView zoomScale="75" zoomScaleNormal="75" workbookViewId="0" topLeftCell="A1">
      <selection activeCell="B13" sqref="B1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143"/>
    </row>
    <row r="2" spans="1:28" s="18" customFormat="1" ht="26.25">
      <c r="A2" s="89"/>
      <c r="B2" s="239" t="str">
        <f>+'RE-08 (1)'!B2</f>
        <v>ANEXO III al Memorándum D.T.E.E. N°  366 / 2010            </v>
      </c>
      <c r="C2" s="239"/>
      <c r="D2" s="239"/>
      <c r="E2" s="1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spans="1:28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s="25" customFormat="1" ht="11.25">
      <c r="A4" s="240" t="s">
        <v>71</v>
      </c>
      <c r="B4" s="11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s="25" customFormat="1" ht="11.25">
      <c r="A5" s="240" t="s">
        <v>2</v>
      </c>
      <c r="B5" s="11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</row>
    <row r="8" spans="1:28" s="29" customFormat="1" ht="20.25">
      <c r="A8" s="104"/>
      <c r="B8" s="105"/>
      <c r="C8" s="104"/>
      <c r="D8" s="241" t="s">
        <v>66</v>
      </c>
      <c r="E8" s="104"/>
      <c r="F8" s="104"/>
      <c r="G8" s="242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94"/>
      <c r="S8" s="94"/>
      <c r="T8" s="94"/>
      <c r="U8" s="94"/>
      <c r="V8" s="94"/>
      <c r="W8" s="94"/>
      <c r="X8" s="94"/>
      <c r="Y8" s="94"/>
      <c r="Z8" s="94"/>
      <c r="AA8" s="94"/>
      <c r="AB8" s="106"/>
    </row>
    <row r="9" spans="1:28" s="5" customFormat="1" ht="12.75">
      <c r="A9" s="88"/>
      <c r="B9" s="93"/>
      <c r="C9" s="88"/>
      <c r="D9" s="15"/>
      <c r="E9" s="243"/>
      <c r="F9" s="88"/>
      <c r="G9" s="15"/>
      <c r="H9" s="88"/>
      <c r="I9" s="88"/>
      <c r="J9" s="88"/>
      <c r="K9" s="88"/>
      <c r="L9" s="88"/>
      <c r="M9" s="88"/>
      <c r="N9" s="88"/>
      <c r="O9" s="88"/>
      <c r="P9" s="88"/>
      <c r="Q9" s="88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758" customFormat="1" ht="33" customHeight="1">
      <c r="A10" s="781"/>
      <c r="B10" s="789"/>
      <c r="C10" s="781"/>
      <c r="D10" s="790" t="s">
        <v>210</v>
      </c>
      <c r="E10" s="781"/>
      <c r="F10" s="791"/>
      <c r="G10" s="792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60"/>
    </row>
    <row r="11" spans="1:28" s="761" customFormat="1" ht="33" customHeight="1">
      <c r="A11" s="785"/>
      <c r="B11" s="793"/>
      <c r="C11" s="785"/>
      <c r="D11" s="794" t="s">
        <v>299</v>
      </c>
      <c r="E11" s="795"/>
      <c r="F11" s="795"/>
      <c r="G11" s="796"/>
      <c r="H11" s="795"/>
      <c r="I11" s="795"/>
      <c r="J11" s="795"/>
      <c r="K11" s="795"/>
      <c r="L11" s="795"/>
      <c r="M11" s="785"/>
      <c r="N11" s="785"/>
      <c r="O11" s="785"/>
      <c r="P11" s="785"/>
      <c r="Q11" s="785"/>
      <c r="R11" s="795"/>
      <c r="S11" s="795"/>
      <c r="T11" s="795"/>
      <c r="U11" s="795"/>
      <c r="V11" s="795"/>
      <c r="W11" s="795"/>
      <c r="X11" s="795"/>
      <c r="Y11" s="795"/>
      <c r="Z11" s="795"/>
      <c r="AA11" s="795"/>
      <c r="AB11" s="764"/>
    </row>
    <row r="12" spans="1:28" s="36" customFormat="1" ht="19.5">
      <c r="A12" s="108"/>
      <c r="B12" s="37" t="str">
        <f>+'LI-08 (1)'!B14</f>
        <v>Desde el 01 al 31 de agosto de 2008</v>
      </c>
      <c r="C12" s="244"/>
      <c r="D12" s="111"/>
      <c r="E12" s="111"/>
      <c r="F12" s="111"/>
      <c r="G12" s="111"/>
      <c r="H12" s="111"/>
      <c r="I12" s="111"/>
      <c r="J12" s="111"/>
      <c r="K12" s="111"/>
      <c r="L12" s="111"/>
      <c r="M12" s="244"/>
      <c r="N12" s="244"/>
      <c r="O12" s="244"/>
      <c r="P12" s="244"/>
      <c r="Q12" s="244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245"/>
    </row>
    <row r="13" spans="1:28" s="5" customFormat="1" ht="13.5" thickBot="1">
      <c r="A13" s="88"/>
      <c r="B13" s="93"/>
      <c r="C13" s="88"/>
      <c r="D13" s="15"/>
      <c r="E13" s="15"/>
      <c r="F13" s="15"/>
      <c r="G13" s="96"/>
      <c r="H13" s="15"/>
      <c r="I13" s="15"/>
      <c r="J13" s="15"/>
      <c r="K13" s="15"/>
      <c r="L13" s="15"/>
      <c r="M13" s="88"/>
      <c r="N13" s="88"/>
      <c r="O13" s="88"/>
      <c r="P13" s="88"/>
      <c r="Q13" s="8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88"/>
      <c r="B14" s="93"/>
      <c r="C14" s="88"/>
      <c r="D14" s="246" t="s">
        <v>72</v>
      </c>
      <c r="E14" s="247"/>
      <c r="F14" s="248">
        <v>0.118</v>
      </c>
      <c r="H14" s="88"/>
      <c r="I14" s="88"/>
      <c r="J14" s="88"/>
      <c r="K14" s="88"/>
      <c r="L14" s="88"/>
      <c r="M14" s="88"/>
      <c r="N14" s="88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88"/>
      <c r="B15" s="93"/>
      <c r="C15" s="88"/>
      <c r="D15" s="109" t="s">
        <v>24</v>
      </c>
      <c r="E15" s="110"/>
      <c r="F15" s="745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7"/>
      <c r="V15" s="97"/>
      <c r="W15" s="97"/>
      <c r="X15" s="97"/>
      <c r="Y15" s="97"/>
      <c r="Z15" s="97"/>
      <c r="AA15" s="88"/>
      <c r="AB15" s="17"/>
    </row>
    <row r="16" spans="1:28" s="5" customFormat="1" ht="16.5" customHeight="1" thickBot="1" thickTop="1">
      <c r="A16" s="88"/>
      <c r="B16" s="93"/>
      <c r="C16" s="88"/>
      <c r="D16" s="15"/>
      <c r="E16" s="15"/>
      <c r="F16" s="15"/>
      <c r="G16" s="9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88"/>
      <c r="B17" s="93"/>
      <c r="C17" s="122" t="s">
        <v>12</v>
      </c>
      <c r="D17" s="118" t="s">
        <v>25</v>
      </c>
      <c r="E17" s="117" t="s">
        <v>26</v>
      </c>
      <c r="F17" s="119" t="s">
        <v>27</v>
      </c>
      <c r="G17" s="120" t="s">
        <v>13</v>
      </c>
      <c r="H17" s="128" t="s">
        <v>15</v>
      </c>
      <c r="I17" s="117" t="s">
        <v>16</v>
      </c>
      <c r="J17" s="117" t="s">
        <v>17</v>
      </c>
      <c r="K17" s="118" t="s">
        <v>28</v>
      </c>
      <c r="L17" s="118" t="s">
        <v>29</v>
      </c>
      <c r="M17" s="87" t="s">
        <v>18</v>
      </c>
      <c r="N17" s="87" t="s">
        <v>56</v>
      </c>
      <c r="O17" s="121" t="s">
        <v>30</v>
      </c>
      <c r="P17" s="117" t="s">
        <v>31</v>
      </c>
      <c r="Q17" s="249" t="s">
        <v>35</v>
      </c>
      <c r="R17" s="250" t="s">
        <v>19</v>
      </c>
      <c r="S17" s="251" t="s">
        <v>20</v>
      </c>
      <c r="T17" s="204" t="s">
        <v>73</v>
      </c>
      <c r="U17" s="206"/>
      <c r="V17" s="252" t="s">
        <v>74</v>
      </c>
      <c r="W17" s="253"/>
      <c r="X17" s="254" t="s">
        <v>21</v>
      </c>
      <c r="Y17" s="255" t="s">
        <v>69</v>
      </c>
      <c r="Z17" s="131" t="s">
        <v>70</v>
      </c>
      <c r="AA17" s="120" t="s">
        <v>22</v>
      </c>
      <c r="AB17" s="17"/>
    </row>
    <row r="18" spans="1:28" s="5" customFormat="1" ht="16.5" customHeight="1" thickTop="1">
      <c r="A18" s="88"/>
      <c r="B18" s="93"/>
      <c r="C18" s="256"/>
      <c r="D18" s="256"/>
      <c r="E18" s="256"/>
      <c r="F18" s="256"/>
      <c r="G18" s="257"/>
      <c r="H18" s="258"/>
      <c r="I18" s="256"/>
      <c r="J18" s="256"/>
      <c r="K18" s="256"/>
      <c r="L18" s="256"/>
      <c r="M18" s="256"/>
      <c r="N18" s="179"/>
      <c r="O18" s="259"/>
      <c r="P18" s="256"/>
      <c r="Q18" s="260"/>
      <c r="R18" s="261"/>
      <c r="S18" s="262"/>
      <c r="T18" s="263"/>
      <c r="U18" s="264"/>
      <c r="V18" s="265"/>
      <c r="W18" s="266"/>
      <c r="X18" s="267"/>
      <c r="Y18" s="268"/>
      <c r="Z18" s="259"/>
      <c r="AA18" s="269"/>
      <c r="AB18" s="17"/>
    </row>
    <row r="19" spans="1:28" s="5" customFormat="1" ht="16.5" customHeight="1">
      <c r="A19" s="88"/>
      <c r="B19" s="93"/>
      <c r="C19" s="270"/>
      <c r="D19" s="270"/>
      <c r="E19" s="270"/>
      <c r="F19" s="270"/>
      <c r="G19" s="271"/>
      <c r="H19" s="272"/>
      <c r="I19" s="270"/>
      <c r="J19" s="270"/>
      <c r="K19" s="270"/>
      <c r="L19" s="270"/>
      <c r="M19" s="270"/>
      <c r="N19" s="181"/>
      <c r="O19" s="273"/>
      <c r="P19" s="270"/>
      <c r="Q19" s="274"/>
      <c r="R19" s="275"/>
      <c r="S19" s="276"/>
      <c r="T19" s="277"/>
      <c r="U19" s="278"/>
      <c r="V19" s="279"/>
      <c r="W19" s="280"/>
      <c r="X19" s="281"/>
      <c r="Y19" s="282"/>
      <c r="Z19" s="273"/>
      <c r="AA19" s="283"/>
      <c r="AB19" s="17"/>
    </row>
    <row r="20" spans="1:28" s="5" customFormat="1" ht="16.5" customHeight="1">
      <c r="A20" s="88"/>
      <c r="B20" s="93"/>
      <c r="C20" s="153">
        <v>88</v>
      </c>
      <c r="D20" s="147" t="s">
        <v>300</v>
      </c>
      <c r="E20" s="284" t="s">
        <v>301</v>
      </c>
      <c r="F20" s="285">
        <v>300</v>
      </c>
      <c r="G20" s="803" t="s">
        <v>242</v>
      </c>
      <c r="H20" s="287">
        <f aca="true" t="shared" si="0" ref="H20:H39">F20*$F$14</f>
        <v>35.4</v>
      </c>
      <c r="I20" s="154">
        <v>39678.410416666666</v>
      </c>
      <c r="J20" s="154">
        <v>39678.700694444444</v>
      </c>
      <c r="K20" s="288">
        <f aca="true" t="shared" si="1" ref="K20:K39">IF(D20="","",(J20-I20)*24)</f>
        <v>6.966666666674428</v>
      </c>
      <c r="L20" s="14">
        <f aca="true" t="shared" si="2" ref="L20:L39">IF(D20="","",ROUND((J20-I20)*24*60,0))</f>
        <v>418</v>
      </c>
      <c r="M20" s="155" t="s">
        <v>200</v>
      </c>
      <c r="N20" s="217" t="str">
        <f aca="true" t="shared" si="3" ref="N20:N39">IF(D20="","","--")</f>
        <v>--</v>
      </c>
      <c r="O20" s="152" t="str">
        <f>IF(D20="","",IF(OR(M20="P",M20="RP"),"--","NO"))</f>
        <v>--</v>
      </c>
      <c r="P20" s="151" t="str">
        <f aca="true" t="shared" si="4" ref="P20:P39">IF(D20="","","NO")</f>
        <v>NO</v>
      </c>
      <c r="Q20" s="345">
        <f aca="true" t="shared" si="5" ref="Q20:Q39">$F$15*IF(OR(M20="P",M20="RP"),0.1,1)*IF(P20="SI",1,0.1)</f>
        <v>2</v>
      </c>
      <c r="R20" s="328">
        <f aca="true" t="shared" si="6" ref="R20:R39">IF(M20="P",H20*Q20*ROUND(L20/60,2),"--")</f>
        <v>493.47599999999994</v>
      </c>
      <c r="S20" s="329" t="str">
        <f aca="true" t="shared" si="7" ref="S20:S39">IF(M20="RP",H20*Q20*N20/100*ROUND(L20/60,2),"--")</f>
        <v>--</v>
      </c>
      <c r="T20" s="330" t="str">
        <f aca="true" t="shared" si="8" ref="T20:T39">IF(AND(M20="F",O20="NO"),H20*Q20,"--")</f>
        <v>--</v>
      </c>
      <c r="U20" s="331" t="str">
        <f aca="true" t="shared" si="9" ref="U20:U39">IF(M20="F",H20*Q20*ROUND(L20/60,2),"--")</f>
        <v>--</v>
      </c>
      <c r="V20" s="332" t="str">
        <f aca="true" t="shared" si="10" ref="V20:V39">IF(AND(M20="R",O20="NO"),H20*Q20*N20/100,"--")</f>
        <v>--</v>
      </c>
      <c r="W20" s="333" t="str">
        <f aca="true" t="shared" si="11" ref="W20:W39">IF(M20="R",H20*Q20*N20/100*ROUND(L20/60,2),"--")</f>
        <v>--</v>
      </c>
      <c r="X20" s="334" t="str">
        <f aca="true" t="shared" si="12" ref="X20:X39">IF(M20="RF",H20*Q20*ROUND(L20/60,2),"--")</f>
        <v>--</v>
      </c>
      <c r="Y20" s="335" t="str">
        <f aca="true" t="shared" si="13" ref="Y20:Y39">IF(M20="RR",H20*Q20*N20/100*ROUND(L20/60,2),"--")</f>
        <v>--</v>
      </c>
      <c r="Z20" s="157" t="str">
        <f aca="true" t="shared" si="14" ref="Z20:Z39">IF(D20="","","SI")</f>
        <v>SI</v>
      </c>
      <c r="AA20" s="299">
        <f aca="true" t="shared" si="15" ref="AA20:AA39">IF(D20="","",SUM(R20:Y20)*IF(Z20="SI",1,2)*IF(AND(N22&lt;&gt;"--",M22="RF"),N22/100,1))</f>
        <v>493.47599999999994</v>
      </c>
      <c r="AB20" s="17"/>
    </row>
    <row r="21" spans="1:28" s="5" customFormat="1" ht="16.5" customHeight="1">
      <c r="A21" s="88"/>
      <c r="B21" s="93"/>
      <c r="C21" s="270"/>
      <c r="D21" s="147"/>
      <c r="E21" s="284"/>
      <c r="F21" s="285"/>
      <c r="G21" s="286"/>
      <c r="H21" s="287">
        <f t="shared" si="0"/>
        <v>0</v>
      </c>
      <c r="I21" s="154"/>
      <c r="J21" s="154"/>
      <c r="K21" s="288">
        <f t="shared" si="1"/>
      </c>
      <c r="L21" s="14">
        <f t="shared" si="2"/>
      </c>
      <c r="M21" s="155"/>
      <c r="N21" s="217">
        <f t="shared" si="3"/>
      </c>
      <c r="O21" s="152">
        <f aca="true" t="shared" si="16" ref="O21:O39">IF(D21="","",IF(M21="P","--","NO"))</f>
      </c>
      <c r="P21" s="151">
        <f t="shared" si="4"/>
      </c>
      <c r="Q21" s="345">
        <f t="shared" si="5"/>
        <v>20</v>
      </c>
      <c r="R21" s="328" t="str">
        <f t="shared" si="6"/>
        <v>--</v>
      </c>
      <c r="S21" s="329" t="str">
        <f t="shared" si="7"/>
        <v>--</v>
      </c>
      <c r="T21" s="330" t="str">
        <f t="shared" si="8"/>
        <v>--</v>
      </c>
      <c r="U21" s="331" t="str">
        <f t="shared" si="9"/>
        <v>--</v>
      </c>
      <c r="V21" s="332" t="str">
        <f t="shared" si="10"/>
        <v>--</v>
      </c>
      <c r="W21" s="333" t="str">
        <f t="shared" si="11"/>
        <v>--</v>
      </c>
      <c r="X21" s="334" t="str">
        <f t="shared" si="12"/>
        <v>--</v>
      </c>
      <c r="Y21" s="335" t="str">
        <f t="shared" si="13"/>
        <v>--</v>
      </c>
      <c r="Z21" s="157">
        <f t="shared" si="14"/>
      </c>
      <c r="AA21" s="299">
        <f t="shared" si="15"/>
      </c>
      <c r="AB21" s="17"/>
    </row>
    <row r="22" spans="1:28" s="5" customFormat="1" ht="16.5" customHeight="1">
      <c r="A22" s="88"/>
      <c r="B22" s="93"/>
      <c r="C22" s="153"/>
      <c r="D22" s="147"/>
      <c r="E22" s="284"/>
      <c r="F22" s="285"/>
      <c r="G22" s="286"/>
      <c r="H22" s="287">
        <f t="shared" si="0"/>
        <v>0</v>
      </c>
      <c r="I22" s="154"/>
      <c r="J22" s="154"/>
      <c r="K22" s="288">
        <f t="shared" si="1"/>
      </c>
      <c r="L22" s="14">
        <f t="shared" si="2"/>
      </c>
      <c r="M22" s="155"/>
      <c r="N22" s="217">
        <f t="shared" si="3"/>
      </c>
      <c r="O22" s="152">
        <f t="shared" si="16"/>
      </c>
      <c r="P22" s="151">
        <f t="shared" si="4"/>
      </c>
      <c r="Q22" s="345">
        <f t="shared" si="5"/>
        <v>20</v>
      </c>
      <c r="R22" s="328" t="str">
        <f t="shared" si="6"/>
        <v>--</v>
      </c>
      <c r="S22" s="329" t="str">
        <f t="shared" si="7"/>
        <v>--</v>
      </c>
      <c r="T22" s="330" t="str">
        <f t="shared" si="8"/>
        <v>--</v>
      </c>
      <c r="U22" s="331" t="str">
        <f t="shared" si="9"/>
        <v>--</v>
      </c>
      <c r="V22" s="332" t="str">
        <f t="shared" si="10"/>
        <v>--</v>
      </c>
      <c r="W22" s="333" t="str">
        <f t="shared" si="11"/>
        <v>--</v>
      </c>
      <c r="X22" s="334" t="str">
        <f t="shared" si="12"/>
        <v>--</v>
      </c>
      <c r="Y22" s="335" t="str">
        <f t="shared" si="13"/>
        <v>--</v>
      </c>
      <c r="Z22" s="157">
        <f t="shared" si="14"/>
      </c>
      <c r="AA22" s="299">
        <f t="shared" si="15"/>
      </c>
      <c r="AB22" s="17"/>
    </row>
    <row r="23" spans="1:28" s="5" customFormat="1" ht="16.5" customHeight="1">
      <c r="A23" s="88"/>
      <c r="B23" s="93"/>
      <c r="C23" s="270"/>
      <c r="D23" s="147"/>
      <c r="E23" s="284"/>
      <c r="F23" s="285"/>
      <c r="G23" s="286"/>
      <c r="H23" s="287">
        <f t="shared" si="0"/>
        <v>0</v>
      </c>
      <c r="I23" s="154"/>
      <c r="J23" s="154"/>
      <c r="K23" s="288">
        <f t="shared" si="1"/>
      </c>
      <c r="L23" s="14">
        <f t="shared" si="2"/>
      </c>
      <c r="M23" s="155"/>
      <c r="N23" s="217">
        <f t="shared" si="3"/>
      </c>
      <c r="O23" s="152">
        <f t="shared" si="16"/>
      </c>
      <c r="P23" s="151">
        <f t="shared" si="4"/>
      </c>
      <c r="Q23" s="345">
        <f t="shared" si="5"/>
        <v>20</v>
      </c>
      <c r="R23" s="328" t="str">
        <f t="shared" si="6"/>
        <v>--</v>
      </c>
      <c r="S23" s="329" t="str">
        <f t="shared" si="7"/>
        <v>--</v>
      </c>
      <c r="T23" s="330" t="str">
        <f t="shared" si="8"/>
        <v>--</v>
      </c>
      <c r="U23" s="331" t="str">
        <f t="shared" si="9"/>
        <v>--</v>
      </c>
      <c r="V23" s="332" t="str">
        <f t="shared" si="10"/>
        <v>--</v>
      </c>
      <c r="W23" s="333" t="str">
        <f t="shared" si="11"/>
        <v>--</v>
      </c>
      <c r="X23" s="334" t="str">
        <f t="shared" si="12"/>
        <v>--</v>
      </c>
      <c r="Y23" s="335" t="str">
        <f t="shared" si="13"/>
        <v>--</v>
      </c>
      <c r="Z23" s="157">
        <f t="shared" si="14"/>
      </c>
      <c r="AA23" s="299">
        <f t="shared" si="15"/>
      </c>
      <c r="AB23" s="17"/>
    </row>
    <row r="24" spans="1:28" s="5" customFormat="1" ht="16.5" customHeight="1">
      <c r="A24" s="88"/>
      <c r="B24" s="93"/>
      <c r="C24" s="153"/>
      <c r="D24" s="147"/>
      <c r="E24" s="284"/>
      <c r="F24" s="285"/>
      <c r="G24" s="286"/>
      <c r="H24" s="287">
        <f t="shared" si="0"/>
        <v>0</v>
      </c>
      <c r="I24" s="154"/>
      <c r="J24" s="154"/>
      <c r="K24" s="288">
        <f t="shared" si="1"/>
      </c>
      <c r="L24" s="14">
        <f t="shared" si="2"/>
      </c>
      <c r="M24" s="155"/>
      <c r="N24" s="217">
        <f t="shared" si="3"/>
      </c>
      <c r="O24" s="152">
        <f t="shared" si="16"/>
      </c>
      <c r="P24" s="151">
        <f t="shared" si="4"/>
      </c>
      <c r="Q24" s="345">
        <f t="shared" si="5"/>
        <v>20</v>
      </c>
      <c r="R24" s="328" t="str">
        <f t="shared" si="6"/>
        <v>--</v>
      </c>
      <c r="S24" s="329" t="str">
        <f t="shared" si="7"/>
        <v>--</v>
      </c>
      <c r="T24" s="330" t="str">
        <f t="shared" si="8"/>
        <v>--</v>
      </c>
      <c r="U24" s="331" t="str">
        <f t="shared" si="9"/>
        <v>--</v>
      </c>
      <c r="V24" s="332" t="str">
        <f t="shared" si="10"/>
        <v>--</v>
      </c>
      <c r="W24" s="333" t="str">
        <f t="shared" si="11"/>
        <v>--</v>
      </c>
      <c r="X24" s="334" t="str">
        <f t="shared" si="12"/>
        <v>--</v>
      </c>
      <c r="Y24" s="335" t="str">
        <f t="shared" si="13"/>
        <v>--</v>
      </c>
      <c r="Z24" s="157">
        <f t="shared" si="14"/>
      </c>
      <c r="AA24" s="299">
        <f t="shared" si="15"/>
      </c>
      <c r="AB24" s="17"/>
    </row>
    <row r="25" spans="1:28" s="5" customFormat="1" ht="16.5" customHeight="1">
      <c r="A25" s="88"/>
      <c r="B25" s="93"/>
      <c r="C25" s="270"/>
      <c r="D25" s="147"/>
      <c r="E25" s="284"/>
      <c r="F25" s="285"/>
      <c r="G25" s="286"/>
      <c r="H25" s="287">
        <f t="shared" si="0"/>
        <v>0</v>
      </c>
      <c r="I25" s="154"/>
      <c r="J25" s="154"/>
      <c r="K25" s="288">
        <f t="shared" si="1"/>
      </c>
      <c r="L25" s="14">
        <f t="shared" si="2"/>
      </c>
      <c r="M25" s="155"/>
      <c r="N25" s="217">
        <f t="shared" si="3"/>
      </c>
      <c r="O25" s="152">
        <f t="shared" si="16"/>
      </c>
      <c r="P25" s="151">
        <f t="shared" si="4"/>
      </c>
      <c r="Q25" s="345">
        <f t="shared" si="5"/>
        <v>20</v>
      </c>
      <c r="R25" s="328" t="str">
        <f t="shared" si="6"/>
        <v>--</v>
      </c>
      <c r="S25" s="329" t="str">
        <f t="shared" si="7"/>
        <v>--</v>
      </c>
      <c r="T25" s="330" t="str">
        <f t="shared" si="8"/>
        <v>--</v>
      </c>
      <c r="U25" s="331" t="str">
        <f t="shared" si="9"/>
        <v>--</v>
      </c>
      <c r="V25" s="332" t="str">
        <f t="shared" si="10"/>
        <v>--</v>
      </c>
      <c r="W25" s="333" t="str">
        <f t="shared" si="11"/>
        <v>--</v>
      </c>
      <c r="X25" s="334" t="str">
        <f t="shared" si="12"/>
        <v>--</v>
      </c>
      <c r="Y25" s="335" t="str">
        <f t="shared" si="13"/>
        <v>--</v>
      </c>
      <c r="Z25" s="157">
        <f t="shared" si="14"/>
      </c>
      <c r="AA25" s="299">
        <f t="shared" si="15"/>
      </c>
      <c r="AB25" s="17"/>
    </row>
    <row r="26" spans="1:29" s="5" customFormat="1" ht="16.5" customHeight="1">
      <c r="A26" s="88"/>
      <c r="B26" s="93"/>
      <c r="C26" s="153"/>
      <c r="D26" s="147"/>
      <c r="E26" s="284"/>
      <c r="F26" s="285"/>
      <c r="G26" s="286"/>
      <c r="H26" s="287">
        <f t="shared" si="0"/>
        <v>0</v>
      </c>
      <c r="I26" s="154"/>
      <c r="J26" s="154"/>
      <c r="K26" s="288">
        <f t="shared" si="1"/>
      </c>
      <c r="L26" s="14">
        <f t="shared" si="2"/>
      </c>
      <c r="M26" s="155"/>
      <c r="N26" s="217">
        <f t="shared" si="3"/>
      </c>
      <c r="O26" s="152">
        <f t="shared" si="16"/>
      </c>
      <c r="P26" s="151">
        <f t="shared" si="4"/>
      </c>
      <c r="Q26" s="345">
        <f t="shared" si="5"/>
        <v>20</v>
      </c>
      <c r="R26" s="328" t="str">
        <f t="shared" si="6"/>
        <v>--</v>
      </c>
      <c r="S26" s="329" t="str">
        <f t="shared" si="7"/>
        <v>--</v>
      </c>
      <c r="T26" s="330" t="str">
        <f t="shared" si="8"/>
        <v>--</v>
      </c>
      <c r="U26" s="331" t="str">
        <f t="shared" si="9"/>
        <v>--</v>
      </c>
      <c r="V26" s="332" t="str">
        <f t="shared" si="10"/>
        <v>--</v>
      </c>
      <c r="W26" s="333" t="str">
        <f t="shared" si="11"/>
        <v>--</v>
      </c>
      <c r="X26" s="334" t="str">
        <f t="shared" si="12"/>
        <v>--</v>
      </c>
      <c r="Y26" s="335" t="str">
        <f t="shared" si="13"/>
        <v>--</v>
      </c>
      <c r="Z26" s="157">
        <f t="shared" si="14"/>
      </c>
      <c r="AA26" s="299">
        <f t="shared" si="15"/>
      </c>
      <c r="AB26" s="17"/>
      <c r="AC26" s="15"/>
    </row>
    <row r="27" spans="1:28" s="5" customFormat="1" ht="16.5" customHeight="1">
      <c r="A27" s="88"/>
      <c r="B27" s="93"/>
      <c r="C27" s="270"/>
      <c r="D27" s="147"/>
      <c r="E27" s="284"/>
      <c r="F27" s="285"/>
      <c r="G27" s="286"/>
      <c r="H27" s="287">
        <f t="shared" si="0"/>
        <v>0</v>
      </c>
      <c r="I27" s="154"/>
      <c r="J27" s="154"/>
      <c r="K27" s="288">
        <f t="shared" si="1"/>
      </c>
      <c r="L27" s="14">
        <f t="shared" si="2"/>
      </c>
      <c r="M27" s="155"/>
      <c r="N27" s="217">
        <f t="shared" si="3"/>
      </c>
      <c r="O27" s="152">
        <f t="shared" si="16"/>
      </c>
      <c r="P27" s="151">
        <f t="shared" si="4"/>
      </c>
      <c r="Q27" s="345">
        <f t="shared" si="5"/>
        <v>20</v>
      </c>
      <c r="R27" s="328" t="str">
        <f t="shared" si="6"/>
        <v>--</v>
      </c>
      <c r="S27" s="329" t="str">
        <f t="shared" si="7"/>
        <v>--</v>
      </c>
      <c r="T27" s="330" t="str">
        <f t="shared" si="8"/>
        <v>--</v>
      </c>
      <c r="U27" s="331" t="str">
        <f t="shared" si="9"/>
        <v>--</v>
      </c>
      <c r="V27" s="332" t="str">
        <f t="shared" si="10"/>
        <v>--</v>
      </c>
      <c r="W27" s="333" t="str">
        <f t="shared" si="11"/>
        <v>--</v>
      </c>
      <c r="X27" s="334" t="str">
        <f t="shared" si="12"/>
        <v>--</v>
      </c>
      <c r="Y27" s="335" t="str">
        <f t="shared" si="13"/>
        <v>--</v>
      </c>
      <c r="Z27" s="157">
        <f t="shared" si="14"/>
      </c>
      <c r="AA27" s="299">
        <f t="shared" si="15"/>
      </c>
      <c r="AB27" s="17"/>
    </row>
    <row r="28" spans="1:28" s="5" customFormat="1" ht="16.5" customHeight="1">
      <c r="A28" s="88"/>
      <c r="B28" s="93"/>
      <c r="C28" s="153"/>
      <c r="D28" s="147"/>
      <c r="E28" s="284"/>
      <c r="F28" s="285"/>
      <c r="G28" s="286"/>
      <c r="H28" s="287">
        <f t="shared" si="0"/>
        <v>0</v>
      </c>
      <c r="I28" s="154"/>
      <c r="J28" s="154"/>
      <c r="K28" s="288">
        <f t="shared" si="1"/>
      </c>
      <c r="L28" s="14">
        <f t="shared" si="2"/>
      </c>
      <c r="M28" s="155"/>
      <c r="N28" s="217">
        <f t="shared" si="3"/>
      </c>
      <c r="O28" s="152">
        <f t="shared" si="16"/>
      </c>
      <c r="P28" s="151">
        <f t="shared" si="4"/>
      </c>
      <c r="Q28" s="345">
        <f t="shared" si="5"/>
        <v>20</v>
      </c>
      <c r="R28" s="328" t="str">
        <f t="shared" si="6"/>
        <v>--</v>
      </c>
      <c r="S28" s="329" t="str">
        <f t="shared" si="7"/>
        <v>--</v>
      </c>
      <c r="T28" s="330" t="str">
        <f t="shared" si="8"/>
        <v>--</v>
      </c>
      <c r="U28" s="331" t="str">
        <f t="shared" si="9"/>
        <v>--</v>
      </c>
      <c r="V28" s="332" t="str">
        <f t="shared" si="10"/>
        <v>--</v>
      </c>
      <c r="W28" s="333" t="str">
        <f t="shared" si="11"/>
        <v>--</v>
      </c>
      <c r="X28" s="334" t="str">
        <f t="shared" si="12"/>
        <v>--</v>
      </c>
      <c r="Y28" s="335" t="str">
        <f t="shared" si="13"/>
        <v>--</v>
      </c>
      <c r="Z28" s="157">
        <f t="shared" si="14"/>
      </c>
      <c r="AA28" s="299">
        <f t="shared" si="15"/>
      </c>
      <c r="AB28" s="17"/>
    </row>
    <row r="29" spans="1:28" s="5" customFormat="1" ht="16.5" customHeight="1">
      <c r="A29" s="88"/>
      <c r="B29" s="93"/>
      <c r="C29" s="270"/>
      <c r="D29" s="147"/>
      <c r="E29" s="284"/>
      <c r="F29" s="285"/>
      <c r="G29" s="286"/>
      <c r="H29" s="287">
        <f t="shared" si="0"/>
        <v>0</v>
      </c>
      <c r="I29" s="154"/>
      <c r="J29" s="154"/>
      <c r="K29" s="288">
        <f t="shared" si="1"/>
      </c>
      <c r="L29" s="14">
        <f t="shared" si="2"/>
      </c>
      <c r="M29" s="155"/>
      <c r="N29" s="217">
        <f t="shared" si="3"/>
      </c>
      <c r="O29" s="152">
        <f t="shared" si="16"/>
      </c>
      <c r="P29" s="151">
        <f t="shared" si="4"/>
      </c>
      <c r="Q29" s="345">
        <f t="shared" si="5"/>
        <v>20</v>
      </c>
      <c r="R29" s="328" t="str">
        <f t="shared" si="6"/>
        <v>--</v>
      </c>
      <c r="S29" s="329" t="str">
        <f t="shared" si="7"/>
        <v>--</v>
      </c>
      <c r="T29" s="330" t="str">
        <f t="shared" si="8"/>
        <v>--</v>
      </c>
      <c r="U29" s="331" t="str">
        <f t="shared" si="9"/>
        <v>--</v>
      </c>
      <c r="V29" s="332" t="str">
        <f t="shared" si="10"/>
        <v>--</v>
      </c>
      <c r="W29" s="333" t="str">
        <f t="shared" si="11"/>
        <v>--</v>
      </c>
      <c r="X29" s="334" t="str">
        <f t="shared" si="12"/>
        <v>--</v>
      </c>
      <c r="Y29" s="335" t="str">
        <f t="shared" si="13"/>
        <v>--</v>
      </c>
      <c r="Z29" s="157">
        <f t="shared" si="14"/>
      </c>
      <c r="AA29" s="299">
        <f t="shared" si="15"/>
      </c>
      <c r="AB29" s="17"/>
    </row>
    <row r="30" spans="1:28" s="5" customFormat="1" ht="16.5" customHeight="1">
      <c r="A30" s="88"/>
      <c r="B30" s="93"/>
      <c r="C30" s="153"/>
      <c r="D30" s="147"/>
      <c r="E30" s="300"/>
      <c r="F30" s="285"/>
      <c r="G30" s="286"/>
      <c r="H30" s="287">
        <f t="shared" si="0"/>
        <v>0</v>
      </c>
      <c r="I30" s="154"/>
      <c r="J30" s="154"/>
      <c r="K30" s="288">
        <f t="shared" si="1"/>
      </c>
      <c r="L30" s="14">
        <f t="shared" si="2"/>
      </c>
      <c r="M30" s="155"/>
      <c r="N30" s="217">
        <f t="shared" si="3"/>
      </c>
      <c r="O30" s="152">
        <f t="shared" si="16"/>
      </c>
      <c r="P30" s="151">
        <f t="shared" si="4"/>
      </c>
      <c r="Q30" s="345">
        <f t="shared" si="5"/>
        <v>20</v>
      </c>
      <c r="R30" s="328" t="str">
        <f t="shared" si="6"/>
        <v>--</v>
      </c>
      <c r="S30" s="329" t="str">
        <f t="shared" si="7"/>
        <v>--</v>
      </c>
      <c r="T30" s="330" t="str">
        <f t="shared" si="8"/>
        <v>--</v>
      </c>
      <c r="U30" s="331" t="str">
        <f t="shared" si="9"/>
        <v>--</v>
      </c>
      <c r="V30" s="332" t="str">
        <f t="shared" si="10"/>
        <v>--</v>
      </c>
      <c r="W30" s="333" t="str">
        <f t="shared" si="11"/>
        <v>--</v>
      </c>
      <c r="X30" s="334" t="str">
        <f t="shared" si="12"/>
        <v>--</v>
      </c>
      <c r="Y30" s="335" t="str">
        <f t="shared" si="13"/>
        <v>--</v>
      </c>
      <c r="Z30" s="157">
        <f t="shared" si="14"/>
      </c>
      <c r="AA30" s="299">
        <f t="shared" si="15"/>
      </c>
      <c r="AB30" s="17"/>
    </row>
    <row r="31" spans="1:28" s="5" customFormat="1" ht="16.5" customHeight="1">
      <c r="A31" s="88"/>
      <c r="B31" s="93"/>
      <c r="C31" s="270"/>
      <c r="D31" s="147"/>
      <c r="E31" s="300"/>
      <c r="F31" s="285"/>
      <c r="G31" s="286"/>
      <c r="H31" s="287">
        <f t="shared" si="0"/>
        <v>0</v>
      </c>
      <c r="I31" s="154"/>
      <c r="J31" s="154"/>
      <c r="K31" s="288">
        <f t="shared" si="1"/>
      </c>
      <c r="L31" s="14">
        <f t="shared" si="2"/>
      </c>
      <c r="M31" s="155"/>
      <c r="N31" s="217">
        <f t="shared" si="3"/>
      </c>
      <c r="O31" s="152">
        <f t="shared" si="16"/>
      </c>
      <c r="P31" s="151">
        <f t="shared" si="4"/>
      </c>
      <c r="Q31" s="345">
        <f t="shared" si="5"/>
        <v>20</v>
      </c>
      <c r="R31" s="328" t="str">
        <f t="shared" si="6"/>
        <v>--</v>
      </c>
      <c r="S31" s="329" t="str">
        <f t="shared" si="7"/>
        <v>--</v>
      </c>
      <c r="T31" s="330" t="str">
        <f t="shared" si="8"/>
        <v>--</v>
      </c>
      <c r="U31" s="331" t="str">
        <f t="shared" si="9"/>
        <v>--</v>
      </c>
      <c r="V31" s="332" t="str">
        <f t="shared" si="10"/>
        <v>--</v>
      </c>
      <c r="W31" s="333" t="str">
        <f t="shared" si="11"/>
        <v>--</v>
      </c>
      <c r="X31" s="334" t="str">
        <f t="shared" si="12"/>
        <v>--</v>
      </c>
      <c r="Y31" s="335" t="str">
        <f t="shared" si="13"/>
        <v>--</v>
      </c>
      <c r="Z31" s="157">
        <f t="shared" si="14"/>
      </c>
      <c r="AA31" s="299">
        <f t="shared" si="15"/>
      </c>
      <c r="AB31" s="17"/>
    </row>
    <row r="32" spans="1:28" s="5" customFormat="1" ht="16.5" customHeight="1">
      <c r="A32" s="88"/>
      <c r="B32" s="93"/>
      <c r="C32" s="153"/>
      <c r="D32" s="147"/>
      <c r="E32" s="300"/>
      <c r="F32" s="285"/>
      <c r="G32" s="286"/>
      <c r="H32" s="287">
        <f t="shared" si="0"/>
        <v>0</v>
      </c>
      <c r="I32" s="154"/>
      <c r="J32" s="154"/>
      <c r="K32" s="288">
        <f t="shared" si="1"/>
      </c>
      <c r="L32" s="14">
        <f t="shared" si="2"/>
      </c>
      <c r="M32" s="155"/>
      <c r="N32" s="217">
        <f t="shared" si="3"/>
      </c>
      <c r="O32" s="152">
        <f t="shared" si="16"/>
      </c>
      <c r="P32" s="151">
        <f t="shared" si="4"/>
      </c>
      <c r="Q32" s="345">
        <f t="shared" si="5"/>
        <v>20</v>
      </c>
      <c r="R32" s="328" t="str">
        <f t="shared" si="6"/>
        <v>--</v>
      </c>
      <c r="S32" s="329" t="str">
        <f t="shared" si="7"/>
        <v>--</v>
      </c>
      <c r="T32" s="330" t="str">
        <f t="shared" si="8"/>
        <v>--</v>
      </c>
      <c r="U32" s="331" t="str">
        <f t="shared" si="9"/>
        <v>--</v>
      </c>
      <c r="V32" s="332" t="str">
        <f t="shared" si="10"/>
        <v>--</v>
      </c>
      <c r="W32" s="333" t="str">
        <f t="shared" si="11"/>
        <v>--</v>
      </c>
      <c r="X32" s="334" t="str">
        <f t="shared" si="12"/>
        <v>--</v>
      </c>
      <c r="Y32" s="335" t="str">
        <f t="shared" si="13"/>
        <v>--</v>
      </c>
      <c r="Z32" s="157">
        <f t="shared" si="14"/>
      </c>
      <c r="AA32" s="299">
        <f t="shared" si="15"/>
      </c>
      <c r="AB32" s="17"/>
    </row>
    <row r="33" spans="1:28" s="5" customFormat="1" ht="16.5" customHeight="1">
      <c r="A33" s="88"/>
      <c r="B33" s="93"/>
      <c r="C33" s="270"/>
      <c r="D33" s="147"/>
      <c r="E33" s="300"/>
      <c r="F33" s="285"/>
      <c r="G33" s="286"/>
      <c r="H33" s="287">
        <f t="shared" si="0"/>
        <v>0</v>
      </c>
      <c r="I33" s="154"/>
      <c r="J33" s="154"/>
      <c r="K33" s="288">
        <f t="shared" si="1"/>
      </c>
      <c r="L33" s="14">
        <f t="shared" si="2"/>
      </c>
      <c r="M33" s="155"/>
      <c r="N33" s="217">
        <f t="shared" si="3"/>
      </c>
      <c r="O33" s="152">
        <f t="shared" si="16"/>
      </c>
      <c r="P33" s="151">
        <f t="shared" si="4"/>
      </c>
      <c r="Q33" s="345">
        <f t="shared" si="5"/>
        <v>20</v>
      </c>
      <c r="R33" s="328" t="str">
        <f t="shared" si="6"/>
        <v>--</v>
      </c>
      <c r="S33" s="329" t="str">
        <f t="shared" si="7"/>
        <v>--</v>
      </c>
      <c r="T33" s="330" t="str">
        <f t="shared" si="8"/>
        <v>--</v>
      </c>
      <c r="U33" s="331" t="str">
        <f t="shared" si="9"/>
        <v>--</v>
      </c>
      <c r="V33" s="332" t="str">
        <f t="shared" si="10"/>
        <v>--</v>
      </c>
      <c r="W33" s="333" t="str">
        <f t="shared" si="11"/>
        <v>--</v>
      </c>
      <c r="X33" s="334" t="str">
        <f t="shared" si="12"/>
        <v>--</v>
      </c>
      <c r="Y33" s="335" t="str">
        <f t="shared" si="13"/>
        <v>--</v>
      </c>
      <c r="Z33" s="157">
        <f t="shared" si="14"/>
      </c>
      <c r="AA33" s="299">
        <f t="shared" si="15"/>
      </c>
      <c r="AB33" s="17"/>
    </row>
    <row r="34" spans="1:28" s="5" customFormat="1" ht="16.5" customHeight="1">
      <c r="A34" s="88"/>
      <c r="B34" s="93"/>
      <c r="C34" s="153"/>
      <c r="D34" s="147"/>
      <c r="E34" s="300"/>
      <c r="F34" s="285"/>
      <c r="G34" s="286"/>
      <c r="H34" s="287">
        <f t="shared" si="0"/>
        <v>0</v>
      </c>
      <c r="I34" s="154"/>
      <c r="J34" s="154"/>
      <c r="K34" s="288">
        <f t="shared" si="1"/>
      </c>
      <c r="L34" s="14">
        <f t="shared" si="2"/>
      </c>
      <c r="M34" s="155"/>
      <c r="N34" s="217">
        <f t="shared" si="3"/>
      </c>
      <c r="O34" s="152">
        <f t="shared" si="16"/>
      </c>
      <c r="P34" s="151">
        <f t="shared" si="4"/>
      </c>
      <c r="Q34" s="345">
        <f t="shared" si="5"/>
        <v>20</v>
      </c>
      <c r="R34" s="328" t="str">
        <f t="shared" si="6"/>
        <v>--</v>
      </c>
      <c r="S34" s="329" t="str">
        <f t="shared" si="7"/>
        <v>--</v>
      </c>
      <c r="T34" s="330" t="str">
        <f t="shared" si="8"/>
        <v>--</v>
      </c>
      <c r="U34" s="331" t="str">
        <f t="shared" si="9"/>
        <v>--</v>
      </c>
      <c r="V34" s="332" t="str">
        <f t="shared" si="10"/>
        <v>--</v>
      </c>
      <c r="W34" s="333" t="str">
        <f t="shared" si="11"/>
        <v>--</v>
      </c>
      <c r="X34" s="334" t="str">
        <f t="shared" si="12"/>
        <v>--</v>
      </c>
      <c r="Y34" s="335" t="str">
        <f t="shared" si="13"/>
        <v>--</v>
      </c>
      <c r="Z34" s="157">
        <f t="shared" si="14"/>
      </c>
      <c r="AA34" s="299">
        <f t="shared" si="15"/>
      </c>
      <c r="AB34" s="17"/>
    </row>
    <row r="35" spans="1:28" s="5" customFormat="1" ht="16.5" customHeight="1">
      <c r="A35" s="88"/>
      <c r="B35" s="93"/>
      <c r="C35" s="270"/>
      <c r="D35" s="147"/>
      <c r="E35" s="300"/>
      <c r="F35" s="285"/>
      <c r="G35" s="286"/>
      <c r="H35" s="287">
        <f t="shared" si="0"/>
        <v>0</v>
      </c>
      <c r="I35" s="154"/>
      <c r="J35" s="154"/>
      <c r="K35" s="288">
        <f t="shared" si="1"/>
      </c>
      <c r="L35" s="14">
        <f t="shared" si="2"/>
      </c>
      <c r="M35" s="155"/>
      <c r="N35" s="217">
        <f t="shared" si="3"/>
      </c>
      <c r="O35" s="152">
        <f t="shared" si="16"/>
      </c>
      <c r="P35" s="151">
        <f t="shared" si="4"/>
      </c>
      <c r="Q35" s="345">
        <f t="shared" si="5"/>
        <v>20</v>
      </c>
      <c r="R35" s="328" t="str">
        <f t="shared" si="6"/>
        <v>--</v>
      </c>
      <c r="S35" s="329" t="str">
        <f t="shared" si="7"/>
        <v>--</v>
      </c>
      <c r="T35" s="330" t="str">
        <f t="shared" si="8"/>
        <v>--</v>
      </c>
      <c r="U35" s="331" t="str">
        <f t="shared" si="9"/>
        <v>--</v>
      </c>
      <c r="V35" s="332" t="str">
        <f t="shared" si="10"/>
        <v>--</v>
      </c>
      <c r="W35" s="333" t="str">
        <f t="shared" si="11"/>
        <v>--</v>
      </c>
      <c r="X35" s="334" t="str">
        <f t="shared" si="12"/>
        <v>--</v>
      </c>
      <c r="Y35" s="335" t="str">
        <f t="shared" si="13"/>
        <v>--</v>
      </c>
      <c r="Z35" s="157">
        <f t="shared" si="14"/>
      </c>
      <c r="AA35" s="299">
        <f t="shared" si="15"/>
      </c>
      <c r="AB35" s="17"/>
    </row>
    <row r="36" spans="1:28" s="5" customFormat="1" ht="16.5" customHeight="1">
      <c r="A36" s="88"/>
      <c r="B36" s="93"/>
      <c r="C36" s="153"/>
      <c r="D36" s="147"/>
      <c r="E36" s="300"/>
      <c r="F36" s="285"/>
      <c r="G36" s="286"/>
      <c r="H36" s="287">
        <f t="shared" si="0"/>
        <v>0</v>
      </c>
      <c r="I36" s="154"/>
      <c r="J36" s="154"/>
      <c r="K36" s="288">
        <f t="shared" si="1"/>
      </c>
      <c r="L36" s="14">
        <f t="shared" si="2"/>
      </c>
      <c r="M36" s="155"/>
      <c r="N36" s="217">
        <f t="shared" si="3"/>
      </c>
      <c r="O36" s="152">
        <f t="shared" si="16"/>
      </c>
      <c r="P36" s="151">
        <f t="shared" si="4"/>
      </c>
      <c r="Q36" s="345">
        <f t="shared" si="5"/>
        <v>20</v>
      </c>
      <c r="R36" s="328" t="str">
        <f t="shared" si="6"/>
        <v>--</v>
      </c>
      <c r="S36" s="329" t="str">
        <f t="shared" si="7"/>
        <v>--</v>
      </c>
      <c r="T36" s="330" t="str">
        <f t="shared" si="8"/>
        <v>--</v>
      </c>
      <c r="U36" s="331" t="str">
        <f t="shared" si="9"/>
        <v>--</v>
      </c>
      <c r="V36" s="332" t="str">
        <f t="shared" si="10"/>
        <v>--</v>
      </c>
      <c r="W36" s="333" t="str">
        <f t="shared" si="11"/>
        <v>--</v>
      </c>
      <c r="X36" s="334" t="str">
        <f t="shared" si="12"/>
        <v>--</v>
      </c>
      <c r="Y36" s="335" t="str">
        <f t="shared" si="13"/>
        <v>--</v>
      </c>
      <c r="Z36" s="157">
        <f t="shared" si="14"/>
      </c>
      <c r="AA36" s="299">
        <f t="shared" si="15"/>
      </c>
      <c r="AB36" s="17"/>
    </row>
    <row r="37" spans="1:28" s="5" customFormat="1" ht="16.5" customHeight="1">
      <c r="A37" s="88"/>
      <c r="B37" s="93"/>
      <c r="C37" s="270"/>
      <c r="D37" s="147"/>
      <c r="E37" s="300"/>
      <c r="F37" s="285"/>
      <c r="G37" s="286"/>
      <c r="H37" s="287">
        <f t="shared" si="0"/>
        <v>0</v>
      </c>
      <c r="I37" s="154"/>
      <c r="J37" s="154"/>
      <c r="K37" s="288">
        <f t="shared" si="1"/>
      </c>
      <c r="L37" s="14">
        <f t="shared" si="2"/>
      </c>
      <c r="M37" s="155"/>
      <c r="N37" s="217">
        <f t="shared" si="3"/>
      </c>
      <c r="O37" s="152">
        <f t="shared" si="16"/>
      </c>
      <c r="P37" s="151">
        <f t="shared" si="4"/>
      </c>
      <c r="Q37" s="345">
        <f t="shared" si="5"/>
        <v>20</v>
      </c>
      <c r="R37" s="328" t="str">
        <f t="shared" si="6"/>
        <v>--</v>
      </c>
      <c r="S37" s="329" t="str">
        <f t="shared" si="7"/>
        <v>--</v>
      </c>
      <c r="T37" s="330" t="str">
        <f t="shared" si="8"/>
        <v>--</v>
      </c>
      <c r="U37" s="331" t="str">
        <f t="shared" si="9"/>
        <v>--</v>
      </c>
      <c r="V37" s="332" t="str">
        <f t="shared" si="10"/>
        <v>--</v>
      </c>
      <c r="W37" s="333" t="str">
        <f t="shared" si="11"/>
        <v>--</v>
      </c>
      <c r="X37" s="334" t="str">
        <f t="shared" si="12"/>
        <v>--</v>
      </c>
      <c r="Y37" s="335" t="str">
        <f t="shared" si="13"/>
        <v>--</v>
      </c>
      <c r="Z37" s="157">
        <f t="shared" si="14"/>
      </c>
      <c r="AA37" s="299">
        <f t="shared" si="15"/>
      </c>
      <c r="AB37" s="17"/>
    </row>
    <row r="38" spans="1:28" s="5" customFormat="1" ht="16.5" customHeight="1">
      <c r="A38" s="88"/>
      <c r="B38" s="93"/>
      <c r="C38" s="153"/>
      <c r="D38" s="147"/>
      <c r="E38" s="300"/>
      <c r="F38" s="285"/>
      <c r="G38" s="286"/>
      <c r="H38" s="287">
        <f t="shared" si="0"/>
        <v>0</v>
      </c>
      <c r="I38" s="154"/>
      <c r="J38" s="154"/>
      <c r="K38" s="288">
        <f t="shared" si="1"/>
      </c>
      <c r="L38" s="14">
        <f t="shared" si="2"/>
      </c>
      <c r="M38" s="155"/>
      <c r="N38" s="217">
        <f t="shared" si="3"/>
      </c>
      <c r="O38" s="152">
        <f t="shared" si="16"/>
      </c>
      <c r="P38" s="151">
        <f t="shared" si="4"/>
      </c>
      <c r="Q38" s="345">
        <f t="shared" si="5"/>
        <v>20</v>
      </c>
      <c r="R38" s="328" t="str">
        <f t="shared" si="6"/>
        <v>--</v>
      </c>
      <c r="S38" s="329" t="str">
        <f t="shared" si="7"/>
        <v>--</v>
      </c>
      <c r="T38" s="330" t="str">
        <f t="shared" si="8"/>
        <v>--</v>
      </c>
      <c r="U38" s="331" t="str">
        <f t="shared" si="9"/>
        <v>--</v>
      </c>
      <c r="V38" s="332" t="str">
        <f t="shared" si="10"/>
        <v>--</v>
      </c>
      <c r="W38" s="333" t="str">
        <f t="shared" si="11"/>
        <v>--</v>
      </c>
      <c r="X38" s="334" t="str">
        <f t="shared" si="12"/>
        <v>--</v>
      </c>
      <c r="Y38" s="335" t="str">
        <f t="shared" si="13"/>
        <v>--</v>
      </c>
      <c r="Z38" s="157">
        <f t="shared" si="14"/>
      </c>
      <c r="AA38" s="299">
        <f t="shared" si="15"/>
      </c>
      <c r="AB38" s="17"/>
    </row>
    <row r="39" spans="1:28" s="5" customFormat="1" ht="16.5" customHeight="1">
      <c r="A39" s="88"/>
      <c r="B39" s="93"/>
      <c r="C39" s="270"/>
      <c r="D39" s="147"/>
      <c r="E39" s="300"/>
      <c r="F39" s="285"/>
      <c r="G39" s="286"/>
      <c r="H39" s="287">
        <f t="shared" si="0"/>
        <v>0</v>
      </c>
      <c r="I39" s="154"/>
      <c r="J39" s="154"/>
      <c r="K39" s="288">
        <f t="shared" si="1"/>
      </c>
      <c r="L39" s="14">
        <f t="shared" si="2"/>
      </c>
      <c r="M39" s="155"/>
      <c r="N39" s="217">
        <f t="shared" si="3"/>
      </c>
      <c r="O39" s="152">
        <f t="shared" si="16"/>
      </c>
      <c r="P39" s="151">
        <f t="shared" si="4"/>
      </c>
      <c r="Q39" s="345">
        <f t="shared" si="5"/>
        <v>20</v>
      </c>
      <c r="R39" s="328" t="str">
        <f t="shared" si="6"/>
        <v>--</v>
      </c>
      <c r="S39" s="329" t="str">
        <f t="shared" si="7"/>
        <v>--</v>
      </c>
      <c r="T39" s="330" t="str">
        <f t="shared" si="8"/>
        <v>--</v>
      </c>
      <c r="U39" s="331" t="str">
        <f t="shared" si="9"/>
        <v>--</v>
      </c>
      <c r="V39" s="332" t="str">
        <f t="shared" si="10"/>
        <v>--</v>
      </c>
      <c r="W39" s="333" t="str">
        <f t="shared" si="11"/>
        <v>--</v>
      </c>
      <c r="X39" s="334" t="str">
        <f t="shared" si="12"/>
        <v>--</v>
      </c>
      <c r="Y39" s="335" t="str">
        <f t="shared" si="13"/>
        <v>--</v>
      </c>
      <c r="Z39" s="157">
        <f t="shared" si="14"/>
      </c>
      <c r="AA39" s="299">
        <f t="shared" si="15"/>
      </c>
      <c r="AB39" s="17"/>
    </row>
    <row r="40" spans="1:28" s="5" customFormat="1" ht="16.5" customHeight="1" thickBot="1">
      <c r="A40" s="88"/>
      <c r="B40" s="93"/>
      <c r="C40" s="153"/>
      <c r="D40" s="301"/>
      <c r="E40" s="302"/>
      <c r="F40" s="301"/>
      <c r="G40" s="303"/>
      <c r="H40" s="130"/>
      <c r="I40" s="156"/>
      <c r="J40" s="304"/>
      <c r="K40" s="305"/>
      <c r="L40" s="306"/>
      <c r="M40" s="161"/>
      <c r="N40" s="189"/>
      <c r="O40" s="159"/>
      <c r="P40" s="161"/>
      <c r="Q40" s="346"/>
      <c r="R40" s="336"/>
      <c r="S40" s="337"/>
      <c r="T40" s="338"/>
      <c r="U40" s="339"/>
      <c r="V40" s="340"/>
      <c r="W40" s="341"/>
      <c r="X40" s="342"/>
      <c r="Y40" s="343"/>
      <c r="Z40" s="344"/>
      <c r="AA40" s="317"/>
      <c r="AB40" s="17"/>
    </row>
    <row r="41" spans="1:28" s="5" customFormat="1" ht="16.5" customHeight="1" thickBot="1" thickTop="1">
      <c r="A41" s="88"/>
      <c r="B41" s="93"/>
      <c r="C41" s="126" t="s">
        <v>23</v>
      </c>
      <c r="D41" s="127" t="s">
        <v>303</v>
      </c>
      <c r="E41" s="15"/>
      <c r="F41" s="15"/>
      <c r="G41" s="15"/>
      <c r="H41" s="15"/>
      <c r="I41" s="15"/>
      <c r="J41" s="97"/>
      <c r="K41" s="15"/>
      <c r="L41" s="15"/>
      <c r="M41" s="15"/>
      <c r="N41" s="15"/>
      <c r="O41" s="15"/>
      <c r="P41" s="15"/>
      <c r="Q41" s="15"/>
      <c r="R41" s="318">
        <f aca="true" t="shared" si="17" ref="R41:Y41">SUM(R18:R40)</f>
        <v>493.47599999999994</v>
      </c>
      <c r="S41" s="319">
        <f t="shared" si="17"/>
        <v>0</v>
      </c>
      <c r="T41" s="320">
        <f t="shared" si="17"/>
        <v>0</v>
      </c>
      <c r="U41" s="321">
        <f t="shared" si="17"/>
        <v>0</v>
      </c>
      <c r="V41" s="322">
        <f t="shared" si="17"/>
        <v>0</v>
      </c>
      <c r="W41" s="323">
        <f t="shared" si="17"/>
        <v>0</v>
      </c>
      <c r="X41" s="324">
        <f t="shared" si="17"/>
        <v>0</v>
      </c>
      <c r="Y41" s="325">
        <f t="shared" si="17"/>
        <v>0</v>
      </c>
      <c r="Z41" s="88"/>
      <c r="AA41" s="326">
        <f>ROUND(SUM(AA18:AA40),2)</f>
        <v>493.48</v>
      </c>
      <c r="AB41" s="17"/>
    </row>
    <row r="42" spans="1:28" s="5" customFormat="1" ht="16.5" customHeight="1" thickBot="1" thickTop="1">
      <c r="A42" s="88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2"/>
    </row>
    <row r="43" spans="1:29" ht="16.5" customHeight="1" thickTop="1">
      <c r="A43" s="2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</row>
    <row r="44" spans="1:29" ht="16.5" customHeight="1">
      <c r="A44" s="2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</row>
    <row r="45" spans="1:29" ht="16.5" customHeight="1">
      <c r="A45" s="2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</row>
    <row r="46" spans="1:29" ht="16.5" customHeight="1">
      <c r="A46" s="2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</row>
    <row r="47" spans="4:29" ht="16.5" customHeight="1"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</row>
    <row r="48" spans="4:29" ht="16.5" customHeight="1"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</row>
    <row r="49" spans="4:29" ht="16.5" customHeight="1"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</row>
    <row r="50" spans="4:29" ht="16.5" customHeight="1"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</row>
    <row r="51" spans="4:29" ht="16.5" customHeight="1"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</row>
    <row r="52" spans="4:29" ht="16.5" customHeight="1"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</row>
    <row r="53" spans="4:29" ht="16.5" customHeight="1"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</row>
    <row r="54" spans="4:29" ht="16.5" customHeight="1"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</row>
    <row r="55" spans="4:29" ht="16.5" customHeight="1"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</row>
    <row r="56" spans="4:29" ht="16.5" customHeight="1"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</row>
    <row r="57" spans="4:29" ht="16.5" customHeight="1"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</row>
    <row r="58" spans="4:29" ht="16.5" customHeight="1"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</row>
    <row r="59" spans="4:29" ht="16.5" customHeight="1"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</row>
    <row r="60" spans="4:29" ht="16.5" customHeight="1"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</row>
    <row r="61" spans="4:29" ht="16.5" customHeight="1"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</row>
    <row r="62" spans="4:29" ht="16.5" customHeight="1"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</row>
    <row r="63" spans="4:29" ht="16.5" customHeight="1"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</row>
    <row r="64" spans="4:29" ht="16.5" customHeight="1"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</row>
    <row r="65" spans="4:29" ht="16.5" customHeight="1"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</row>
    <row r="66" spans="4:29" ht="16.5" customHeight="1"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</row>
    <row r="67" spans="4:29" ht="16.5" customHeight="1"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</row>
    <row r="68" spans="4:29" ht="16.5" customHeight="1"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</row>
    <row r="69" spans="4:29" ht="16.5" customHeight="1"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</row>
    <row r="70" spans="4:29" ht="16.5" customHeight="1"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</row>
    <row r="71" spans="4:29" ht="16.5" customHeight="1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</row>
    <row r="72" spans="4:29" ht="16.5" customHeight="1"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</row>
    <row r="73" spans="4:29" ht="16.5" customHeight="1"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</row>
    <row r="74" spans="4:29" ht="16.5" customHeight="1"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</row>
    <row r="75" spans="4:29" ht="16.5" customHeight="1"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</row>
    <row r="76" spans="4:29" ht="16.5" customHeight="1"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</row>
    <row r="77" spans="4:29" ht="16.5" customHeight="1"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</row>
    <row r="78" spans="4:29" ht="16.5" customHeight="1"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</row>
    <row r="79" spans="4:29" ht="16.5" customHeight="1"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</row>
    <row r="80" spans="4:29" ht="16.5" customHeight="1"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</row>
    <row r="81" spans="4:29" ht="16.5" customHeight="1"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</row>
    <row r="82" spans="4:29" ht="16.5" customHeight="1"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</row>
    <row r="83" spans="4:29" ht="16.5" customHeight="1"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</row>
    <row r="84" spans="4:29" ht="16.5" customHeight="1"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</row>
    <row r="85" spans="4:29" ht="16.5" customHeight="1"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</row>
    <row r="86" spans="4:29" ht="16.5" customHeight="1"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</row>
    <row r="87" spans="4:29" ht="16.5" customHeight="1"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</row>
    <row r="88" spans="4:29" ht="16.5" customHeight="1"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</row>
    <row r="89" spans="4:29" ht="16.5" customHeight="1"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</row>
    <row r="90" spans="4:29" ht="16.5" customHeight="1"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</row>
    <row r="91" spans="4:29" ht="16.5" customHeight="1"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</row>
    <row r="92" spans="4:29" ht="16.5" customHeight="1"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</row>
    <row r="93" spans="4:29" ht="16.5" customHeight="1"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</row>
    <row r="94" spans="4:29" ht="16.5" customHeight="1"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</row>
    <row r="95" spans="4:29" ht="16.5" customHeight="1"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</row>
    <row r="96" spans="4:29" ht="16.5" customHeight="1"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</row>
    <row r="97" spans="4:29" ht="16.5" customHeight="1"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</row>
    <row r="98" spans="4:29" ht="16.5" customHeight="1"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</row>
    <row r="99" spans="4:29" ht="16.5" customHeight="1"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</row>
    <row r="100" spans="4:29" ht="16.5" customHeight="1"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</row>
    <row r="101" spans="4:29" ht="16.5" customHeight="1"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</row>
    <row r="102" spans="4:29" ht="16.5" customHeight="1"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</row>
    <row r="103" spans="4:29" ht="16.5" customHeight="1"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</row>
    <row r="104" spans="4:29" ht="16.5" customHeight="1"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</row>
    <row r="105" spans="4:29" ht="16.5" customHeight="1"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</row>
    <row r="106" spans="4:29" ht="16.5" customHeight="1"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</row>
    <row r="107" spans="4:29" ht="16.5" customHeight="1"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</row>
    <row r="108" spans="4:29" ht="16.5" customHeight="1"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</row>
    <row r="109" spans="4:29" ht="16.5" customHeight="1"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</row>
    <row r="110" spans="4:29" ht="16.5" customHeight="1"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</row>
    <row r="111" spans="4:29" ht="16.5" customHeight="1"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</row>
    <row r="112" spans="4:29" ht="16.5" customHeight="1"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</row>
    <row r="113" spans="4:29" ht="16.5" customHeight="1"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</row>
    <row r="114" spans="4:29" ht="16.5" customHeight="1"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</row>
    <row r="115" spans="4:29" ht="16.5" customHeight="1"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</row>
    <row r="116" spans="4:29" ht="16.5" customHeight="1"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</row>
    <row r="117" spans="4:29" ht="16.5" customHeight="1"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</row>
    <row r="118" spans="4:29" ht="16.5" customHeight="1"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</row>
    <row r="119" spans="4:29" ht="16.5" customHeight="1"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</row>
    <row r="120" spans="4:29" ht="16.5" customHeight="1"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</row>
    <row r="121" spans="4:29" ht="16.5" customHeight="1"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</row>
    <row r="122" spans="4:29" ht="16.5" customHeight="1"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</row>
    <row r="123" spans="4:29" ht="16.5" customHeight="1"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</row>
    <row r="124" spans="4:29" ht="16.5" customHeight="1"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</row>
    <row r="125" spans="4:29" ht="16.5" customHeight="1"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</row>
    <row r="126" spans="4:29" ht="16.5" customHeight="1"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</row>
    <row r="127" spans="4:29" ht="16.5" customHeight="1"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</row>
    <row r="128" spans="4:29" ht="16.5" customHeight="1"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</row>
    <row r="129" spans="4:29" ht="16.5" customHeight="1"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</row>
    <row r="130" spans="4:29" ht="16.5" customHeight="1"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</row>
    <row r="131" spans="4:29" ht="16.5" customHeight="1"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</row>
    <row r="132" spans="4:29" ht="16.5" customHeight="1"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</row>
    <row r="133" spans="4:29" ht="16.5" customHeight="1"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</row>
    <row r="134" spans="4:29" ht="16.5" customHeight="1"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</row>
    <row r="135" spans="4:29" ht="16.5" customHeight="1"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</row>
    <row r="136" spans="4:29" ht="16.5" customHeight="1"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</row>
    <row r="137" spans="4:29" ht="16.5" customHeight="1"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</row>
    <row r="138" spans="4:29" ht="16.5" customHeight="1"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</row>
    <row r="139" spans="4:29" ht="16.5" customHeight="1"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</row>
    <row r="140" spans="4:29" ht="16.5" customHeight="1"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</row>
    <row r="141" spans="4:29" ht="16.5" customHeight="1"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</row>
    <row r="142" spans="4:29" ht="16.5" customHeight="1"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</row>
    <row r="143" spans="4:29" ht="16.5" customHeight="1"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</row>
    <row r="144" spans="4:29" ht="16.5" customHeight="1"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</row>
    <row r="145" spans="4:29" ht="16.5" customHeight="1"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</row>
    <row r="146" spans="4:29" ht="16.5" customHeight="1"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</row>
    <row r="147" spans="4:29" ht="16.5" customHeight="1"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</row>
    <row r="148" spans="4:29" ht="16.5" customHeight="1"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</row>
    <row r="149" spans="4:29" ht="16.5" customHeight="1"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</row>
    <row r="150" spans="4:29" ht="16.5" customHeight="1"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</row>
    <row r="151" ht="16.5" customHeight="1">
      <c r="AC151" s="175"/>
    </row>
    <row r="152" ht="16.5" customHeight="1">
      <c r="AC152" s="175"/>
    </row>
    <row r="153" ht="16.5" customHeight="1">
      <c r="AC153" s="175"/>
    </row>
    <row r="154" ht="16.5" customHeight="1">
      <c r="AC154" s="175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W157"/>
  <sheetViews>
    <sheetView zoomScale="75" zoomScaleNormal="75" workbookViewId="0" topLeftCell="A1">
      <selection activeCell="D44" sqref="D44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2"/>
    </row>
    <row r="2" spans="1:21" s="18" customFormat="1" ht="26.25">
      <c r="A2" s="89"/>
      <c r="B2" s="19" t="str">
        <f>+'TOT-0808'!B2</f>
        <v>ANEXO III al Memorándum D.T.E.E. N°  366 / 2010 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88"/>
    </row>
    <row r="4" spans="1:2" s="25" customFormat="1" ht="11.25">
      <c r="A4" s="23" t="s">
        <v>1</v>
      </c>
      <c r="B4" s="123"/>
    </row>
    <row r="5" spans="1:2" s="25" customFormat="1" ht="11.25">
      <c r="A5" s="23" t="s">
        <v>2</v>
      </c>
      <c r="B5" s="123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66</v>
      </c>
      <c r="L8" s="104"/>
      <c r="M8" s="104"/>
      <c r="N8" s="94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758" customFormat="1" ht="33" customHeight="1">
      <c r="B10" s="759"/>
      <c r="C10" s="757"/>
      <c r="D10" s="779" t="s">
        <v>209</v>
      </c>
      <c r="E10" s="780"/>
      <c r="F10" s="781"/>
      <c r="G10" s="782"/>
      <c r="I10" s="782"/>
      <c r="J10" s="782"/>
      <c r="K10" s="782"/>
      <c r="L10" s="782"/>
      <c r="M10" s="782"/>
      <c r="N10" s="782"/>
      <c r="O10" s="757"/>
      <c r="P10" s="757"/>
      <c r="Q10" s="757"/>
      <c r="R10" s="757"/>
      <c r="S10" s="757"/>
      <c r="T10" s="757"/>
      <c r="U10" s="783"/>
    </row>
    <row r="11" spans="2:21" s="761" customFormat="1" ht="33" customHeight="1">
      <c r="B11" s="762"/>
      <c r="C11" s="763"/>
      <c r="D11" s="779" t="s">
        <v>213</v>
      </c>
      <c r="E11" s="784"/>
      <c r="F11" s="785"/>
      <c r="G11" s="786"/>
      <c r="H11" s="787"/>
      <c r="I11" s="786"/>
      <c r="J11" s="786"/>
      <c r="K11" s="786"/>
      <c r="L11" s="786"/>
      <c r="M11" s="786"/>
      <c r="N11" s="786"/>
      <c r="O11" s="763"/>
      <c r="P11" s="763"/>
      <c r="Q11" s="763"/>
      <c r="R11" s="763"/>
      <c r="S11" s="763"/>
      <c r="T11" s="763"/>
      <c r="U11" s="788"/>
    </row>
    <row r="12" spans="2:21" s="5" customFormat="1" ht="19.5">
      <c r="B12" s="37" t="str">
        <f>'TOT-0808'!B14</f>
        <v>Desde el 01 al 31 de agosto de 2008</v>
      </c>
      <c r="C12" s="40"/>
      <c r="D12" s="40"/>
      <c r="E12" s="40"/>
      <c r="F12" s="40"/>
      <c r="G12" s="349"/>
      <c r="H12" s="349"/>
      <c r="I12" s="349"/>
      <c r="J12" s="349"/>
      <c r="K12" s="349"/>
      <c r="L12" s="349"/>
      <c r="M12" s="349"/>
      <c r="N12" s="349"/>
      <c r="O12" s="40"/>
      <c r="P12" s="40"/>
      <c r="Q12" s="40"/>
      <c r="R12" s="40"/>
      <c r="S12" s="40"/>
      <c r="T12" s="40"/>
      <c r="U12" s="350"/>
    </row>
    <row r="13" spans="2:21" s="5" customFormat="1" ht="14.25" thickBot="1">
      <c r="B13" s="351"/>
      <c r="C13" s="352"/>
      <c r="D13" s="352"/>
      <c r="E13" s="352"/>
      <c r="F13" s="352"/>
      <c r="G13" s="353"/>
      <c r="H13" s="353"/>
      <c r="I13" s="353"/>
      <c r="J13" s="353"/>
      <c r="K13" s="353"/>
      <c r="L13" s="353"/>
      <c r="M13" s="353"/>
      <c r="N13" s="353"/>
      <c r="O13" s="352"/>
      <c r="P13" s="352"/>
      <c r="Q13" s="352"/>
      <c r="R13" s="352"/>
      <c r="S13" s="352"/>
      <c r="T13" s="352"/>
      <c r="U13" s="354"/>
    </row>
    <row r="14" spans="2:21" s="5" customFormat="1" ht="15" thickBot="1" thickTop="1">
      <c r="B14" s="50"/>
      <c r="C14" s="4"/>
      <c r="D14" s="355"/>
      <c r="E14" s="355"/>
      <c r="F14" s="116" t="s">
        <v>76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356" t="s">
        <v>77</v>
      </c>
      <c r="E15" s="357">
        <v>23.525</v>
      </c>
      <c r="F15" s="358">
        <v>200</v>
      </c>
      <c r="T15" s="114"/>
      <c r="U15" s="6"/>
    </row>
    <row r="16" spans="2:21" s="5" customFormat="1" ht="16.5" customHeight="1" thickBot="1" thickTop="1">
      <c r="B16" s="50"/>
      <c r="C16" s="4"/>
      <c r="D16" s="361" t="s">
        <v>79</v>
      </c>
      <c r="E16" s="412">
        <v>18.82</v>
      </c>
      <c r="F16" s="358">
        <v>40</v>
      </c>
      <c r="M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362"/>
      <c r="D17" s="363"/>
      <c r="E17" s="363"/>
      <c r="F17" s="364"/>
      <c r="G17" s="365"/>
      <c r="H17" s="365"/>
      <c r="I17" s="365"/>
      <c r="J17" s="365"/>
      <c r="K17" s="365"/>
      <c r="L17" s="365"/>
      <c r="M17" s="365"/>
      <c r="N17" s="366"/>
      <c r="O17" s="367"/>
      <c r="P17" s="368"/>
      <c r="Q17" s="368"/>
      <c r="R17" s="368"/>
      <c r="S17" s="369"/>
      <c r="T17" s="370"/>
      <c r="U17" s="6"/>
    </row>
    <row r="18" spans="2:21" s="5" customFormat="1" ht="33.75" customHeight="1" thickBot="1" thickTop="1">
      <c r="B18" s="50"/>
      <c r="C18" s="84" t="s">
        <v>12</v>
      </c>
      <c r="D18" s="86" t="s">
        <v>25</v>
      </c>
      <c r="E18" s="371" t="s">
        <v>26</v>
      </c>
      <c r="F18" s="372" t="s">
        <v>13</v>
      </c>
      <c r="G18" s="128" t="s">
        <v>15</v>
      </c>
      <c r="H18" s="85" t="s">
        <v>16</v>
      </c>
      <c r="I18" s="371" t="s">
        <v>17</v>
      </c>
      <c r="J18" s="373" t="s">
        <v>34</v>
      </c>
      <c r="K18" s="373" t="s">
        <v>29</v>
      </c>
      <c r="L18" s="87" t="s">
        <v>18</v>
      </c>
      <c r="M18" s="177" t="s">
        <v>30</v>
      </c>
      <c r="N18" s="134" t="s">
        <v>35</v>
      </c>
      <c r="O18" s="374" t="s">
        <v>67</v>
      </c>
      <c r="P18" s="178" t="s">
        <v>33</v>
      </c>
      <c r="Q18" s="375"/>
      <c r="R18" s="133" t="s">
        <v>21</v>
      </c>
      <c r="S18" s="131" t="s">
        <v>70</v>
      </c>
      <c r="T18" s="120" t="s">
        <v>22</v>
      </c>
      <c r="U18" s="6"/>
    </row>
    <row r="19" spans="2:21" s="5" customFormat="1" ht="16.5" customHeight="1" thickTop="1">
      <c r="B19" s="50"/>
      <c r="C19" s="7"/>
      <c r="D19" s="376"/>
      <c r="E19" s="376"/>
      <c r="F19" s="376"/>
      <c r="G19" s="214"/>
      <c r="H19" s="376"/>
      <c r="I19" s="376"/>
      <c r="J19" s="376"/>
      <c r="K19" s="376"/>
      <c r="L19" s="376"/>
      <c r="M19" s="376"/>
      <c r="N19" s="377"/>
      <c r="O19" s="378"/>
      <c r="P19" s="379"/>
      <c r="Q19" s="380"/>
      <c r="R19" s="381"/>
      <c r="S19" s="376"/>
      <c r="T19" s="382"/>
      <c r="U19" s="6"/>
    </row>
    <row r="20" spans="2:21" s="5" customFormat="1" ht="16.5" customHeight="1">
      <c r="B20" s="50"/>
      <c r="C20" s="270"/>
      <c r="D20" s="383"/>
      <c r="E20" s="383"/>
      <c r="F20" s="383"/>
      <c r="G20" s="384"/>
      <c r="H20" s="383"/>
      <c r="I20" s="383"/>
      <c r="J20" s="383"/>
      <c r="K20" s="383"/>
      <c r="L20" s="383"/>
      <c r="M20" s="383"/>
      <c r="N20" s="385"/>
      <c r="O20" s="386"/>
      <c r="P20" s="188"/>
      <c r="Q20" s="387"/>
      <c r="R20" s="388"/>
      <c r="S20" s="383"/>
      <c r="T20" s="389"/>
      <c r="U20" s="6"/>
    </row>
    <row r="21" spans="2:21" s="5" customFormat="1" ht="16.5" customHeight="1">
      <c r="B21" s="50"/>
      <c r="C21" s="153">
        <v>89</v>
      </c>
      <c r="D21" s="390" t="s">
        <v>291</v>
      </c>
      <c r="E21" s="390" t="s">
        <v>292</v>
      </c>
      <c r="F21" s="391">
        <v>132</v>
      </c>
      <c r="G21" s="129">
        <f>IF(F21=500,$E$15,IF(F21=220,#REF!,$E$16))</f>
        <v>18.82</v>
      </c>
      <c r="H21" s="392">
        <v>39661.34722222222</v>
      </c>
      <c r="I21" s="149">
        <v>39661.64513888889</v>
      </c>
      <c r="J21" s="393">
        <f aca="true" t="shared" si="0" ref="J21:J41">IF(D21="","",(I21-H21)*24)</f>
        <v>7.150000000081491</v>
      </c>
      <c r="K21" s="394">
        <f aca="true" t="shared" si="1" ref="K21:K41">IF(D21="","",ROUND((I21-H21)*24*60,0))</f>
        <v>429</v>
      </c>
      <c r="L21" s="216" t="s">
        <v>200</v>
      </c>
      <c r="M21" s="151" t="str">
        <f aca="true" t="shared" si="2" ref="M21:M41">IF(D21="","",IF(L21="P","--","NO"))</f>
        <v>--</v>
      </c>
      <c r="N21" s="395">
        <f>IF(F21=500,$F$15,IF(F21=220,#REF!,$F$16))</f>
        <v>40</v>
      </c>
      <c r="O21" s="396">
        <f aca="true" t="shared" si="3" ref="O21:O41">IF(L21="P",G21*N21*ROUND(K21/60,2)*0.1,"--")</f>
        <v>538.252</v>
      </c>
      <c r="P21" s="397" t="str">
        <f aca="true" t="shared" si="4" ref="P21:P41">IF(AND(L21="F",M21="NO"),G21*N21,"--")</f>
        <v>--</v>
      </c>
      <c r="Q21" s="398" t="str">
        <f aca="true" t="shared" si="5" ref="Q21:Q41">IF(L21="F",G21*N21*ROUND(K21/60,2),"--")</f>
        <v>--</v>
      </c>
      <c r="R21" s="158" t="str">
        <f aca="true" t="shared" si="6" ref="R21:R41">IF(L21="RF",G21*N21*ROUND(K21/60,2),"--")</f>
        <v>--</v>
      </c>
      <c r="S21" s="151" t="str">
        <f aca="true" t="shared" si="7" ref="S21:S41">IF(D21="","","SI")</f>
        <v>SI</v>
      </c>
      <c r="T21" s="399">
        <f aca="true" t="shared" si="8" ref="T21:T41">IF(D21="","",SUM(O21:R21)*IF(S21="SI",1,2))</f>
        <v>538.252</v>
      </c>
      <c r="U21" s="6"/>
    </row>
    <row r="22" spans="2:21" s="5" customFormat="1" ht="16.5" customHeight="1">
      <c r="B22" s="50"/>
      <c r="C22" s="270">
        <v>90</v>
      </c>
      <c r="D22" s="390" t="s">
        <v>293</v>
      </c>
      <c r="E22" s="390" t="s">
        <v>294</v>
      </c>
      <c r="F22" s="391">
        <v>132</v>
      </c>
      <c r="G22" s="129">
        <f>IF(F22=500,$E$15,IF(F22=220,#REF!,$E$16))</f>
        <v>18.82</v>
      </c>
      <c r="H22" s="392">
        <v>39663.49236111111</v>
      </c>
      <c r="I22" s="149">
        <v>39663.81319444445</v>
      </c>
      <c r="J22" s="393">
        <f t="shared" si="0"/>
        <v>7.700000000128057</v>
      </c>
      <c r="K22" s="394">
        <f t="shared" si="1"/>
        <v>462</v>
      </c>
      <c r="L22" s="216" t="s">
        <v>200</v>
      </c>
      <c r="M22" s="151" t="str">
        <f t="shared" si="2"/>
        <v>--</v>
      </c>
      <c r="N22" s="395">
        <f>IF(F22=500,$F$15,IF(F22=220,#REF!,$F$16))</f>
        <v>40</v>
      </c>
      <c r="O22" s="396">
        <f t="shared" si="3"/>
        <v>579.656</v>
      </c>
      <c r="P22" s="397" t="str">
        <f t="shared" si="4"/>
        <v>--</v>
      </c>
      <c r="Q22" s="398" t="str">
        <f t="shared" si="5"/>
        <v>--</v>
      </c>
      <c r="R22" s="158" t="str">
        <f t="shared" si="6"/>
        <v>--</v>
      </c>
      <c r="S22" s="151" t="str">
        <f t="shared" si="7"/>
        <v>SI</v>
      </c>
      <c r="T22" s="399">
        <f t="shared" si="8"/>
        <v>579.656</v>
      </c>
      <c r="U22" s="6"/>
    </row>
    <row r="23" spans="2:21" s="5" customFormat="1" ht="16.5" customHeight="1">
      <c r="B23" s="50"/>
      <c r="C23" s="153">
        <v>91</v>
      </c>
      <c r="D23" s="390" t="s">
        <v>293</v>
      </c>
      <c r="E23" s="390" t="s">
        <v>294</v>
      </c>
      <c r="F23" s="391">
        <v>132</v>
      </c>
      <c r="G23" s="129">
        <f>IF(F23=500,$E$15,IF(F23=220,#REF!,$E$16))</f>
        <v>18.82</v>
      </c>
      <c r="H23" s="392">
        <v>39665.271527777775</v>
      </c>
      <c r="I23" s="149">
        <v>39665.40902777778</v>
      </c>
      <c r="J23" s="393">
        <f t="shared" si="0"/>
        <v>3.300000000104774</v>
      </c>
      <c r="K23" s="394">
        <f t="shared" si="1"/>
        <v>198</v>
      </c>
      <c r="L23" s="216" t="s">
        <v>200</v>
      </c>
      <c r="M23" s="151" t="str">
        <f t="shared" si="2"/>
        <v>--</v>
      </c>
      <c r="N23" s="395">
        <f>IF(F23=500,$F$15,IF(F23=220,#REF!,$F$16))</f>
        <v>40</v>
      </c>
      <c r="O23" s="396">
        <f t="shared" si="3"/>
        <v>248.42399999999998</v>
      </c>
      <c r="P23" s="397" t="str">
        <f t="shared" si="4"/>
        <v>--</v>
      </c>
      <c r="Q23" s="398" t="str">
        <f t="shared" si="5"/>
        <v>--</v>
      </c>
      <c r="R23" s="158" t="str">
        <f t="shared" si="6"/>
        <v>--</v>
      </c>
      <c r="S23" s="151" t="str">
        <f t="shared" si="7"/>
        <v>SI</v>
      </c>
      <c r="T23" s="399">
        <f t="shared" si="8"/>
        <v>248.42399999999998</v>
      </c>
      <c r="U23" s="6"/>
    </row>
    <row r="24" spans="2:21" s="5" customFormat="1" ht="16.5" customHeight="1">
      <c r="B24" s="50"/>
      <c r="C24" s="270">
        <v>92</v>
      </c>
      <c r="D24" s="390" t="s">
        <v>295</v>
      </c>
      <c r="E24" s="390" t="s">
        <v>296</v>
      </c>
      <c r="F24" s="391">
        <v>500</v>
      </c>
      <c r="G24" s="129">
        <f>IF(F24=500,$E$15,IF(F24=220,#REF!,$E$16))</f>
        <v>23.525</v>
      </c>
      <c r="H24" s="392">
        <v>39680.395833333336</v>
      </c>
      <c r="I24" s="149">
        <v>39680.77291666667</v>
      </c>
      <c r="J24" s="393">
        <f t="shared" si="0"/>
        <v>9.049999999988358</v>
      </c>
      <c r="K24" s="394">
        <f t="shared" si="1"/>
        <v>543</v>
      </c>
      <c r="L24" s="216" t="s">
        <v>200</v>
      </c>
      <c r="M24" s="151" t="str">
        <f t="shared" si="2"/>
        <v>--</v>
      </c>
      <c r="N24" s="395">
        <f>IF(F24=500,$F$15,IF(F24=220,#REF!,$F$16))</f>
        <v>200</v>
      </c>
      <c r="O24" s="396">
        <f t="shared" si="3"/>
        <v>4258.025000000001</v>
      </c>
      <c r="P24" s="397" t="str">
        <f t="shared" si="4"/>
        <v>--</v>
      </c>
      <c r="Q24" s="398" t="str">
        <f t="shared" si="5"/>
        <v>--</v>
      </c>
      <c r="R24" s="158" t="str">
        <f t="shared" si="6"/>
        <v>--</v>
      </c>
      <c r="S24" s="151" t="str">
        <f t="shared" si="7"/>
        <v>SI</v>
      </c>
      <c r="T24" s="399">
        <f t="shared" si="8"/>
        <v>4258.025000000001</v>
      </c>
      <c r="U24" s="6"/>
    </row>
    <row r="25" spans="2:21" s="5" customFormat="1" ht="16.5" customHeight="1">
      <c r="B25" s="50"/>
      <c r="C25" s="153">
        <v>93</v>
      </c>
      <c r="D25" s="390" t="s">
        <v>293</v>
      </c>
      <c r="E25" s="390" t="s">
        <v>297</v>
      </c>
      <c r="F25" s="391">
        <v>132</v>
      </c>
      <c r="G25" s="129">
        <f>IF(F25=500,$E$15,IF(F25=220,#REF!,$E$16))</f>
        <v>18.82</v>
      </c>
      <c r="H25" s="392">
        <v>39682.30138888889</v>
      </c>
      <c r="I25" s="149">
        <v>39682.31180555555</v>
      </c>
      <c r="J25" s="393">
        <f t="shared" si="0"/>
        <v>0.24999999994179234</v>
      </c>
      <c r="K25" s="394">
        <f t="shared" si="1"/>
        <v>15</v>
      </c>
      <c r="L25" s="216" t="s">
        <v>200</v>
      </c>
      <c r="M25" s="151" t="str">
        <f t="shared" si="2"/>
        <v>--</v>
      </c>
      <c r="N25" s="395">
        <f>IF(F25=500,$F$15,IF(F25=220,#REF!,$F$16))</f>
        <v>40</v>
      </c>
      <c r="O25" s="396">
        <f t="shared" si="3"/>
        <v>18.82</v>
      </c>
      <c r="P25" s="397" t="str">
        <f t="shared" si="4"/>
        <v>--</v>
      </c>
      <c r="Q25" s="398" t="str">
        <f t="shared" si="5"/>
        <v>--</v>
      </c>
      <c r="R25" s="158" t="str">
        <f t="shared" si="6"/>
        <v>--</v>
      </c>
      <c r="S25" s="151" t="str">
        <f t="shared" si="7"/>
        <v>SI</v>
      </c>
      <c r="T25" s="399">
        <f t="shared" si="8"/>
        <v>18.82</v>
      </c>
      <c r="U25" s="6"/>
    </row>
    <row r="26" spans="2:21" s="5" customFormat="1" ht="16.5" customHeight="1">
      <c r="B26" s="50"/>
      <c r="C26" s="270">
        <v>94</v>
      </c>
      <c r="D26" s="390" t="s">
        <v>293</v>
      </c>
      <c r="E26" s="390" t="s">
        <v>294</v>
      </c>
      <c r="F26" s="391">
        <v>132</v>
      </c>
      <c r="G26" s="129">
        <f>IF(F26=500,$E$15,IF(F26=220,#REF!,$E$16))</f>
        <v>18.82</v>
      </c>
      <c r="H26" s="392">
        <v>39691.347916666666</v>
      </c>
      <c r="I26" s="149">
        <v>39691.59652777778</v>
      </c>
      <c r="J26" s="393">
        <f t="shared" si="0"/>
        <v>5.966666666732635</v>
      </c>
      <c r="K26" s="394">
        <f t="shared" si="1"/>
        <v>358</v>
      </c>
      <c r="L26" s="216" t="s">
        <v>200</v>
      </c>
      <c r="M26" s="151" t="str">
        <f t="shared" si="2"/>
        <v>--</v>
      </c>
      <c r="N26" s="395">
        <f>IF(F26=500,$F$15,IF(F26=220,#REF!,$F$16))</f>
        <v>40</v>
      </c>
      <c r="O26" s="396">
        <f t="shared" si="3"/>
        <v>449.42159999999996</v>
      </c>
      <c r="P26" s="397" t="str">
        <f t="shared" si="4"/>
        <v>--</v>
      </c>
      <c r="Q26" s="398" t="str">
        <f t="shared" si="5"/>
        <v>--</v>
      </c>
      <c r="R26" s="158" t="str">
        <f t="shared" si="6"/>
        <v>--</v>
      </c>
      <c r="S26" s="151" t="str">
        <f t="shared" si="7"/>
        <v>SI</v>
      </c>
      <c r="T26" s="399">
        <f t="shared" si="8"/>
        <v>449.42159999999996</v>
      </c>
      <c r="U26" s="6"/>
    </row>
    <row r="27" spans="2:21" s="5" customFormat="1" ht="16.5" customHeight="1">
      <c r="B27" s="50"/>
      <c r="C27" s="153"/>
      <c r="D27" s="390"/>
      <c r="E27" s="390"/>
      <c r="F27" s="391"/>
      <c r="G27" s="129">
        <f>IF(F27=500,$E$15,IF(F27=220,#REF!,$E$16))</f>
        <v>18.82</v>
      </c>
      <c r="H27" s="392"/>
      <c r="I27" s="149"/>
      <c r="J27" s="393">
        <f t="shared" si="0"/>
      </c>
      <c r="K27" s="394">
        <f t="shared" si="1"/>
      </c>
      <c r="L27" s="216"/>
      <c r="M27" s="151">
        <f t="shared" si="2"/>
      </c>
      <c r="N27" s="395">
        <f>IF(F27=500,$F$15,IF(F27=220,#REF!,$F$16))</f>
        <v>40</v>
      </c>
      <c r="O27" s="396" t="str">
        <f t="shared" si="3"/>
        <v>--</v>
      </c>
      <c r="P27" s="397" t="str">
        <f t="shared" si="4"/>
        <v>--</v>
      </c>
      <c r="Q27" s="398" t="str">
        <f t="shared" si="5"/>
        <v>--</v>
      </c>
      <c r="R27" s="158" t="str">
        <f t="shared" si="6"/>
        <v>--</v>
      </c>
      <c r="S27" s="151">
        <f t="shared" si="7"/>
      </c>
      <c r="T27" s="399">
        <f t="shared" si="8"/>
      </c>
      <c r="U27" s="6"/>
    </row>
    <row r="28" spans="2:21" s="5" customFormat="1" ht="16.5" customHeight="1">
      <c r="B28" s="50"/>
      <c r="C28" s="270"/>
      <c r="D28" s="390"/>
      <c r="E28" s="390"/>
      <c r="F28" s="391"/>
      <c r="G28" s="129">
        <f>IF(F28=500,$E$15,IF(F28=220,#REF!,$E$16))</f>
        <v>18.82</v>
      </c>
      <c r="H28" s="392"/>
      <c r="I28" s="149"/>
      <c r="J28" s="393">
        <f t="shared" si="0"/>
      </c>
      <c r="K28" s="394">
        <f t="shared" si="1"/>
      </c>
      <c r="L28" s="216"/>
      <c r="M28" s="151">
        <f t="shared" si="2"/>
      </c>
      <c r="N28" s="395">
        <f>IF(F28=500,$F$15,IF(F28=220,#REF!,$F$16))</f>
        <v>40</v>
      </c>
      <c r="O28" s="396" t="str">
        <f t="shared" si="3"/>
        <v>--</v>
      </c>
      <c r="P28" s="397" t="str">
        <f t="shared" si="4"/>
        <v>--</v>
      </c>
      <c r="Q28" s="398" t="str">
        <f t="shared" si="5"/>
        <v>--</v>
      </c>
      <c r="R28" s="158" t="str">
        <f t="shared" si="6"/>
        <v>--</v>
      </c>
      <c r="S28" s="151">
        <f t="shared" si="7"/>
      </c>
      <c r="T28" s="399">
        <f t="shared" si="8"/>
      </c>
      <c r="U28" s="6"/>
    </row>
    <row r="29" spans="2:21" s="5" customFormat="1" ht="16.5" customHeight="1">
      <c r="B29" s="50"/>
      <c r="C29" s="153"/>
      <c r="D29" s="390"/>
      <c r="E29" s="390"/>
      <c r="F29" s="391"/>
      <c r="G29" s="129">
        <f>IF(F29=500,$E$15,IF(F29=220,#REF!,$E$16))</f>
        <v>18.82</v>
      </c>
      <c r="H29" s="392"/>
      <c r="I29" s="149"/>
      <c r="J29" s="393">
        <f t="shared" si="0"/>
      </c>
      <c r="K29" s="394">
        <f t="shared" si="1"/>
      </c>
      <c r="L29" s="216"/>
      <c r="M29" s="151">
        <f t="shared" si="2"/>
      </c>
      <c r="N29" s="395">
        <f>IF(F29=500,$F$15,IF(F29=220,#REF!,$F$16))</f>
        <v>40</v>
      </c>
      <c r="O29" s="396" t="str">
        <f t="shared" si="3"/>
        <v>--</v>
      </c>
      <c r="P29" s="397" t="str">
        <f t="shared" si="4"/>
        <v>--</v>
      </c>
      <c r="Q29" s="398" t="str">
        <f t="shared" si="5"/>
        <v>--</v>
      </c>
      <c r="R29" s="158" t="str">
        <f t="shared" si="6"/>
        <v>--</v>
      </c>
      <c r="S29" s="151">
        <f t="shared" si="7"/>
      </c>
      <c r="T29" s="399">
        <f t="shared" si="8"/>
      </c>
      <c r="U29" s="6"/>
    </row>
    <row r="30" spans="2:21" s="5" customFormat="1" ht="16.5" customHeight="1">
      <c r="B30" s="50"/>
      <c r="C30" s="153"/>
      <c r="D30" s="390"/>
      <c r="E30" s="390"/>
      <c r="F30" s="391"/>
      <c r="G30" s="129"/>
      <c r="H30" s="392"/>
      <c r="I30" s="149"/>
      <c r="J30" s="393"/>
      <c r="K30" s="394"/>
      <c r="L30" s="216"/>
      <c r="M30" s="151"/>
      <c r="N30" s="395"/>
      <c r="O30" s="396"/>
      <c r="P30" s="397"/>
      <c r="Q30" s="398"/>
      <c r="R30" s="158"/>
      <c r="S30" s="151"/>
      <c r="T30" s="399"/>
      <c r="U30" s="6"/>
    </row>
    <row r="31" spans="2:21" s="5" customFormat="1" ht="16.5" customHeight="1">
      <c r="B31" s="50"/>
      <c r="C31" s="270"/>
      <c r="D31" s="390"/>
      <c r="E31" s="390"/>
      <c r="F31" s="391"/>
      <c r="G31" s="129">
        <f>IF(F31=500,$E$15,IF(F31=220,#REF!,$E$16))</f>
        <v>18.82</v>
      </c>
      <c r="H31" s="392"/>
      <c r="I31" s="149"/>
      <c r="J31" s="393">
        <f t="shared" si="0"/>
      </c>
      <c r="K31" s="394">
        <f t="shared" si="1"/>
      </c>
      <c r="L31" s="216"/>
      <c r="M31" s="151">
        <f t="shared" si="2"/>
      </c>
      <c r="N31" s="395">
        <f>IF(F31=500,$F$15,IF(F31=220,#REF!,$F$16))</f>
        <v>40</v>
      </c>
      <c r="O31" s="396" t="str">
        <f t="shared" si="3"/>
        <v>--</v>
      </c>
      <c r="P31" s="397" t="str">
        <f t="shared" si="4"/>
        <v>--</v>
      </c>
      <c r="Q31" s="398" t="str">
        <f t="shared" si="5"/>
        <v>--</v>
      </c>
      <c r="R31" s="158" t="str">
        <f t="shared" si="6"/>
        <v>--</v>
      </c>
      <c r="S31" s="151">
        <f t="shared" si="7"/>
      </c>
      <c r="T31" s="399">
        <f t="shared" si="8"/>
      </c>
      <c r="U31" s="6"/>
    </row>
    <row r="32" spans="2:21" s="5" customFormat="1" ht="16.5" customHeight="1">
      <c r="B32" s="50"/>
      <c r="C32" s="153"/>
      <c r="D32" s="390"/>
      <c r="E32" s="390"/>
      <c r="F32" s="391"/>
      <c r="G32" s="129">
        <f>IF(F32=500,$E$15,IF(F32=220,#REF!,$E$16))</f>
        <v>18.82</v>
      </c>
      <c r="H32" s="392"/>
      <c r="I32" s="149"/>
      <c r="J32" s="393">
        <f t="shared" si="0"/>
      </c>
      <c r="K32" s="394">
        <f t="shared" si="1"/>
      </c>
      <c r="L32" s="216"/>
      <c r="M32" s="151">
        <f t="shared" si="2"/>
      </c>
      <c r="N32" s="395">
        <f>IF(F32=500,$F$15,IF(F32=220,#REF!,$F$16))</f>
        <v>40</v>
      </c>
      <c r="O32" s="396" t="str">
        <f t="shared" si="3"/>
        <v>--</v>
      </c>
      <c r="P32" s="397" t="str">
        <f t="shared" si="4"/>
        <v>--</v>
      </c>
      <c r="Q32" s="398" t="str">
        <f t="shared" si="5"/>
        <v>--</v>
      </c>
      <c r="R32" s="158" t="str">
        <f t="shared" si="6"/>
        <v>--</v>
      </c>
      <c r="S32" s="151">
        <f t="shared" si="7"/>
      </c>
      <c r="T32" s="399">
        <f t="shared" si="8"/>
      </c>
      <c r="U32" s="6"/>
    </row>
    <row r="33" spans="2:21" s="5" customFormat="1" ht="16.5" customHeight="1">
      <c r="B33" s="50"/>
      <c r="C33" s="270"/>
      <c r="D33" s="390"/>
      <c r="E33" s="390"/>
      <c r="F33" s="391"/>
      <c r="G33" s="129">
        <f>IF(F33=500,$E$15,IF(F33=220,#REF!,$E$16))</f>
        <v>18.82</v>
      </c>
      <c r="H33" s="392"/>
      <c r="I33" s="149"/>
      <c r="J33" s="393">
        <f t="shared" si="0"/>
      </c>
      <c r="K33" s="394">
        <f t="shared" si="1"/>
      </c>
      <c r="L33" s="216"/>
      <c r="M33" s="151">
        <f t="shared" si="2"/>
      </c>
      <c r="N33" s="395">
        <f>IF(F33=500,$F$15,IF(F33=220,#REF!,$F$16))</f>
        <v>40</v>
      </c>
      <c r="O33" s="396" t="str">
        <f t="shared" si="3"/>
        <v>--</v>
      </c>
      <c r="P33" s="397" t="str">
        <f t="shared" si="4"/>
        <v>--</v>
      </c>
      <c r="Q33" s="398" t="str">
        <f t="shared" si="5"/>
        <v>--</v>
      </c>
      <c r="R33" s="158" t="str">
        <f t="shared" si="6"/>
        <v>--</v>
      </c>
      <c r="S33" s="151">
        <f t="shared" si="7"/>
      </c>
      <c r="T33" s="399">
        <f t="shared" si="8"/>
      </c>
      <c r="U33" s="6"/>
    </row>
    <row r="34" spans="2:21" s="5" customFormat="1" ht="16.5" customHeight="1">
      <c r="B34" s="50"/>
      <c r="C34" s="153"/>
      <c r="D34" s="390"/>
      <c r="E34" s="390"/>
      <c r="F34" s="391"/>
      <c r="G34" s="129">
        <f>IF(F34=500,$E$15,IF(F34=220,#REF!,$E$16))</f>
        <v>18.82</v>
      </c>
      <c r="H34" s="392"/>
      <c r="I34" s="149"/>
      <c r="J34" s="393">
        <f t="shared" si="0"/>
      </c>
      <c r="K34" s="394">
        <f t="shared" si="1"/>
      </c>
      <c r="L34" s="216"/>
      <c r="M34" s="151">
        <f t="shared" si="2"/>
      </c>
      <c r="N34" s="395">
        <f>IF(F34=500,$F$15,IF(F34=220,#REF!,$F$16))</f>
        <v>40</v>
      </c>
      <c r="O34" s="396" t="str">
        <f t="shared" si="3"/>
        <v>--</v>
      </c>
      <c r="P34" s="397" t="str">
        <f t="shared" si="4"/>
        <v>--</v>
      </c>
      <c r="Q34" s="398" t="str">
        <f t="shared" si="5"/>
        <v>--</v>
      </c>
      <c r="R34" s="158" t="str">
        <f t="shared" si="6"/>
        <v>--</v>
      </c>
      <c r="S34" s="151">
        <f t="shared" si="7"/>
      </c>
      <c r="T34" s="399">
        <f t="shared" si="8"/>
      </c>
      <c r="U34" s="6"/>
    </row>
    <row r="35" spans="2:21" s="5" customFormat="1" ht="16.5" customHeight="1">
      <c r="B35" s="50"/>
      <c r="C35" s="270"/>
      <c r="D35" s="390"/>
      <c r="E35" s="390"/>
      <c r="F35" s="391"/>
      <c r="G35" s="129">
        <f>IF(F35=500,$E$15,IF(F35=220,#REF!,$E$16))</f>
        <v>18.82</v>
      </c>
      <c r="H35" s="392"/>
      <c r="I35" s="149"/>
      <c r="J35" s="393">
        <f t="shared" si="0"/>
      </c>
      <c r="K35" s="394">
        <f t="shared" si="1"/>
      </c>
      <c r="L35" s="216"/>
      <c r="M35" s="151">
        <f t="shared" si="2"/>
      </c>
      <c r="N35" s="395">
        <f>IF(F35=500,$F$15,IF(F35=220,#REF!,$F$16))</f>
        <v>40</v>
      </c>
      <c r="O35" s="396" t="str">
        <f t="shared" si="3"/>
        <v>--</v>
      </c>
      <c r="P35" s="397" t="str">
        <f t="shared" si="4"/>
        <v>--</v>
      </c>
      <c r="Q35" s="398" t="str">
        <f t="shared" si="5"/>
        <v>--</v>
      </c>
      <c r="R35" s="158" t="str">
        <f t="shared" si="6"/>
        <v>--</v>
      </c>
      <c r="S35" s="151">
        <f t="shared" si="7"/>
      </c>
      <c r="T35" s="399">
        <f t="shared" si="8"/>
      </c>
      <c r="U35" s="6"/>
    </row>
    <row r="36" spans="2:21" s="5" customFormat="1" ht="16.5" customHeight="1">
      <c r="B36" s="50"/>
      <c r="C36" s="153"/>
      <c r="D36" s="390"/>
      <c r="E36" s="390"/>
      <c r="F36" s="391"/>
      <c r="G36" s="129">
        <f>IF(F36=500,$E$15,IF(F36=220,#REF!,$E$16))</f>
        <v>18.82</v>
      </c>
      <c r="H36" s="392"/>
      <c r="I36" s="149"/>
      <c r="J36" s="393">
        <f t="shared" si="0"/>
      </c>
      <c r="K36" s="394">
        <f t="shared" si="1"/>
      </c>
      <c r="L36" s="216"/>
      <c r="M36" s="151">
        <f t="shared" si="2"/>
      </c>
      <c r="N36" s="395">
        <f>IF(F36=500,$F$15,IF(F36=220,#REF!,$F$16))</f>
        <v>40</v>
      </c>
      <c r="O36" s="396" t="str">
        <f t="shared" si="3"/>
        <v>--</v>
      </c>
      <c r="P36" s="397" t="str">
        <f t="shared" si="4"/>
        <v>--</v>
      </c>
      <c r="Q36" s="398" t="str">
        <f t="shared" si="5"/>
        <v>--</v>
      </c>
      <c r="R36" s="158" t="str">
        <f t="shared" si="6"/>
        <v>--</v>
      </c>
      <c r="S36" s="151">
        <f t="shared" si="7"/>
      </c>
      <c r="T36" s="399">
        <f t="shared" si="8"/>
      </c>
      <c r="U36" s="6"/>
    </row>
    <row r="37" spans="2:21" s="5" customFormat="1" ht="16.5" customHeight="1">
      <c r="B37" s="50"/>
      <c r="C37" s="270"/>
      <c r="D37" s="390"/>
      <c r="E37" s="390"/>
      <c r="F37" s="391"/>
      <c r="G37" s="129">
        <f>IF(F37=500,$E$15,IF(F37=220,#REF!,$E$16))</f>
        <v>18.82</v>
      </c>
      <c r="H37" s="392"/>
      <c r="I37" s="149"/>
      <c r="J37" s="393">
        <f t="shared" si="0"/>
      </c>
      <c r="K37" s="394">
        <f t="shared" si="1"/>
      </c>
      <c r="L37" s="216"/>
      <c r="M37" s="151">
        <f t="shared" si="2"/>
      </c>
      <c r="N37" s="395">
        <f>IF(F37=500,$F$15,IF(F37=220,#REF!,$F$16))</f>
        <v>40</v>
      </c>
      <c r="O37" s="396" t="str">
        <f t="shared" si="3"/>
        <v>--</v>
      </c>
      <c r="P37" s="397" t="str">
        <f t="shared" si="4"/>
        <v>--</v>
      </c>
      <c r="Q37" s="398" t="str">
        <f t="shared" si="5"/>
        <v>--</v>
      </c>
      <c r="R37" s="158" t="str">
        <f t="shared" si="6"/>
        <v>--</v>
      </c>
      <c r="S37" s="151">
        <f t="shared" si="7"/>
      </c>
      <c r="T37" s="399">
        <f t="shared" si="8"/>
      </c>
      <c r="U37" s="6"/>
    </row>
    <row r="38" spans="2:21" s="5" customFormat="1" ht="16.5" customHeight="1">
      <c r="B38" s="50"/>
      <c r="C38" s="153"/>
      <c r="D38" s="390"/>
      <c r="E38" s="390"/>
      <c r="F38" s="391"/>
      <c r="G38" s="129">
        <f>IF(F38=500,$E$15,IF(F38=220,#REF!,$E$16))</f>
        <v>18.82</v>
      </c>
      <c r="H38" s="392"/>
      <c r="I38" s="149"/>
      <c r="J38" s="393">
        <f t="shared" si="0"/>
      </c>
      <c r="K38" s="394">
        <f t="shared" si="1"/>
      </c>
      <c r="L38" s="216"/>
      <c r="M38" s="151">
        <f t="shared" si="2"/>
      </c>
      <c r="N38" s="395">
        <f>IF(F38=500,$F$15,IF(F38=220,#REF!,$F$16))</f>
        <v>40</v>
      </c>
      <c r="O38" s="396" t="str">
        <f t="shared" si="3"/>
        <v>--</v>
      </c>
      <c r="P38" s="397" t="str">
        <f t="shared" si="4"/>
        <v>--</v>
      </c>
      <c r="Q38" s="398" t="str">
        <f t="shared" si="5"/>
        <v>--</v>
      </c>
      <c r="R38" s="158" t="str">
        <f t="shared" si="6"/>
        <v>--</v>
      </c>
      <c r="S38" s="151">
        <f t="shared" si="7"/>
      </c>
      <c r="T38" s="399">
        <f t="shared" si="8"/>
      </c>
      <c r="U38" s="6"/>
    </row>
    <row r="39" spans="2:21" s="5" customFormat="1" ht="16.5" customHeight="1">
      <c r="B39" s="50"/>
      <c r="C39" s="270"/>
      <c r="D39" s="390"/>
      <c r="E39" s="390"/>
      <c r="F39" s="391"/>
      <c r="G39" s="129">
        <f>IF(F39=500,$E$15,IF(F39=220,#REF!,$E$16))</f>
        <v>18.82</v>
      </c>
      <c r="H39" s="392"/>
      <c r="I39" s="149"/>
      <c r="J39" s="393">
        <f t="shared" si="0"/>
      </c>
      <c r="K39" s="394">
        <f t="shared" si="1"/>
      </c>
      <c r="L39" s="216"/>
      <c r="M39" s="151">
        <f t="shared" si="2"/>
      </c>
      <c r="N39" s="395">
        <f>IF(F39=500,$F$15,IF(F39=220,#REF!,$F$16))</f>
        <v>40</v>
      </c>
      <c r="O39" s="396" t="str">
        <f t="shared" si="3"/>
        <v>--</v>
      </c>
      <c r="P39" s="397" t="str">
        <f t="shared" si="4"/>
        <v>--</v>
      </c>
      <c r="Q39" s="398" t="str">
        <f t="shared" si="5"/>
        <v>--</v>
      </c>
      <c r="R39" s="158" t="str">
        <f t="shared" si="6"/>
        <v>--</v>
      </c>
      <c r="S39" s="151">
        <f t="shared" si="7"/>
      </c>
      <c r="T39" s="399">
        <f t="shared" si="8"/>
      </c>
      <c r="U39" s="6"/>
    </row>
    <row r="40" spans="2:21" s="5" customFormat="1" ht="16.5" customHeight="1">
      <c r="B40" s="50"/>
      <c r="C40" s="153"/>
      <c r="D40" s="390"/>
      <c r="E40" s="390"/>
      <c r="F40" s="391"/>
      <c r="G40" s="129">
        <f>IF(F40=500,$E$15,IF(F40=220,#REF!,$E$16))</f>
        <v>18.82</v>
      </c>
      <c r="H40" s="392"/>
      <c r="I40" s="149"/>
      <c r="J40" s="393">
        <f t="shared" si="0"/>
      </c>
      <c r="K40" s="394">
        <f t="shared" si="1"/>
      </c>
      <c r="L40" s="216"/>
      <c r="M40" s="151">
        <f t="shared" si="2"/>
      </c>
      <c r="N40" s="395">
        <f>IF(F40=500,$F$15,IF(F40=220,#REF!,$F$16))</f>
        <v>40</v>
      </c>
      <c r="O40" s="396" t="str">
        <f t="shared" si="3"/>
        <v>--</v>
      </c>
      <c r="P40" s="397" t="str">
        <f t="shared" si="4"/>
        <v>--</v>
      </c>
      <c r="Q40" s="398" t="str">
        <f t="shared" si="5"/>
        <v>--</v>
      </c>
      <c r="R40" s="158" t="str">
        <f t="shared" si="6"/>
        <v>--</v>
      </c>
      <c r="S40" s="151">
        <f t="shared" si="7"/>
      </c>
      <c r="T40" s="399">
        <f t="shared" si="8"/>
      </c>
      <c r="U40" s="6"/>
    </row>
    <row r="41" spans="2:21" s="5" customFormat="1" ht="16.5" customHeight="1">
      <c r="B41" s="50"/>
      <c r="C41" s="270"/>
      <c r="D41" s="390"/>
      <c r="E41" s="390"/>
      <c r="F41" s="391"/>
      <c r="G41" s="129">
        <f>IF(F41=500,$E$15,IF(F41=220,#REF!,$E$16))</f>
        <v>18.82</v>
      </c>
      <c r="H41" s="392"/>
      <c r="I41" s="149"/>
      <c r="J41" s="393">
        <f t="shared" si="0"/>
      </c>
      <c r="K41" s="394">
        <f t="shared" si="1"/>
      </c>
      <c r="L41" s="216"/>
      <c r="M41" s="151">
        <f t="shared" si="2"/>
      </c>
      <c r="N41" s="395">
        <f>IF(F41=500,$F$15,IF(F41=220,#REF!,$F$16))</f>
        <v>40</v>
      </c>
      <c r="O41" s="396" t="str">
        <f t="shared" si="3"/>
        <v>--</v>
      </c>
      <c r="P41" s="397" t="str">
        <f t="shared" si="4"/>
        <v>--</v>
      </c>
      <c r="Q41" s="398" t="str">
        <f t="shared" si="5"/>
        <v>--</v>
      </c>
      <c r="R41" s="158" t="str">
        <f t="shared" si="6"/>
        <v>--</v>
      </c>
      <c r="S41" s="151">
        <f t="shared" si="7"/>
      </c>
      <c r="T41" s="399">
        <f t="shared" si="8"/>
      </c>
      <c r="U41" s="6"/>
    </row>
    <row r="42" spans="2:21" s="5" customFormat="1" ht="16.5" customHeight="1" thickBot="1">
      <c r="B42" s="50"/>
      <c r="C42" s="153"/>
      <c r="D42" s="145"/>
      <c r="E42" s="145"/>
      <c r="F42" s="224"/>
      <c r="G42" s="130"/>
      <c r="H42" s="400"/>
      <c r="I42" s="400"/>
      <c r="J42" s="401"/>
      <c r="K42" s="401"/>
      <c r="L42" s="400"/>
      <c r="M42" s="150"/>
      <c r="N42" s="402"/>
      <c r="O42" s="403"/>
      <c r="P42" s="404"/>
      <c r="Q42" s="405"/>
      <c r="R42" s="160"/>
      <c r="S42" s="150"/>
      <c r="T42" s="406"/>
      <c r="U42" s="6"/>
    </row>
    <row r="43" spans="2:21" s="5" customFormat="1" ht="16.5" customHeight="1" thickBot="1" thickTop="1">
      <c r="B43" s="50"/>
      <c r="C43" s="126" t="s">
        <v>23</v>
      </c>
      <c r="D43" s="127" t="s">
        <v>302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407">
        <f>SUM(O19:O42)</f>
        <v>6092.598599999999</v>
      </c>
      <c r="P43" s="408">
        <f>SUM(P19:P42)</f>
        <v>0</v>
      </c>
      <c r="Q43" s="409">
        <f>SUM(Q19:Q42)</f>
        <v>0</v>
      </c>
      <c r="R43" s="410">
        <f>SUM(R19:R42)</f>
        <v>0</v>
      </c>
      <c r="S43" s="411"/>
      <c r="T43" s="99">
        <f>ROUND(SUM(T19:T42),2)</f>
        <v>6092.6</v>
      </c>
      <c r="U43" s="6"/>
    </row>
    <row r="44" spans="2:21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</row>
    <row r="45" spans="21:23" ht="16.5" customHeight="1" thickTop="1">
      <c r="U45" s="175"/>
      <c r="V45" s="175"/>
      <c r="W45" s="175"/>
    </row>
    <row r="46" spans="21:23" ht="16.5" customHeight="1">
      <c r="U46" s="175"/>
      <c r="V46" s="175"/>
      <c r="W46" s="175"/>
    </row>
    <row r="47" spans="21:23" ht="16.5" customHeight="1">
      <c r="U47" s="175"/>
      <c r="V47" s="175"/>
      <c r="W47" s="175"/>
    </row>
    <row r="48" spans="21:23" ht="16.5" customHeight="1">
      <c r="U48" s="175"/>
      <c r="V48" s="175"/>
      <c r="W48" s="175"/>
    </row>
    <row r="49" spans="21:23" ht="16.5" customHeight="1">
      <c r="U49" s="175"/>
      <c r="V49" s="175"/>
      <c r="W49" s="175"/>
    </row>
    <row r="50" spans="4:23" ht="16.5" customHeight="1"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</row>
    <row r="51" spans="4:23" ht="16.5" customHeight="1"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</row>
    <row r="52" spans="4:23" ht="16.5" customHeight="1"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</row>
    <row r="53" spans="4:23" ht="16.5" customHeight="1"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</row>
    <row r="54" spans="4:23" ht="16.5" customHeight="1"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</row>
    <row r="55" spans="4:23" ht="16.5" customHeight="1"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</row>
    <row r="56" spans="4:23" ht="16.5" customHeight="1"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</row>
    <row r="57" spans="4:23" ht="16.5" customHeight="1"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</row>
    <row r="58" spans="4:23" ht="16.5" customHeight="1"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</row>
    <row r="59" spans="4:23" ht="16.5" customHeight="1"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</row>
    <row r="60" spans="4:23" ht="16.5" customHeight="1"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</row>
    <row r="61" spans="4:23" ht="16.5" customHeight="1"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</row>
    <row r="62" spans="4:23" ht="16.5" customHeight="1"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4:23" ht="16.5" customHeight="1"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</row>
    <row r="64" spans="4:23" ht="16.5" customHeight="1"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</row>
    <row r="65" spans="4:23" ht="16.5" customHeight="1"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</row>
    <row r="66" spans="4:23" ht="16.5" customHeight="1"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</row>
    <row r="67" spans="4:23" ht="16.5" customHeight="1"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</row>
    <row r="68" spans="4:23" ht="16.5" customHeight="1"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</row>
    <row r="69" spans="4:23" ht="16.5" customHeight="1"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</row>
    <row r="70" spans="4:23" ht="16.5" customHeight="1"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</row>
    <row r="71" spans="4:23" ht="16.5" customHeight="1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</row>
    <row r="72" spans="4:23" ht="16.5" customHeight="1"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</row>
    <row r="73" spans="4:23" ht="16.5" customHeight="1"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</row>
    <row r="74" spans="4:23" ht="16.5" customHeight="1"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</row>
    <row r="75" spans="4:23" ht="16.5" customHeight="1"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</row>
    <row r="76" spans="4:23" ht="16.5" customHeight="1"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</row>
    <row r="77" spans="4:23" ht="16.5" customHeight="1"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</row>
    <row r="78" spans="4:23" ht="16.5" customHeight="1"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</row>
    <row r="79" spans="4:23" ht="16.5" customHeight="1"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</row>
    <row r="80" spans="4:23" ht="16.5" customHeight="1"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</row>
    <row r="81" spans="4:23" ht="16.5" customHeight="1"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</row>
    <row r="82" spans="4:23" ht="16.5" customHeight="1"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</row>
    <row r="83" spans="4:23" ht="16.5" customHeight="1"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</row>
    <row r="84" spans="4:23" ht="16.5" customHeight="1"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</row>
    <row r="85" spans="4:23" ht="16.5" customHeight="1"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</row>
    <row r="86" spans="4:23" ht="16.5" customHeight="1"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</row>
    <row r="87" spans="4:23" ht="16.5" customHeight="1"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</row>
    <row r="88" spans="4:23" ht="16.5" customHeight="1"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</row>
    <row r="89" spans="4:23" ht="16.5" customHeight="1"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</row>
    <row r="90" spans="4:23" ht="16.5" customHeight="1"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</row>
    <row r="91" spans="4:23" ht="16.5" customHeight="1"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</row>
    <row r="92" spans="4:23" ht="16.5" customHeight="1"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</row>
    <row r="93" spans="4:23" ht="16.5" customHeight="1"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</row>
    <row r="94" spans="4:23" ht="16.5" customHeight="1"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</row>
    <row r="95" spans="4:23" ht="16.5" customHeight="1"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</row>
    <row r="96" spans="4:23" ht="16.5" customHeight="1"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</row>
    <row r="97" spans="4:23" ht="16.5" customHeight="1"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</row>
    <row r="98" spans="4:23" ht="16.5" customHeight="1"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</row>
    <row r="99" spans="4:23" ht="16.5" customHeight="1"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</row>
    <row r="100" spans="4:23" ht="16.5" customHeight="1"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</row>
    <row r="101" spans="4:23" ht="16.5" customHeight="1"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</row>
    <row r="102" spans="4:23" ht="16.5" customHeight="1"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</row>
    <row r="103" spans="4:23" ht="16.5" customHeight="1"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</row>
    <row r="104" spans="4:23" ht="16.5" customHeight="1"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</row>
    <row r="105" spans="4:23" ht="16.5" customHeight="1"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</row>
    <row r="106" spans="4:23" ht="16.5" customHeight="1"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</row>
    <row r="107" spans="4:23" ht="16.5" customHeight="1"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</row>
    <row r="108" spans="4:23" ht="16.5" customHeight="1"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</row>
    <row r="109" spans="4:23" ht="16.5" customHeight="1"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</row>
    <row r="110" spans="4:23" ht="16.5" customHeight="1"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</row>
    <row r="111" spans="4:23" ht="16.5" customHeight="1"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</row>
    <row r="112" spans="4:23" ht="16.5" customHeight="1"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</row>
    <row r="113" spans="4:23" ht="16.5" customHeight="1"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</row>
    <row r="114" spans="4:23" ht="16.5" customHeight="1"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</row>
    <row r="115" spans="4:23" ht="16.5" customHeight="1"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</row>
    <row r="116" spans="4:23" ht="16.5" customHeight="1"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</row>
    <row r="117" spans="4:23" ht="16.5" customHeight="1"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</row>
    <row r="118" spans="4:23" ht="16.5" customHeight="1"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</row>
    <row r="119" spans="4:23" ht="16.5" customHeight="1"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</row>
    <row r="120" spans="4:23" ht="16.5" customHeight="1"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</row>
    <row r="121" spans="4:23" ht="16.5" customHeight="1"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</row>
    <row r="122" spans="4:23" ht="16.5" customHeight="1"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</row>
    <row r="123" spans="4:23" ht="16.5" customHeight="1"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</row>
    <row r="124" spans="4:23" ht="16.5" customHeight="1"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</row>
    <row r="125" spans="4:23" ht="16.5" customHeight="1"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</row>
    <row r="126" spans="4:23" ht="16.5" customHeight="1"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</row>
    <row r="127" spans="4:23" ht="16.5" customHeight="1"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</row>
    <row r="128" spans="4:23" ht="16.5" customHeight="1"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</row>
    <row r="129" spans="4:23" ht="16.5" customHeight="1"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</row>
    <row r="130" spans="4:23" ht="16.5" customHeight="1"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</row>
    <row r="131" spans="4:23" ht="16.5" customHeight="1"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</row>
    <row r="132" spans="4:23" ht="16.5" customHeight="1"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</row>
    <row r="133" spans="4:23" ht="16.5" customHeight="1"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</row>
    <row r="134" spans="4:23" ht="16.5" customHeight="1"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</row>
    <row r="135" spans="4:23" ht="16.5" customHeight="1"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</row>
    <row r="136" spans="4:23" ht="16.5" customHeight="1"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</row>
    <row r="137" spans="4:23" ht="16.5" customHeight="1"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</row>
    <row r="138" spans="4:23" ht="16.5" customHeight="1"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</row>
    <row r="139" spans="4:23" ht="16.5" customHeight="1"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</row>
    <row r="140" spans="4:23" ht="16.5" customHeight="1"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</row>
    <row r="141" spans="4:23" ht="16.5" customHeight="1"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</row>
    <row r="142" spans="4:23" ht="16.5" customHeight="1"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</row>
    <row r="143" spans="4:23" ht="16.5" customHeight="1"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</row>
    <row r="144" spans="4:23" ht="16.5" customHeight="1"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</row>
    <row r="145" spans="4:23" ht="16.5" customHeight="1"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</row>
    <row r="146" spans="4:23" ht="16.5" customHeight="1"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</row>
    <row r="147" spans="4:23" ht="16.5" customHeight="1"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</row>
    <row r="148" spans="4:23" ht="16.5" customHeight="1"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</row>
    <row r="149" spans="4:23" ht="16.5" customHeight="1"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</row>
    <row r="150" spans="4:23" ht="16.5" customHeight="1"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</row>
    <row r="151" spans="4:23" ht="16.5" customHeight="1"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</row>
    <row r="152" spans="4:23" ht="16.5" customHeight="1"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</row>
    <row r="153" spans="4:23" ht="16.5" customHeight="1"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</row>
    <row r="154" spans="4:23" ht="16.5" customHeight="1"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</row>
    <row r="155" spans="4:23" ht="16.5" customHeight="1"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</row>
    <row r="156" spans="4:23" ht="16.5" customHeight="1"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</row>
    <row r="157" spans="4:23" ht="16.5" customHeight="1"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2010-04-05T18:25:48Z</cp:lastPrinted>
  <dcterms:created xsi:type="dcterms:W3CDTF">1998-04-21T14:04:37Z</dcterms:created>
  <dcterms:modified xsi:type="dcterms:W3CDTF">2010-08-06T14:29:32Z</dcterms:modified>
  <cp:category/>
  <cp:version/>
  <cp:contentType/>
  <cp:contentStatus/>
</cp:coreProperties>
</file>