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77" activeTab="0"/>
  </bookViews>
  <sheets>
    <sheet name="TOT-0314" sheetId="1" r:id="rId1"/>
    <sheet name="LI-03 (1)" sheetId="2" r:id="rId2"/>
    <sheet name="LI-03 (2)" sheetId="3" r:id="rId3"/>
    <sheet name="LI-03 (3)" sheetId="4" r:id="rId4"/>
    <sheet name="T-03 (2)" sheetId="5" r:id="rId5"/>
    <sheet name="T-03 (3)" sheetId="6" r:id="rId6"/>
    <sheet name="LI-RIOJA-03 (1)" sheetId="7" r:id="rId7"/>
    <sheet name="SUP-RIOJA" sheetId="8" r:id="rId8"/>
    <sheet name="Tasa de Falla" sheetId="9" r:id="rId9"/>
    <sheet name="DATO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<sst xmlns="http://schemas.openxmlformats.org/spreadsheetml/2006/main" count="650" uniqueCount="240">
  <si>
    <t>SISTEMA DE TRANSPORTE DE ENERGÍA ELÉCTRICA POR DISTRIBUCIÓN TRONCAL</t>
  </si>
  <si>
    <t>TRANSNOA S.A.</t>
  </si>
  <si>
    <t>TOTAL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</si>
  <si>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</si>
  <si>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</si>
  <si>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</si>
  <si>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</si>
  <si>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</si>
  <si>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</si>
  <si>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</si>
  <si>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2.-</t>
  </si>
  <si>
    <t>CONEXIÓN</t>
  </si>
  <si>
    <t>2.1.-</t>
  </si>
  <si>
    <t>Transformación</t>
  </si>
  <si>
    <t>2.1.1.-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</si>
  <si>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</si>
  <si>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</si>
  <si>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</si>
  <si>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</si>
  <si>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</si>
  <si>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</si>
  <si>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</si>
  <si>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</si>
  <si>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</si>
  <si>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</si>
  <si>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</si>
  <si>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</si>
  <si>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</si>
  <si>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</si>
  <si>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</si>
  <si>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</si>
  <si>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</si>
  <si>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</si>
  <si>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</si>
  <si>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</si>
  <si>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</si>
  <si>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</si>
  <si>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</si>
  <si>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</si>
  <si>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</si>
  <si>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</si>
  <si>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</si>
  <si>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</si>
  <si>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</si>
  <si>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</si>
  <si>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</si>
  <si>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</si>
  <si>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</si>
  <si>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</si>
  <si>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</si>
  <si>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</si>
  <si>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</si>
  <si>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</si>
  <si>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</si>
  <si>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</si>
  <si>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 xml:space="preserve">Salida en 132 kV o 66 kV = </t>
  </si>
  <si>
    <t xml:space="preserve">Salida en 33 kV </t>
  </si>
  <si>
    <t>Salida en 13,2 kV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</si>
  <si>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</si>
  <si>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</si>
  <si>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</si>
  <si>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</si>
  <si>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</si>
  <si>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</si>
  <si>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</si>
  <si>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</si>
  <si>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</si>
  <si>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</si>
  <si>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U [kV]</t>
  </si>
  <si>
    <t>Long [km]</t>
  </si>
  <si>
    <t>Cargo por C. T.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</si>
  <si>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</si>
  <si>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</si>
  <si>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</si>
  <si>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</si>
  <si>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</si>
  <si>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</si>
  <si>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TRANSNOA S.A. POR SUPERVISIÓN A  EDESA S.A.</t>
  </si>
  <si>
    <t>SANCIÓN 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</si>
  <si>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</si>
  <si>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</si>
  <si>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</si>
  <si>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</si>
  <si>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</si>
  <si>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</si>
  <si>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</si>
  <si>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</si>
  <si>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</si>
  <si>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</si>
  <si>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</si>
  <si>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</si>
  <si>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</si>
  <si>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</si>
  <si>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</si>
  <si>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</si>
  <si>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</si>
  <si>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</si>
  <si>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</si>
  <si>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</si>
  <si>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</si>
  <si>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</si>
  <si>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</si>
  <si>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</si>
  <si>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</si>
  <si>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</si>
  <si>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</si>
  <si>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</si>
  <si>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</si>
  <si>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</si>
  <si>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</si>
  <si>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</si>
  <si>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</si>
  <si>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</si>
  <si>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</si>
  <si>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</si>
  <si>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</si>
  <si>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</si>
  <si>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</si>
  <si>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</si>
  <si>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</si>
  <si>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</si>
  <si>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</si>
  <si>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</si>
  <si>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</si>
  <si>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</si>
  <si>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</si>
  <si>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</si>
  <si>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</si>
  <si>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MODELO L</t>
  </si>
  <si>
    <t>MODELO T</t>
  </si>
  <si>
    <t>MODELO S</t>
  </si>
  <si>
    <t>MODELO L EDESA</t>
  </si>
  <si>
    <t>MODELO T EDESA</t>
  </si>
  <si>
    <t>MODELO S EDESA</t>
  </si>
  <si>
    <t>MODELO VST</t>
  </si>
  <si>
    <t>TRANSNOA_CAUSAS_VST.XLS</t>
  </si>
  <si>
    <t>COL TSAL</t>
  </si>
  <si>
    <t>FILHTOTAL</t>
  </si>
  <si>
    <t>COLHTOTAL</t>
  </si>
  <si>
    <t>FILHCALC</t>
  </si>
  <si>
    <t>COLHCALC</t>
  </si>
  <si>
    <t>FILTRANSP</t>
  </si>
  <si>
    <t>COLTRANSP</t>
  </si>
  <si>
    <t>ID EQUIPO</t>
  </si>
  <si>
    <t>INDISP</t>
  </si>
  <si>
    <t xml:space="preserve"> ENTE NACIONAL REGULADOR </t>
  </si>
  <si>
    <t xml:space="preserve">       DE LA ELECTRICIDAD</t>
  </si>
  <si>
    <t>Total</t>
  </si>
  <si>
    <t>B14</t>
  </si>
  <si>
    <t>TRANSNOA_INDISPONIBILIDADES_LINEAS_TRANSNOA.XLS</t>
  </si>
  <si>
    <t>TRANSNOA_INDISPONIBILIDADES_TRAFOS_TRANSNOA.XLS</t>
  </si>
  <si>
    <t>TRANSNOA_INDISPONIBILIDADES_SALIDAS_TRANSNOA.XLS</t>
  </si>
  <si>
    <t>TRANSNOA_INDISPONIBILIDADES_LINEAS_EDESA.XLS</t>
  </si>
  <si>
    <t>TRANSNOA_INDISPONIBILIDADES_TRAFOS_EDESA.XLS</t>
  </si>
  <si>
    <t>TRANSNOA_INDISPONIBILIDADES_SALIDAS_EDESA.XLS</t>
  </si>
  <si>
    <t>MODELO L RIOJA</t>
  </si>
  <si>
    <t>TRANSNOA_INDISPONIBILIDADES_LINEAS_RIOJA.XLS</t>
  </si>
  <si>
    <t>1.3.-</t>
  </si>
  <si>
    <t>SEGÚN 1.3.</t>
  </si>
  <si>
    <t>LA RIOJA SUR P.I.LA RIOJA</t>
  </si>
  <si>
    <t>LA RIOJA SUR P.I.PATQUIA</t>
  </si>
  <si>
    <t>3.2.-</t>
  </si>
  <si>
    <t>Desde el 01 al 31 de marzo de 2014</t>
  </si>
  <si>
    <t>GUEMES SALTA - SALTA SUR</t>
  </si>
  <si>
    <t>P</t>
  </si>
  <si>
    <t>SI</t>
  </si>
  <si>
    <t>SALTA ESTE - SALTA SUR</t>
  </si>
  <si>
    <t>SALTA SUR - SALTA NORTE</t>
  </si>
  <si>
    <t>ANDALGALA - SAUJIL</t>
  </si>
  <si>
    <t>BELEN - TINOGASTA</t>
  </si>
  <si>
    <t>ANDALGALA - BELEN</t>
  </si>
  <si>
    <t>LA RIOJA - RECREO 2</t>
  </si>
  <si>
    <t>F</t>
  </si>
  <si>
    <t>LA RIOJA - RECREO</t>
  </si>
  <si>
    <t>SANTIAGO OESTE- SGO. SUR - SGO. CENTRO</t>
  </si>
  <si>
    <t>AGUILARES - ESCABA</t>
  </si>
  <si>
    <t>HUACRA - LA CALERA NOA</t>
  </si>
  <si>
    <t>CABRA CORRAL - SALTA ESTE</t>
  </si>
  <si>
    <t xml:space="preserve">CABRA CORRAL - EL CARRIL </t>
  </si>
  <si>
    <t>PAMPA GRANDE - CABRA CORRAL</t>
  </si>
  <si>
    <t>C.H. RIO HONDO - EL BRACHO</t>
  </si>
  <si>
    <t>TUCUMAN NORTE - TRANCAS</t>
  </si>
  <si>
    <t>VILLA QUINTEROS - ANDALGALA</t>
  </si>
  <si>
    <t>FRIAS - RECREO</t>
  </si>
  <si>
    <t>TUCUMAN NORTE - EL BRACHO</t>
  </si>
  <si>
    <t>BURRUYACU - R. DE LA FRONTERA</t>
  </si>
  <si>
    <t>LA BANDA - SANTIAGO CENTRO</t>
  </si>
  <si>
    <t>METAN - TUCUMAN NORTE</t>
  </si>
  <si>
    <t>132/33/13,2</t>
  </si>
  <si>
    <t>0,000</t>
  </si>
  <si>
    <t>ANATUYA</t>
  </si>
  <si>
    <t>TRAFO 1</t>
  </si>
  <si>
    <t>132/13,2</t>
  </si>
  <si>
    <t>TRAFO 2</t>
  </si>
  <si>
    <t xml:space="preserve">SARMIENTO </t>
  </si>
  <si>
    <t>LA RIOJA</t>
  </si>
  <si>
    <t>TRAFO 3</t>
  </si>
  <si>
    <t>TRAFO 4</t>
  </si>
  <si>
    <t xml:space="preserve">CATAMARCA </t>
  </si>
  <si>
    <t>RP</t>
  </si>
  <si>
    <t>CATAMARCA II</t>
  </si>
  <si>
    <t xml:space="preserve">C.H. RIO HONDO </t>
  </si>
  <si>
    <t xml:space="preserve">JUJUY SUR </t>
  </si>
  <si>
    <t>SALTA (SUR)</t>
  </si>
  <si>
    <t xml:space="preserve">PALPALA </t>
  </si>
  <si>
    <t>EL BRACHO - LA BANDA ESTE</t>
  </si>
  <si>
    <t>EL BRACHO - LA BANDA ESTE 1</t>
  </si>
  <si>
    <t>COPO</t>
  </si>
  <si>
    <t>RF</t>
  </si>
  <si>
    <t>NO</t>
  </si>
  <si>
    <t>PALPALA</t>
  </si>
  <si>
    <t>QUIMILI</t>
  </si>
  <si>
    <t>SAUJIL</t>
  </si>
  <si>
    <t>LA RIOJA - RECREO 1</t>
  </si>
  <si>
    <t>RM * =</t>
  </si>
  <si>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= VALOR EMPLEADO PARA CALCULAR </t>
    </r>
    <r>
      <rPr>
        <b/>
        <sz val="11"/>
        <rFont val="Times New Roman"/>
        <family val="1"/>
      </rPr>
      <t>CS</t>
    </r>
  </si>
  <si>
    <t>P - PROGRAMADA  ; F - FORZADA</t>
  </si>
  <si>
    <t>P - PROGRAMADA  ; RF - RESTANTE FORZADA  ; RP - REDUCCIÓN PROGRAMADA</t>
  </si>
  <si>
    <t>F - FORZADA</t>
  </si>
  <si>
    <t xml:space="preserve"> ENTE NACIONAL REGULADOR</t>
  </si>
  <si>
    <t>Equip. del T.I. TRANSPORTEL LA RIOJA SUR</t>
  </si>
  <si>
    <t>SUPERVISIÓN del T.I. TRANSPORTEL La Rioja Sur</t>
  </si>
  <si>
    <t>1.2.- Transportista Independiente TRANSPORTEL La Rioja Sur</t>
  </si>
  <si>
    <t>3.2- SUPERVISIÓN - Transportista Independiente TRANSPORTEL La Rioja Sur</t>
  </si>
  <si>
    <t>53a</t>
  </si>
  <si>
    <t>Valores remuneratorios según Convenio de Renovación del acuerdo Instrumental</t>
  </si>
  <si>
    <t xml:space="preserve">TOTAL DE PENALIZACIONES </t>
  </si>
  <si>
    <t>Duplica monto de Sancion Tasa de falla supera el valor de 4</t>
  </si>
  <si>
    <t xml:space="preserve">SISTEMA DE TRANSPORTE DE ENERGÍA ELÉCTRICA POR DISTRIBUCIÓN TRONCAL </t>
  </si>
  <si>
    <t>INDISPONIBILIDADES FORZADAS DE LÍNEAS - TASA DE FALLA</t>
  </si>
  <si>
    <t>y</t>
  </si>
  <si>
    <t xml:space="preserve">Longitud Total    </t>
  </si>
  <si>
    <t xml:space="preserve">Indisponibilidades Forzadas  </t>
  </si>
  <si>
    <t xml:space="preserve">TASA DE FALLA  </t>
  </si>
  <si>
    <t>XXX</t>
  </si>
  <si>
    <t xml:space="preserve">  Línea no computada en el mes</t>
  </si>
  <si>
    <t>TASA DE FALLA</t>
  </si>
  <si>
    <t>SALIDAS x AÑO / 100 km</t>
  </si>
  <si>
    <t>Correspondiente al mes marzo de 2014</t>
  </si>
  <si>
    <t>ANEXO VI al Memorandum D.T.E.E. N°          639     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</si>
</sst>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d/m/yy\ h:mm"/>
    <numFmt numFmtId="218" formatCode="&quot;$&quot;\ #,##0.000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  <numFmt numFmtId="227" formatCode="&quot;$&quot;\ #,##0.0;[Red]&quot;$&quot;\ \-#,##0.0"/>
  </numFmts>
  <fonts count="1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1"/>
      <name val="MS Sans Serif"/>
      <family val="2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sz val="8"/>
      <color indexed="47"/>
      <name val="Arial"/>
      <family val="2"/>
    </font>
    <font>
      <sz val="10"/>
      <color indexed="50"/>
      <name val="MS Sans Serif"/>
      <family val="2"/>
    </font>
    <font>
      <sz val="8"/>
      <name val="MS Sans Serif"/>
      <family val="2"/>
    </font>
    <font>
      <sz val="11"/>
      <color indexed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b/>
      <i/>
      <u val="single"/>
      <sz val="14"/>
      <color indexed="9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0" applyNumberFormat="0" applyBorder="0" applyAlignment="0" applyProtection="0"/>
    <xf numFmtId="0" fontId="105" fillId="21" borderId="1" applyNumberFormat="0" applyAlignment="0" applyProtection="0"/>
    <xf numFmtId="0" fontId="106" fillId="22" borderId="2" applyNumberFormat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0" applyNumberFormat="0" applyFill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10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3" fillId="21" borderId="6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7" applyNumberFormat="0" applyFill="0" applyAlignment="0" applyProtection="0"/>
    <xf numFmtId="0" fontId="109" fillId="0" borderId="8" applyNumberFormat="0" applyFill="0" applyAlignment="0" applyProtection="0"/>
    <xf numFmtId="0" fontId="118" fillId="0" borderId="9" applyNumberFormat="0" applyFill="0" applyAlignment="0" applyProtection="0"/>
  </cellStyleXfs>
  <cellXfs count="5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 quotePrefix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8" fontId="7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0" fontId="7" fillId="0" borderId="10" xfId="0" applyFont="1" applyFill="1" applyBorder="1" applyAlignment="1">
      <alignment/>
    </xf>
    <xf numFmtId="8" fontId="10" fillId="0" borderId="14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 horizontal="center"/>
    </xf>
    <xf numFmtId="7" fontId="26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29" fillId="0" borderId="26" xfId="0" applyFont="1" applyBorder="1" applyAlignment="1">
      <alignment horizontal="center" vertical="center"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 wrapText="1"/>
      <protection/>
    </xf>
    <xf numFmtId="0" fontId="29" fillId="0" borderId="27" xfId="0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6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 applyProtection="1">
      <alignment horizontal="center" vertical="center" wrapText="1"/>
      <protection/>
    </xf>
    <xf numFmtId="0" fontId="29" fillId="0" borderId="26" xfId="0" applyFont="1" applyFill="1" applyBorder="1" applyAlignment="1" applyProtection="1" quotePrefix="1">
      <alignment horizontal="center" vertical="center" wrapText="1"/>
      <protection/>
    </xf>
    <xf numFmtId="0" fontId="29" fillId="0" borderId="26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3" fillId="0" borderId="28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7" fontId="13" fillId="0" borderId="26" xfId="0" applyNumberFormat="1" applyFont="1" applyBorder="1" applyAlignment="1">
      <alignment horizontal="right"/>
    </xf>
    <xf numFmtId="0" fontId="36" fillId="33" borderId="26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>
      <alignment/>
    </xf>
    <xf numFmtId="168" fontId="37" fillId="33" borderId="11" xfId="0" applyNumberFormat="1" applyFont="1" applyFill="1" applyBorder="1" applyAlignment="1" applyProtection="1">
      <alignment horizontal="center"/>
      <protection/>
    </xf>
    <xf numFmtId="168" fontId="37" fillId="33" borderId="13" xfId="0" applyNumberFormat="1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9" fillId="0" borderId="26" xfId="0" applyFont="1" applyBorder="1" applyAlignment="1">
      <alignment horizontal="center" vertical="center" wrapText="1"/>
    </xf>
    <xf numFmtId="7" fontId="10" fillId="0" borderId="14" xfId="0" applyNumberFormat="1" applyFont="1" applyBorder="1" applyAlignment="1">
      <alignment horizontal="right"/>
    </xf>
    <xf numFmtId="167" fontId="7" fillId="0" borderId="20" xfId="0" applyNumberFormat="1" applyFont="1" applyBorder="1" applyAlignment="1">
      <alignment horizontal="centerContinuous"/>
    </xf>
    <xf numFmtId="0" fontId="37" fillId="33" borderId="14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2" fontId="42" fillId="34" borderId="11" xfId="0" applyNumberFormat="1" applyFont="1" applyFill="1" applyBorder="1" applyAlignment="1">
      <alignment horizontal="center"/>
    </xf>
    <xf numFmtId="2" fontId="42" fillId="34" borderId="13" xfId="0" applyNumberFormat="1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/>
    </xf>
    <xf numFmtId="2" fontId="44" fillId="35" borderId="11" xfId="0" applyNumberFormat="1" applyFont="1" applyFill="1" applyBorder="1" applyAlignment="1" applyProtection="1">
      <alignment horizontal="center"/>
      <protection/>
    </xf>
    <xf numFmtId="2" fontId="44" fillId="35" borderId="13" xfId="0" applyNumberFormat="1" applyFont="1" applyFill="1" applyBorder="1" applyAlignment="1">
      <alignment horizontal="center"/>
    </xf>
    <xf numFmtId="0" fontId="39" fillId="36" borderId="19" xfId="0" applyFont="1" applyFill="1" applyBorder="1" applyAlignment="1" applyProtection="1">
      <alignment horizontal="centerContinuous" vertical="center" wrapText="1"/>
      <protection/>
    </xf>
    <xf numFmtId="0" fontId="40" fillId="36" borderId="27" xfId="0" applyFont="1" applyFill="1" applyBorder="1" applyAlignment="1">
      <alignment horizontal="centerContinuous"/>
    </xf>
    <xf numFmtId="0" fontId="39" fillId="36" borderId="20" xfId="0" applyFont="1" applyFill="1" applyBorder="1" applyAlignment="1">
      <alignment horizontal="centerContinuous" vertical="center"/>
    </xf>
    <xf numFmtId="168" fontId="38" fillId="36" borderId="30" xfId="0" applyNumberFormat="1" applyFont="1" applyFill="1" applyBorder="1" applyAlignment="1" applyProtection="1" quotePrefix="1">
      <alignment horizontal="center"/>
      <protection/>
    </xf>
    <xf numFmtId="168" fontId="38" fillId="36" borderId="31" xfId="0" applyNumberFormat="1" applyFont="1" applyFill="1" applyBorder="1" applyAlignment="1" applyProtection="1" quotePrefix="1">
      <alignment horizontal="center"/>
      <protection/>
    </xf>
    <xf numFmtId="4" fontId="38" fillId="36" borderId="15" xfId="0" applyNumberFormat="1" applyFont="1" applyFill="1" applyBorder="1" applyAlignment="1">
      <alignment horizontal="center"/>
    </xf>
    <xf numFmtId="168" fontId="38" fillId="36" borderId="32" xfId="0" applyNumberFormat="1" applyFont="1" applyFill="1" applyBorder="1" applyAlignment="1" applyProtection="1" quotePrefix="1">
      <alignment horizontal="center"/>
      <protection/>
    </xf>
    <xf numFmtId="168" fontId="38" fillId="36" borderId="33" xfId="0" applyNumberFormat="1" applyFont="1" applyFill="1" applyBorder="1" applyAlignment="1" applyProtection="1" quotePrefix="1">
      <alignment horizontal="center"/>
      <protection/>
    </xf>
    <xf numFmtId="4" fontId="38" fillId="36" borderId="34" xfId="0" applyNumberFormat="1" applyFont="1" applyFill="1" applyBorder="1" applyAlignment="1">
      <alignment horizontal="center"/>
    </xf>
    <xf numFmtId="0" fontId="38" fillId="36" borderId="35" xfId="0" applyFont="1" applyFill="1" applyBorder="1" applyAlignment="1">
      <alignment/>
    </xf>
    <xf numFmtId="0" fontId="38" fillId="36" borderId="36" xfId="0" applyFont="1" applyFill="1" applyBorder="1" applyAlignment="1">
      <alignment/>
    </xf>
    <xf numFmtId="2" fontId="42" fillId="34" borderId="26" xfId="0" applyNumberFormat="1" applyFont="1" applyFill="1" applyBorder="1" applyAlignment="1">
      <alignment horizontal="center"/>
    </xf>
    <xf numFmtId="2" fontId="44" fillId="35" borderId="26" xfId="0" applyNumberFormat="1" applyFont="1" applyFill="1" applyBorder="1" applyAlignment="1">
      <alignment horizontal="center"/>
    </xf>
    <xf numFmtId="0" fontId="45" fillId="37" borderId="19" xfId="0" applyFont="1" applyFill="1" applyBorder="1" applyAlignment="1">
      <alignment horizontal="centerContinuous" vertical="center" wrapText="1"/>
    </xf>
    <xf numFmtId="0" fontId="46" fillId="37" borderId="27" xfId="0" applyFont="1" applyFill="1" applyBorder="1" applyAlignment="1">
      <alignment horizontal="centerContinuous"/>
    </xf>
    <xf numFmtId="0" fontId="45" fillId="37" borderId="20" xfId="0" applyFont="1" applyFill="1" applyBorder="1" applyAlignment="1">
      <alignment horizontal="centerContinuous" vertical="center"/>
    </xf>
    <xf numFmtId="0" fontId="47" fillId="37" borderId="37" xfId="0" applyFont="1" applyFill="1" applyBorder="1" applyAlignment="1">
      <alignment horizontal="left"/>
    </xf>
    <xf numFmtId="0" fontId="47" fillId="37" borderId="38" xfId="0" applyFont="1" applyFill="1" applyBorder="1" applyAlignment="1">
      <alignment/>
    </xf>
    <xf numFmtId="4" fontId="47" fillId="37" borderId="30" xfId="0" applyNumberFormat="1" applyFont="1" applyFill="1" applyBorder="1" applyAlignment="1" applyProtection="1">
      <alignment horizontal="center"/>
      <protection/>
    </xf>
    <xf numFmtId="4" fontId="47" fillId="37" borderId="32" xfId="0" applyNumberFormat="1" applyFont="1" applyFill="1" applyBorder="1" applyAlignment="1">
      <alignment horizontal="center"/>
    </xf>
    <xf numFmtId="0" fontId="47" fillId="37" borderId="39" xfId="0" applyFont="1" applyFill="1" applyBorder="1" applyAlignment="1">
      <alignment horizontal="left"/>
    </xf>
    <xf numFmtId="0" fontId="47" fillId="37" borderId="40" xfId="0" applyFont="1" applyFill="1" applyBorder="1" applyAlignment="1">
      <alignment/>
    </xf>
    <xf numFmtId="168" fontId="47" fillId="37" borderId="41" xfId="0" applyNumberFormat="1" applyFont="1" applyFill="1" applyBorder="1" applyAlignment="1" applyProtection="1" quotePrefix="1">
      <alignment horizontal="center"/>
      <protection/>
    </xf>
    <xf numFmtId="4" fontId="47" fillId="37" borderId="42" xfId="0" applyNumberFormat="1" applyFont="1" applyFill="1" applyBorder="1" applyAlignment="1">
      <alignment horizontal="center"/>
    </xf>
    <xf numFmtId="0" fontId="47" fillId="37" borderId="43" xfId="0" applyFont="1" applyFill="1" applyBorder="1" applyAlignment="1">
      <alignment horizontal="left"/>
    </xf>
    <xf numFmtId="0" fontId="47" fillId="37" borderId="44" xfId="0" applyFont="1" applyFill="1" applyBorder="1" applyAlignment="1">
      <alignment/>
    </xf>
    <xf numFmtId="4" fontId="47" fillId="37" borderId="45" xfId="0" applyNumberFormat="1" applyFont="1" applyFill="1" applyBorder="1" applyAlignment="1">
      <alignment horizontal="center"/>
    </xf>
    <xf numFmtId="4" fontId="47" fillId="37" borderId="46" xfId="0" applyNumberFormat="1" applyFont="1" applyFill="1" applyBorder="1" applyAlignment="1">
      <alignment horizontal="center"/>
    </xf>
    <xf numFmtId="0" fontId="45" fillId="38" borderId="26" xfId="0" applyFont="1" applyFill="1" applyBorder="1" applyAlignment="1">
      <alignment horizontal="center" vertical="center" wrapText="1"/>
    </xf>
    <xf numFmtId="0" fontId="47" fillId="38" borderId="14" xfId="0" applyFont="1" applyFill="1" applyBorder="1" applyAlignment="1">
      <alignment horizontal="left"/>
    </xf>
    <xf numFmtId="0" fontId="47" fillId="38" borderId="12" xfId="0" applyFont="1" applyFill="1" applyBorder="1" applyAlignment="1">
      <alignment/>
    </xf>
    <xf numFmtId="4" fontId="47" fillId="38" borderId="11" xfId="0" applyNumberFormat="1" applyFont="1" applyFill="1" applyBorder="1" applyAlignment="1">
      <alignment horizontal="center"/>
    </xf>
    <xf numFmtId="4" fontId="47" fillId="38" borderId="13" xfId="0" applyNumberFormat="1" applyFont="1" applyFill="1" applyBorder="1" applyAlignment="1">
      <alignment horizontal="center"/>
    </xf>
    <xf numFmtId="0" fontId="49" fillId="39" borderId="26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left"/>
    </xf>
    <xf numFmtId="0" fontId="50" fillId="39" borderId="12" xfId="0" applyFont="1" applyFill="1" applyBorder="1" applyAlignment="1">
      <alignment/>
    </xf>
    <xf numFmtId="4" fontId="50" fillId="39" borderId="11" xfId="0" applyNumberFormat="1" applyFont="1" applyFill="1" applyBorder="1" applyAlignment="1">
      <alignment horizontal="center"/>
    </xf>
    <xf numFmtId="4" fontId="50" fillId="39" borderId="13" xfId="0" applyNumberFormat="1" applyFont="1" applyFill="1" applyBorder="1" applyAlignment="1">
      <alignment horizontal="center"/>
    </xf>
    <xf numFmtId="2" fontId="38" fillId="36" borderId="26" xfId="0" applyNumberFormat="1" applyFont="1" applyFill="1" applyBorder="1" applyAlignment="1">
      <alignment horizontal="center"/>
    </xf>
    <xf numFmtId="2" fontId="47" fillId="37" borderId="26" xfId="0" applyNumberFormat="1" applyFont="1" applyFill="1" applyBorder="1" applyAlignment="1">
      <alignment horizontal="center"/>
    </xf>
    <xf numFmtId="2" fontId="47" fillId="38" borderId="26" xfId="0" applyNumberFormat="1" applyFont="1" applyFill="1" applyBorder="1" applyAlignment="1">
      <alignment horizontal="center"/>
    </xf>
    <xf numFmtId="2" fontId="50" fillId="39" borderId="26" xfId="0" applyNumberFormat="1" applyFont="1" applyFill="1" applyBorder="1" applyAlignment="1">
      <alignment horizontal="center"/>
    </xf>
    <xf numFmtId="0" fontId="48" fillId="40" borderId="13" xfId="0" applyFont="1" applyFill="1" applyBorder="1" applyAlignment="1">
      <alignment/>
    </xf>
    <xf numFmtId="0" fontId="45" fillId="40" borderId="26" xfId="0" applyFont="1" applyFill="1" applyBorder="1" applyAlignment="1" applyProtection="1">
      <alignment horizontal="center" vertical="center"/>
      <protection/>
    </xf>
    <xf numFmtId="0" fontId="48" fillId="40" borderId="14" xfId="0" applyFont="1" applyFill="1" applyBorder="1" applyAlignment="1">
      <alignment/>
    </xf>
    <xf numFmtId="0" fontId="48" fillId="40" borderId="11" xfId="0" applyFont="1" applyFill="1" applyBorder="1" applyAlignment="1">
      <alignment/>
    </xf>
    <xf numFmtId="4" fontId="48" fillId="40" borderId="11" xfId="0" applyNumberFormat="1" applyFont="1" applyFill="1" applyBorder="1" applyAlignment="1" applyProtection="1">
      <alignment horizontal="center"/>
      <protection/>
    </xf>
    <xf numFmtId="0" fontId="45" fillId="34" borderId="26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2" fontId="47" fillId="34" borderId="11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/>
    </xf>
    <xf numFmtId="7" fontId="47" fillId="34" borderId="26" xfId="0" applyNumberFormat="1" applyFont="1" applyFill="1" applyBorder="1" applyAlignment="1">
      <alignment horizontal="center"/>
    </xf>
    <xf numFmtId="0" fontId="45" fillId="41" borderId="26" xfId="0" applyFont="1" applyFill="1" applyBorder="1" applyAlignment="1">
      <alignment horizontal="center" vertical="center" wrapText="1"/>
    </xf>
    <xf numFmtId="0" fontId="47" fillId="41" borderId="14" xfId="0" applyFont="1" applyFill="1" applyBorder="1" applyAlignment="1">
      <alignment/>
    </xf>
    <xf numFmtId="0" fontId="47" fillId="41" borderId="11" xfId="0" applyFont="1" applyFill="1" applyBorder="1" applyAlignment="1">
      <alignment/>
    </xf>
    <xf numFmtId="2" fontId="47" fillId="41" borderId="11" xfId="0" applyNumberFormat="1" applyFont="1" applyFill="1" applyBorder="1" applyAlignment="1">
      <alignment horizontal="center"/>
    </xf>
    <xf numFmtId="0" fontId="47" fillId="41" borderId="13" xfId="0" applyFont="1" applyFill="1" applyBorder="1" applyAlignment="1">
      <alignment/>
    </xf>
    <xf numFmtId="7" fontId="48" fillId="41" borderId="26" xfId="0" applyNumberFormat="1" applyFont="1" applyFill="1" applyBorder="1" applyAlignment="1">
      <alignment horizontal="center"/>
    </xf>
    <xf numFmtId="0" fontId="38" fillId="36" borderId="47" xfId="0" applyFont="1" applyFill="1" applyBorder="1" applyAlignment="1">
      <alignment/>
    </xf>
    <xf numFmtId="0" fontId="38" fillId="36" borderId="32" xfId="0" applyFont="1" applyFill="1" applyBorder="1" applyAlignment="1">
      <alignment/>
    </xf>
    <xf numFmtId="0" fontId="38" fillId="36" borderId="46" xfId="0" applyFont="1" applyFill="1" applyBorder="1" applyAlignment="1">
      <alignment/>
    </xf>
    <xf numFmtId="7" fontId="38" fillId="36" borderId="26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/>
    </xf>
    <xf numFmtId="168" fontId="38" fillId="36" borderId="45" xfId="0" applyNumberFormat="1" applyFont="1" applyFill="1" applyBorder="1" applyAlignment="1" applyProtection="1" quotePrefix="1">
      <alignment horizontal="center"/>
      <protection/>
    </xf>
    <xf numFmtId="0" fontId="38" fillId="36" borderId="37" xfId="0" applyFont="1" applyFill="1" applyBorder="1" applyAlignment="1">
      <alignment horizontal="center"/>
    </xf>
    <xf numFmtId="0" fontId="38" fillId="36" borderId="30" xfId="0" applyFont="1" applyFill="1" applyBorder="1" applyAlignment="1">
      <alignment horizontal="center"/>
    </xf>
    <xf numFmtId="0" fontId="49" fillId="37" borderId="19" xfId="0" applyFont="1" applyFill="1" applyBorder="1" applyAlignment="1" applyProtection="1">
      <alignment horizontal="centerContinuous" vertical="center" wrapText="1"/>
      <protection/>
    </xf>
    <xf numFmtId="0" fontId="49" fillId="37" borderId="20" xfId="0" applyFont="1" applyFill="1" applyBorder="1" applyAlignment="1">
      <alignment horizontal="centerContinuous" vertical="center"/>
    </xf>
    <xf numFmtId="0" fontId="50" fillId="37" borderId="37" xfId="0" applyFont="1" applyFill="1" applyBorder="1" applyAlignment="1">
      <alignment horizontal="center"/>
    </xf>
    <xf numFmtId="0" fontId="50" fillId="37" borderId="47" xfId="0" applyFont="1" applyFill="1" applyBorder="1" applyAlignment="1">
      <alignment/>
    </xf>
    <xf numFmtId="0" fontId="50" fillId="37" borderId="30" xfId="0" applyFont="1" applyFill="1" applyBorder="1" applyAlignment="1">
      <alignment horizontal="center"/>
    </xf>
    <xf numFmtId="0" fontId="50" fillId="37" borderId="15" xfId="0" applyFont="1" applyFill="1" applyBorder="1" applyAlignment="1">
      <alignment/>
    </xf>
    <xf numFmtId="168" fontId="50" fillId="37" borderId="30" xfId="0" applyNumberFormat="1" applyFont="1" applyFill="1" applyBorder="1" applyAlignment="1" applyProtection="1" quotePrefix="1">
      <alignment horizontal="center"/>
      <protection/>
    </xf>
    <xf numFmtId="168" fontId="50" fillId="37" borderId="45" xfId="0" applyNumberFormat="1" applyFont="1" applyFill="1" applyBorder="1" applyAlignment="1" applyProtection="1" quotePrefix="1">
      <alignment horizontal="center"/>
      <protection/>
    </xf>
    <xf numFmtId="0" fontId="50" fillId="37" borderId="32" xfId="0" applyFont="1" applyFill="1" applyBorder="1" applyAlignment="1">
      <alignment/>
    </xf>
    <xf numFmtId="0" fontId="50" fillId="37" borderId="46" xfId="0" applyFont="1" applyFill="1" applyBorder="1" applyAlignment="1">
      <alignment/>
    </xf>
    <xf numFmtId="7" fontId="50" fillId="37" borderId="26" xfId="0" applyNumberFormat="1" applyFont="1" applyFill="1" applyBorder="1" applyAlignment="1">
      <alignment horizontal="center"/>
    </xf>
    <xf numFmtId="0" fontId="49" fillId="38" borderId="26" xfId="0" applyFont="1" applyFill="1" applyBorder="1" applyAlignment="1">
      <alignment horizontal="center" vertical="center" wrapText="1"/>
    </xf>
    <xf numFmtId="0" fontId="50" fillId="38" borderId="14" xfId="0" applyFont="1" applyFill="1" applyBorder="1" applyAlignment="1">
      <alignment/>
    </xf>
    <xf numFmtId="0" fontId="50" fillId="38" borderId="11" xfId="0" applyFont="1" applyFill="1" applyBorder="1" applyAlignment="1">
      <alignment/>
    </xf>
    <xf numFmtId="168" fontId="50" fillId="38" borderId="11" xfId="0" applyNumberFormat="1" applyFont="1" applyFill="1" applyBorder="1" applyAlignment="1" applyProtection="1" quotePrefix="1">
      <alignment horizontal="center"/>
      <protection/>
    </xf>
    <xf numFmtId="0" fontId="50" fillId="38" borderId="13" xfId="0" applyFont="1" applyFill="1" applyBorder="1" applyAlignment="1">
      <alignment/>
    </xf>
    <xf numFmtId="7" fontId="50" fillId="38" borderId="26" xfId="0" applyNumberFormat="1" applyFont="1" applyFill="1" applyBorder="1" applyAlignment="1">
      <alignment horizontal="center"/>
    </xf>
    <xf numFmtId="0" fontId="51" fillId="42" borderId="26" xfId="0" applyFont="1" applyFill="1" applyBorder="1" applyAlignment="1">
      <alignment horizontal="center" vertical="center" wrapText="1"/>
    </xf>
    <xf numFmtId="0" fontId="52" fillId="42" borderId="14" xfId="0" applyFont="1" applyFill="1" applyBorder="1" applyAlignment="1">
      <alignment/>
    </xf>
    <xf numFmtId="0" fontId="52" fillId="42" borderId="11" xfId="0" applyFont="1" applyFill="1" applyBorder="1" applyAlignment="1">
      <alignment/>
    </xf>
    <xf numFmtId="168" fontId="52" fillId="42" borderId="11" xfId="0" applyNumberFormat="1" applyFont="1" applyFill="1" applyBorder="1" applyAlignment="1" applyProtection="1" quotePrefix="1">
      <alignment horizontal="center"/>
      <protection/>
    </xf>
    <xf numFmtId="0" fontId="52" fillId="42" borderId="13" xfId="0" applyFont="1" applyFill="1" applyBorder="1" applyAlignment="1">
      <alignment/>
    </xf>
    <xf numFmtId="7" fontId="52" fillId="42" borderId="26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19" xfId="0" applyNumberFormat="1" applyFont="1" applyBorder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1" fillId="0" borderId="18" xfId="0" applyFont="1" applyBorder="1" applyAlignment="1">
      <alignment horizontal="centerContinuous"/>
    </xf>
    <xf numFmtId="0" fontId="54" fillId="0" borderId="0" xfId="0" applyFont="1" applyFill="1" applyBorder="1" applyAlignment="1">
      <alignment horizontal="centerContinuous"/>
    </xf>
    <xf numFmtId="0" fontId="54" fillId="0" borderId="0" xfId="0" applyFont="1" applyFill="1" applyAlignment="1">
      <alignment horizontal="centerContinuous"/>
    </xf>
    <xf numFmtId="0" fontId="54" fillId="0" borderId="10" xfId="0" applyFont="1" applyFill="1" applyBorder="1" applyAlignment="1">
      <alignment horizontal="centerContinuous"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5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74" fontId="1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16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26" fillId="0" borderId="19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59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right"/>
      <protection/>
    </xf>
    <xf numFmtId="5" fontId="10" fillId="0" borderId="0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>
      <alignment horizontal="right"/>
    </xf>
    <xf numFmtId="5" fontId="26" fillId="0" borderId="19" xfId="0" applyNumberFormat="1" applyFont="1" applyBorder="1" applyAlignment="1" applyProtection="1">
      <alignment horizontal="center"/>
      <protection/>
    </xf>
    <xf numFmtId="7" fontId="26" fillId="0" borderId="2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7" fontId="60" fillId="0" borderId="20" xfId="0" applyNumberFormat="1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7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8" fontId="26" fillId="0" borderId="20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7" fontId="10" fillId="0" borderId="48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 horizontal="right" vertical="top"/>
    </xf>
    <xf numFmtId="171" fontId="10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0" fillId="0" borderId="49" xfId="0" applyFont="1" applyFill="1" applyBorder="1" applyAlignment="1">
      <alignment/>
    </xf>
    <xf numFmtId="0" fontId="10" fillId="0" borderId="5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2" fontId="10" fillId="0" borderId="52" xfId="0" applyNumberFormat="1" applyFont="1" applyBorder="1" applyAlignment="1" applyProtection="1">
      <alignment horizontal="center"/>
      <protection/>
    </xf>
    <xf numFmtId="168" fontId="10" fillId="0" borderId="52" xfId="0" applyNumberFormat="1" applyFont="1" applyBorder="1" applyAlignment="1" applyProtection="1">
      <alignment horizontal="center"/>
      <protection/>
    </xf>
    <xf numFmtId="168" fontId="62" fillId="0" borderId="52" xfId="0" applyNumberFormat="1" applyFont="1" applyBorder="1" applyAlignment="1" applyProtection="1" quotePrefix="1">
      <alignment horizontal="centerContinuous"/>
      <protection/>
    </xf>
    <xf numFmtId="0" fontId="0" fillId="0" borderId="52" xfId="0" applyBorder="1" applyAlignment="1">
      <alignment horizontal="centerContinuous"/>
    </xf>
    <xf numFmtId="0" fontId="0" fillId="0" borderId="52" xfId="0" applyBorder="1" applyAlignment="1">
      <alignment/>
    </xf>
    <xf numFmtId="7" fontId="53" fillId="0" borderId="40" xfId="0" applyNumberFormat="1" applyFont="1" applyBorder="1" applyAlignment="1">
      <alignment horizontal="center"/>
    </xf>
    <xf numFmtId="0" fontId="10" fillId="0" borderId="53" xfId="0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/>
    </xf>
    <xf numFmtId="2" fontId="10" fillId="0" borderId="54" xfId="0" applyNumberFormat="1" applyFont="1" applyBorder="1" applyAlignment="1" applyProtection="1">
      <alignment horizontal="center"/>
      <protection/>
    </xf>
    <xf numFmtId="168" fontId="10" fillId="0" borderId="54" xfId="0" applyNumberFormat="1" applyFont="1" applyBorder="1" applyAlignment="1" applyProtection="1">
      <alignment horizontal="center"/>
      <protection/>
    </xf>
    <xf numFmtId="7" fontId="10" fillId="0" borderId="54" xfId="0" applyNumberFormat="1" applyFont="1" applyBorder="1" applyAlignment="1" applyProtection="1">
      <alignment horizontal="center"/>
      <protection/>
    </xf>
    <xf numFmtId="7" fontId="10" fillId="0" borderId="54" xfId="0" applyNumberFormat="1" applyFont="1" applyBorder="1" applyAlignment="1" applyProtection="1">
      <alignment horizontal="centerContinuous"/>
      <protection/>
    </xf>
    <xf numFmtId="0" fontId="10" fillId="0" borderId="54" xfId="0" applyFont="1" applyBorder="1" applyAlignment="1" applyProtection="1">
      <alignment horizontal="centerContinuous"/>
      <protection/>
    </xf>
    <xf numFmtId="0" fontId="10" fillId="0" borderId="54" xfId="0" applyFont="1" applyBorder="1" applyAlignment="1" applyProtection="1">
      <alignment horizontal="right"/>
      <protection/>
    </xf>
    <xf numFmtId="7" fontId="10" fillId="0" borderId="55" xfId="0" applyNumberFormat="1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2" fontId="10" fillId="0" borderId="48" xfId="0" applyNumberFormat="1" applyFont="1" applyBorder="1" applyAlignment="1" applyProtection="1">
      <alignment horizontal="center"/>
      <protection/>
    </xf>
    <xf numFmtId="168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right"/>
      <protection/>
    </xf>
    <xf numFmtId="7" fontId="10" fillId="0" borderId="41" xfId="0" applyNumberFormat="1" applyFont="1" applyBorder="1" applyAlignment="1" applyProtection="1">
      <alignment horizontal="center"/>
      <protection/>
    </xf>
    <xf numFmtId="7" fontId="10" fillId="0" borderId="4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left"/>
      <protection/>
    </xf>
    <xf numFmtId="0" fontId="63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4" fontId="0" fillId="0" borderId="50" xfId="0" applyNumberFormat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/>
      <protection locked="0"/>
    </xf>
    <xf numFmtId="0" fontId="12" fillId="0" borderId="59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39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 quotePrefix="1">
      <alignment horizontal="center"/>
      <protection locked="0"/>
    </xf>
    <xf numFmtId="168" fontId="7" fillId="0" borderId="13" xfId="0" applyNumberFormat="1" applyFont="1" applyBorder="1" applyAlignment="1" applyProtection="1" quotePrefix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9" fillId="0" borderId="34" xfId="0" applyNumberFormat="1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Continuous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165" fontId="7" fillId="0" borderId="12" xfId="0" applyNumberFormat="1" applyFont="1" applyBorder="1" applyAlignment="1" applyProtection="1" quotePrefix="1">
      <alignment horizontal="center"/>
      <protection locked="0"/>
    </xf>
    <xf numFmtId="2" fontId="7" fillId="0" borderId="12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 quotePrefix="1">
      <alignment horizontal="center"/>
      <protection locked="0"/>
    </xf>
    <xf numFmtId="0" fontId="21" fillId="0" borderId="18" xfId="0" applyFont="1" applyBorder="1" applyAlignment="1" applyProtection="1">
      <alignment/>
      <protection locked="0"/>
    </xf>
    <xf numFmtId="0" fontId="26" fillId="0" borderId="0" xfId="0" applyFont="1" applyBorder="1" applyAlignment="1">
      <alignment horizontal="center"/>
    </xf>
    <xf numFmtId="0" fontId="66" fillId="0" borderId="0" xfId="54" applyNumberFormat="1" applyFont="1" applyBorder="1" applyAlignment="1">
      <alignment horizontal="left"/>
      <protection/>
    </xf>
    <xf numFmtId="0" fontId="0" fillId="33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 quotePrefix="1">
      <alignment/>
    </xf>
    <xf numFmtId="0" fontId="0" fillId="43" borderId="0" xfId="0" applyFont="1" applyFill="1" applyAlignment="1">
      <alignment/>
    </xf>
    <xf numFmtId="0" fontId="0" fillId="43" borderId="0" xfId="0" applyNumberFormat="1" applyFont="1" applyFill="1" applyAlignment="1">
      <alignment/>
    </xf>
    <xf numFmtId="0" fontId="0" fillId="43" borderId="0" xfId="54" applyFont="1" applyFill="1" applyAlignment="1">
      <alignment/>
      <protection/>
    </xf>
    <xf numFmtId="0" fontId="40" fillId="0" borderId="40" xfId="0" applyFont="1" applyBorder="1" applyAlignment="1">
      <alignment/>
    </xf>
    <xf numFmtId="0" fontId="40" fillId="0" borderId="40" xfId="0" applyFont="1" applyFill="1" applyBorder="1" applyAlignment="1">
      <alignment/>
    </xf>
    <xf numFmtId="0" fontId="40" fillId="0" borderId="41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24" xfId="0" applyFont="1" applyBorder="1" applyAlignment="1">
      <alignment horizontal="center"/>
    </xf>
    <xf numFmtId="0" fontId="69" fillId="0" borderId="40" xfId="0" applyFont="1" applyFill="1" applyBorder="1" applyAlignment="1">
      <alignment/>
    </xf>
    <xf numFmtId="0" fontId="69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57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left"/>
      <protection/>
    </xf>
    <xf numFmtId="0" fontId="70" fillId="33" borderId="40" xfId="0" applyFont="1" applyFill="1" applyBorder="1" applyAlignment="1">
      <alignment horizontal="center"/>
    </xf>
    <xf numFmtId="0" fontId="70" fillId="0" borderId="40" xfId="0" applyFont="1" applyFill="1" applyBorder="1" applyAlignment="1">
      <alignment horizontal="center"/>
    </xf>
    <xf numFmtId="0" fontId="10" fillId="0" borderId="60" xfId="0" applyFont="1" applyBorder="1" applyAlignment="1">
      <alignment/>
    </xf>
    <xf numFmtId="0" fontId="46" fillId="0" borderId="0" xfId="0" applyFont="1" applyBorder="1" applyAlignment="1" applyProtection="1">
      <alignment horizontal="left"/>
      <protection/>
    </xf>
    <xf numFmtId="171" fontId="46" fillId="0" borderId="0" xfId="0" applyNumberFormat="1" applyFont="1" applyBorder="1" applyAlignment="1" applyProtection="1">
      <alignment horizontal="centerContinuous"/>
      <protection/>
    </xf>
    <xf numFmtId="0" fontId="71" fillId="0" borderId="0" xfId="0" applyFont="1" applyBorder="1" applyAlignment="1">
      <alignment horizontal="centerContinuous"/>
    </xf>
    <xf numFmtId="0" fontId="46" fillId="0" borderId="0" xfId="0" applyFont="1" applyBorder="1" applyAlignment="1">
      <alignment/>
    </xf>
    <xf numFmtId="171" fontId="46" fillId="0" borderId="0" xfId="0" applyNumberFormat="1" applyFont="1" applyBorder="1" applyAlignment="1">
      <alignment horizontal="centerContinuous"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65" fontId="7" fillId="0" borderId="12" xfId="0" applyNumberFormat="1" applyFont="1" applyBorder="1" applyAlignment="1" applyProtection="1">
      <alignment horizontal="center"/>
      <protection locked="0"/>
    </xf>
    <xf numFmtId="223" fontId="0" fillId="0" borderId="19" xfId="0" applyNumberFormat="1" applyFont="1" applyBorder="1" applyAlignment="1">
      <alignment horizontal="centerContinuous"/>
    </xf>
    <xf numFmtId="223" fontId="10" fillId="0" borderId="61" xfId="0" applyNumberFormat="1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6" fontId="24" fillId="0" borderId="0" xfId="51" applyFont="1" applyBorder="1" applyAlignment="1">
      <alignment/>
    </xf>
    <xf numFmtId="0" fontId="73" fillId="0" borderId="0" xfId="0" applyFont="1" applyAlignment="1">
      <alignment horizontal="right" vertical="top"/>
    </xf>
    <xf numFmtId="0" fontId="74" fillId="0" borderId="0" xfId="0" applyFont="1" applyAlignment="1">
      <alignment/>
    </xf>
    <xf numFmtId="14" fontId="75" fillId="0" borderId="0" xfId="0" applyNumberFormat="1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6" fillId="0" borderId="0" xfId="0" applyFont="1" applyBorder="1" applyAlignment="1">
      <alignment horizontal="centerContinuous"/>
    </xf>
    <xf numFmtId="0" fontId="77" fillId="0" borderId="0" xfId="0" applyFont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8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7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80" fillId="0" borderId="18" xfId="0" applyFont="1" applyBorder="1" applyAlignment="1">
      <alignment horizontal="centerContinuous"/>
    </xf>
    <xf numFmtId="0" fontId="80" fillId="0" borderId="0" xfId="0" applyFont="1" applyBorder="1" applyAlignment="1">
      <alignment horizontal="centerContinuous"/>
    </xf>
    <xf numFmtId="0" fontId="7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60" xfId="0" applyBorder="1" applyAlignment="1">
      <alignment/>
    </xf>
    <xf numFmtId="0" fontId="79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29" fillId="0" borderId="62" xfId="0" applyFont="1" applyBorder="1" applyAlignment="1" applyProtection="1">
      <alignment horizontal="centerContinuous" vertical="center"/>
      <protection/>
    </xf>
    <xf numFmtId="0" fontId="29" fillId="0" borderId="62" xfId="0" applyFont="1" applyBorder="1" applyAlignment="1" applyProtection="1">
      <alignment horizontal="centerContinuous" vertical="center" wrapText="1"/>
      <protection/>
    </xf>
    <xf numFmtId="168" fontId="29" fillId="0" borderId="26" xfId="0" applyNumberFormat="1" applyFont="1" applyBorder="1" applyAlignment="1" applyProtection="1">
      <alignment horizontal="centerContinuous" vertical="center" wrapText="1"/>
      <protection/>
    </xf>
    <xf numFmtId="17" fontId="29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57" xfId="0" applyFont="1" applyBorder="1" applyAlignment="1">
      <alignment vertical="center"/>
    </xf>
    <xf numFmtId="0" fontId="81" fillId="0" borderId="63" xfId="0" applyFont="1" applyBorder="1" applyAlignment="1">
      <alignment vertical="center"/>
    </xf>
    <xf numFmtId="0" fontId="81" fillId="0" borderId="64" xfId="0" applyFont="1" applyBorder="1" applyAlignment="1">
      <alignment vertical="center"/>
    </xf>
    <xf numFmtId="0" fontId="81" fillId="0" borderId="36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1" fillId="1" borderId="57" xfId="0" applyFont="1" applyFill="1" applyBorder="1" applyAlignment="1">
      <alignment horizontal="center" vertical="center"/>
    </xf>
    <xf numFmtId="0" fontId="81" fillId="0" borderId="12" xfId="0" applyNumberFormat="1" applyFont="1" applyFill="1" applyBorder="1" applyAlignment="1">
      <alignment horizontal="center" vertical="center"/>
    </xf>
    <xf numFmtId="0" fontId="81" fillId="0" borderId="29" xfId="0" applyFont="1" applyBorder="1" applyAlignment="1">
      <alignment vertical="center"/>
    </xf>
    <xf numFmtId="0" fontId="81" fillId="1" borderId="11" xfId="0" applyFont="1" applyFill="1" applyBorder="1" applyAlignment="1">
      <alignment horizontal="center" vertical="center"/>
    </xf>
    <xf numFmtId="0" fontId="81" fillId="0" borderId="65" xfId="0" applyFont="1" applyFill="1" applyBorder="1" applyAlignment="1">
      <alignment horizontal="center" vertical="center"/>
    </xf>
    <xf numFmtId="0" fontId="81" fillId="0" borderId="66" xfId="0" applyFont="1" applyFill="1" applyBorder="1" applyAlignment="1" applyProtection="1">
      <alignment horizontal="center" vertical="center"/>
      <protection/>
    </xf>
    <xf numFmtId="0" fontId="81" fillId="0" borderId="38" xfId="0" applyFont="1" applyFill="1" applyBorder="1" applyAlignment="1" applyProtection="1">
      <alignment horizontal="center" vertical="center"/>
      <protection/>
    </xf>
    <xf numFmtId="2" fontId="8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right"/>
      <protection/>
    </xf>
    <xf numFmtId="2" fontId="13" fillId="0" borderId="26" xfId="0" applyNumberFormat="1" applyFont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right"/>
    </xf>
    <xf numFmtId="2" fontId="81" fillId="0" borderId="26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2" fontId="82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83" fillId="0" borderId="18" xfId="0" applyFont="1" applyBorder="1" applyAlignment="1">
      <alignment/>
    </xf>
    <xf numFmtId="1" fontId="81" fillId="0" borderId="6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2" fontId="84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0" xfId="0" applyBorder="1" applyAlignment="1">
      <alignment/>
    </xf>
    <xf numFmtId="0" fontId="83" fillId="0" borderId="21" xfId="0" applyFont="1" applyBorder="1" applyAlignment="1">
      <alignment/>
    </xf>
    <xf numFmtId="0" fontId="5" fillId="0" borderId="22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3" fillId="0" borderId="0" xfId="0" applyFont="1" applyBorder="1" applyAlignment="1" applyProtection="1">
      <alignment horizontal="left"/>
      <protection/>
    </xf>
    <xf numFmtId="168" fontId="79" fillId="0" borderId="0" xfId="0" applyNumberFormat="1" applyFont="1" applyBorder="1" applyAlignment="1" applyProtection="1">
      <alignment horizontal="left"/>
      <protection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79" fillId="0" borderId="0" xfId="0" applyFont="1" applyBorder="1" applyAlignment="1" applyProtection="1">
      <alignment horizontal="left"/>
      <protection/>
    </xf>
    <xf numFmtId="1" fontId="79" fillId="0" borderId="0" xfId="0" applyNumberFormat="1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3</xdr:col>
      <xdr:colOff>161925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2387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3</xdr:col>
      <xdr:colOff>85725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52387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3</xdr:col>
      <xdr:colOff>123825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334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3</xdr:col>
      <xdr:colOff>85725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51435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104775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49530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142875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238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28575</xdr:rowOff>
    </xdr:from>
    <xdr:to>
      <xdr:col>0</xdr:col>
      <xdr:colOff>1743075</xdr:colOff>
      <xdr:row>1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71575" y="28575"/>
          <a:ext cx="5715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áfico1"/>
      <sheetName val="FUERZA MAYOR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IC17">
            <v>1</v>
          </cell>
          <cell r="IG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  <cell r="IC18">
            <v>2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HX19" t="str">
            <v>XXXX</v>
          </cell>
          <cell r="HY19" t="str">
            <v>XXXX</v>
          </cell>
          <cell r="HZ19" t="str">
            <v>XXXX</v>
          </cell>
          <cell r="IA19" t="str">
            <v>XXXX</v>
          </cell>
          <cell r="IB19" t="str">
            <v>XXXX</v>
          </cell>
          <cell r="IC19" t="str">
            <v>XXXX</v>
          </cell>
          <cell r="ID19" t="str">
            <v>XXXX</v>
          </cell>
          <cell r="IE19" t="str">
            <v>XXXX</v>
          </cell>
          <cell r="IF19" t="str">
            <v>XXXX</v>
          </cell>
          <cell r="IG19" t="str">
            <v>XXXX</v>
          </cell>
          <cell r="IH19" t="str">
            <v>XXXX</v>
          </cell>
          <cell r="II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  <cell r="ID20">
            <v>1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HX21" t="str">
            <v>XXXX</v>
          </cell>
          <cell r="HY21" t="str">
            <v>XXXX</v>
          </cell>
          <cell r="HZ21" t="str">
            <v>XXXX</v>
          </cell>
          <cell r="IA21" t="str">
            <v>XXXX</v>
          </cell>
          <cell r="IB21" t="str">
            <v>XXXX</v>
          </cell>
          <cell r="IC21" t="str">
            <v>XXXX</v>
          </cell>
          <cell r="ID21" t="str">
            <v>XXXX</v>
          </cell>
          <cell r="IE21" t="str">
            <v>XXXX</v>
          </cell>
          <cell r="IF21" t="str">
            <v>XXXX</v>
          </cell>
          <cell r="IG21" t="str">
            <v>XXXX</v>
          </cell>
          <cell r="IH21" t="str">
            <v>XXXX</v>
          </cell>
          <cell r="II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HX22" t="str">
            <v>XXXX</v>
          </cell>
          <cell r="HY22" t="str">
            <v>XXXX</v>
          </cell>
          <cell r="HZ22" t="str">
            <v>XXXX</v>
          </cell>
          <cell r="IA22" t="str">
            <v>XXXX</v>
          </cell>
          <cell r="IB22" t="str">
            <v>XXXX</v>
          </cell>
          <cell r="IC22" t="str">
            <v>XXXX</v>
          </cell>
          <cell r="ID22" t="str">
            <v>XXXX</v>
          </cell>
          <cell r="IE22" t="str">
            <v>XXXX</v>
          </cell>
          <cell r="IF22" t="str">
            <v>XXXX</v>
          </cell>
          <cell r="IG22" t="str">
            <v>XXXX</v>
          </cell>
          <cell r="IH22" t="str">
            <v>XXXX</v>
          </cell>
          <cell r="II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HX26" t="str">
            <v>XXXX</v>
          </cell>
          <cell r="HY26" t="str">
            <v>XXXX</v>
          </cell>
          <cell r="HZ26" t="str">
            <v>XXXX</v>
          </cell>
          <cell r="IA26" t="str">
            <v>XXXX</v>
          </cell>
          <cell r="IB26" t="str">
            <v>XXXX</v>
          </cell>
          <cell r="IC26" t="str">
            <v>XXXX</v>
          </cell>
          <cell r="ID26" t="str">
            <v>XXXX</v>
          </cell>
          <cell r="IE26" t="str">
            <v>XXXX</v>
          </cell>
          <cell r="IF26" t="str">
            <v>XXXX</v>
          </cell>
          <cell r="IG26" t="str">
            <v>XXXX</v>
          </cell>
          <cell r="IH26" t="str">
            <v>XXXX</v>
          </cell>
          <cell r="II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HX27" t="str">
            <v>XXXX</v>
          </cell>
          <cell r="HY27" t="str">
            <v>XXXX</v>
          </cell>
          <cell r="HZ27" t="str">
            <v>XXXX</v>
          </cell>
          <cell r="IA27" t="str">
            <v>XXXX</v>
          </cell>
          <cell r="IB27" t="str">
            <v>XXXX</v>
          </cell>
          <cell r="IC27" t="str">
            <v>XXXX</v>
          </cell>
          <cell r="ID27" t="str">
            <v>XXXX</v>
          </cell>
          <cell r="IE27" t="str">
            <v>XXXX</v>
          </cell>
          <cell r="IF27" t="str">
            <v>XXXX</v>
          </cell>
          <cell r="IG27" t="str">
            <v>XXXX</v>
          </cell>
          <cell r="IH27" t="str">
            <v>XXXX</v>
          </cell>
          <cell r="II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HY28">
            <v>2</v>
          </cell>
          <cell r="HZ28">
            <v>1</v>
          </cell>
          <cell r="IG28">
            <v>1</v>
          </cell>
          <cell r="IH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IE30">
            <v>1</v>
          </cell>
          <cell r="II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IG31">
            <v>1</v>
          </cell>
          <cell r="IH31">
            <v>1</v>
          </cell>
          <cell r="II31">
            <v>2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  <cell r="IG33">
            <v>1</v>
          </cell>
          <cell r="II33">
            <v>1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ID35">
            <v>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HX36">
            <v>1</v>
          </cell>
          <cell r="HY36">
            <v>1</v>
          </cell>
          <cell r="IA36">
            <v>2</v>
          </cell>
          <cell r="IC36">
            <v>2</v>
          </cell>
          <cell r="ID36">
            <v>1</v>
          </cell>
          <cell r="IE36">
            <v>3</v>
          </cell>
          <cell r="IF36">
            <v>1</v>
          </cell>
          <cell r="IG36">
            <v>4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HX37" t="str">
            <v>XXXX</v>
          </cell>
          <cell r="HY37" t="str">
            <v>XXXX</v>
          </cell>
          <cell r="HZ37" t="str">
            <v>XXXX</v>
          </cell>
          <cell r="IA37" t="str">
            <v>XXXX</v>
          </cell>
          <cell r="IB37" t="str">
            <v>XXXX</v>
          </cell>
          <cell r="IC37" t="str">
            <v>XXXX</v>
          </cell>
          <cell r="ID37" t="str">
            <v>XXXX</v>
          </cell>
          <cell r="IE37" t="str">
            <v>XXXX</v>
          </cell>
          <cell r="IF37" t="str">
            <v>XXXX</v>
          </cell>
          <cell r="IG37" t="str">
            <v>XXXX</v>
          </cell>
          <cell r="IH37" t="str">
            <v>XXXX</v>
          </cell>
          <cell r="II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  <cell r="HX38">
            <v>1</v>
          </cell>
          <cell r="IC38">
            <v>2</v>
          </cell>
          <cell r="IG38">
            <v>2</v>
          </cell>
          <cell r="IH38">
            <v>4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HX39" t="str">
            <v>XXXX</v>
          </cell>
          <cell r="HY39" t="str">
            <v>XXXX</v>
          </cell>
          <cell r="HZ39" t="str">
            <v>XXXX</v>
          </cell>
          <cell r="IA39" t="str">
            <v>XXXX</v>
          </cell>
          <cell r="IB39" t="str">
            <v>XXXX</v>
          </cell>
          <cell r="IC39" t="str">
            <v>XXXX</v>
          </cell>
          <cell r="ID39" t="str">
            <v>XXXX</v>
          </cell>
          <cell r="IE39" t="str">
            <v>XXXX</v>
          </cell>
          <cell r="IF39" t="str">
            <v>XXXX</v>
          </cell>
          <cell r="IG39" t="str">
            <v>XXXX</v>
          </cell>
          <cell r="IH39" t="str">
            <v>XXXX</v>
          </cell>
          <cell r="II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HX40" t="str">
            <v>XXXX</v>
          </cell>
          <cell r="HY40" t="str">
            <v>XXXX</v>
          </cell>
          <cell r="HZ40" t="str">
            <v>XXXX</v>
          </cell>
          <cell r="IA40" t="str">
            <v>XXXX</v>
          </cell>
          <cell r="IB40" t="str">
            <v>XXXX</v>
          </cell>
          <cell r="IC40" t="str">
            <v>XXXX</v>
          </cell>
          <cell r="ID40" t="str">
            <v>XXXX</v>
          </cell>
          <cell r="IE40" t="str">
            <v>XXXX</v>
          </cell>
          <cell r="IF40" t="str">
            <v>XXXX</v>
          </cell>
          <cell r="IG40" t="str">
            <v>XXXX</v>
          </cell>
          <cell r="IH40" t="str">
            <v>XXXX</v>
          </cell>
          <cell r="II40" t="str">
            <v>XXXX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IF42">
            <v>1</v>
          </cell>
          <cell r="IH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HX43" t="str">
            <v>XXXX</v>
          </cell>
          <cell r="HY43" t="str">
            <v>XXXX</v>
          </cell>
          <cell r="HZ43" t="str">
            <v>XXXX</v>
          </cell>
          <cell r="IA43" t="str">
            <v>XXXX</v>
          </cell>
          <cell r="IB43" t="str">
            <v>XXXX</v>
          </cell>
          <cell r="IC43" t="str">
            <v>XXXX</v>
          </cell>
          <cell r="ID43" t="str">
            <v>XXXX</v>
          </cell>
          <cell r="IE43" t="str">
            <v>XXXX</v>
          </cell>
          <cell r="IF43" t="str">
            <v>XXXX</v>
          </cell>
          <cell r="IG43" t="str">
            <v>XXXX</v>
          </cell>
          <cell r="IH43" t="str">
            <v>XXXX</v>
          </cell>
          <cell r="II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HX44" t="str">
            <v>XXXX</v>
          </cell>
          <cell r="HY44" t="str">
            <v>XXXX</v>
          </cell>
          <cell r="HZ44" t="str">
            <v>XXXX</v>
          </cell>
          <cell r="IA44" t="str">
            <v>XXXX</v>
          </cell>
          <cell r="IB44" t="str">
            <v>XXXX</v>
          </cell>
          <cell r="IC44" t="str">
            <v>XXXX</v>
          </cell>
          <cell r="ID44" t="str">
            <v>XXXX</v>
          </cell>
          <cell r="IE44" t="str">
            <v>XXXX</v>
          </cell>
          <cell r="IF44" t="str">
            <v>XXXX</v>
          </cell>
          <cell r="IG44" t="str">
            <v>XXXX</v>
          </cell>
          <cell r="IH44" t="str">
            <v>XXXX</v>
          </cell>
          <cell r="II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ID45">
            <v>1</v>
          </cell>
          <cell r="IF45">
            <v>1</v>
          </cell>
          <cell r="IH45">
            <v>2</v>
          </cell>
          <cell r="II45">
            <v>2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HX46">
            <v>2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HX47" t="str">
            <v>XXXX</v>
          </cell>
          <cell r="HY47" t="str">
            <v>XXXX</v>
          </cell>
          <cell r="HZ47" t="str">
            <v>XXXX</v>
          </cell>
          <cell r="IA47" t="str">
            <v>XXXX</v>
          </cell>
          <cell r="IB47" t="str">
            <v>XXXX</v>
          </cell>
          <cell r="IC47" t="str">
            <v>XXXX</v>
          </cell>
          <cell r="ID47" t="str">
            <v>XXXX</v>
          </cell>
          <cell r="IE47" t="str">
            <v>XXXX</v>
          </cell>
          <cell r="IF47" t="str">
            <v>XXXX</v>
          </cell>
          <cell r="IG47" t="str">
            <v>XXXX</v>
          </cell>
          <cell r="IH47" t="str">
            <v>XXXX</v>
          </cell>
          <cell r="II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HX48" t="str">
            <v>XXXX</v>
          </cell>
          <cell r="HY48" t="str">
            <v>XXXX</v>
          </cell>
          <cell r="HZ48" t="str">
            <v>XXXX</v>
          </cell>
          <cell r="IA48" t="str">
            <v>XXXX</v>
          </cell>
          <cell r="IB48" t="str">
            <v>XXXX</v>
          </cell>
          <cell r="IC48" t="str">
            <v>XXXX</v>
          </cell>
          <cell r="ID48" t="str">
            <v>XXXX</v>
          </cell>
          <cell r="IE48" t="str">
            <v>XXXX</v>
          </cell>
          <cell r="IF48" t="str">
            <v>XXXX</v>
          </cell>
          <cell r="IG48" t="str">
            <v>XXXX</v>
          </cell>
          <cell r="IH48" t="str">
            <v>XXXX</v>
          </cell>
          <cell r="II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HX49" t="str">
            <v>XXXX</v>
          </cell>
          <cell r="HY49" t="str">
            <v>XXXX</v>
          </cell>
          <cell r="HZ49" t="str">
            <v>XXXX</v>
          </cell>
          <cell r="IA49" t="str">
            <v>XXXX</v>
          </cell>
          <cell r="IB49" t="str">
            <v>XXXX</v>
          </cell>
          <cell r="IC49" t="str">
            <v>XXXX</v>
          </cell>
          <cell r="ID49" t="str">
            <v>XXXX</v>
          </cell>
          <cell r="IE49" t="str">
            <v>XXXX</v>
          </cell>
          <cell r="IF49" t="str">
            <v>XXXX</v>
          </cell>
          <cell r="IG49" t="str">
            <v>XXXX</v>
          </cell>
          <cell r="IH49" t="str">
            <v>XXXX</v>
          </cell>
          <cell r="II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IA50">
            <v>1</v>
          </cell>
          <cell r="IH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IC51">
            <v>1</v>
          </cell>
          <cell r="ID51">
            <v>1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HX52">
            <v>1</v>
          </cell>
          <cell r="IF52">
            <v>1</v>
          </cell>
          <cell r="II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HX53" t="str">
            <v>XXXX</v>
          </cell>
          <cell r="HY53" t="str">
            <v>XXXX</v>
          </cell>
          <cell r="HZ53" t="str">
            <v>XXXX</v>
          </cell>
          <cell r="IA53" t="str">
            <v>XXXX</v>
          </cell>
          <cell r="IB53" t="str">
            <v>XXXX</v>
          </cell>
          <cell r="IC53" t="str">
            <v>XXXX</v>
          </cell>
          <cell r="ID53" t="str">
            <v>XXXX</v>
          </cell>
          <cell r="IE53" t="str">
            <v>XXXX</v>
          </cell>
          <cell r="IF53" t="str">
            <v>XXXX</v>
          </cell>
          <cell r="IG53" t="str">
            <v>XXXX</v>
          </cell>
          <cell r="IH53" t="str">
            <v>XXXX</v>
          </cell>
          <cell r="II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HX54">
            <v>1</v>
          </cell>
          <cell r="ID54">
            <v>1</v>
          </cell>
          <cell r="IH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IE57">
            <v>2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II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IC59">
            <v>4</v>
          </cell>
          <cell r="ID59">
            <v>1</v>
          </cell>
          <cell r="IE59">
            <v>1</v>
          </cell>
          <cell r="IF59">
            <v>1</v>
          </cell>
          <cell r="IG59">
            <v>1</v>
          </cell>
          <cell r="IH59">
            <v>3</v>
          </cell>
          <cell r="II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HX60" t="str">
            <v>XXXX</v>
          </cell>
          <cell r="HY60" t="str">
            <v>XXXX</v>
          </cell>
          <cell r="HZ60" t="str">
            <v>XXXX</v>
          </cell>
          <cell r="IA60" t="str">
            <v>XXXX</v>
          </cell>
          <cell r="IB60" t="str">
            <v>XXXX</v>
          </cell>
          <cell r="IC60" t="str">
            <v>XXXX</v>
          </cell>
          <cell r="ID60" t="str">
            <v>XXXX</v>
          </cell>
          <cell r="IE60" t="str">
            <v>XXXX</v>
          </cell>
          <cell r="IF60" t="str">
            <v>XXXX</v>
          </cell>
          <cell r="IG60" t="str">
            <v>XXXX</v>
          </cell>
          <cell r="IH60" t="str">
            <v>XXXX</v>
          </cell>
          <cell r="II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HX61">
            <v>1</v>
          </cell>
          <cell r="HY61">
            <v>2</v>
          </cell>
          <cell r="IE61">
            <v>1</v>
          </cell>
          <cell r="IG61">
            <v>3</v>
          </cell>
          <cell r="II61">
            <v>1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  <cell r="IF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  <cell r="IC64">
            <v>1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HX65" t="str">
            <v>XXXX</v>
          </cell>
          <cell r="HY65" t="str">
            <v>XXXX</v>
          </cell>
          <cell r="HZ65" t="str">
            <v>XXXX</v>
          </cell>
          <cell r="IA65" t="str">
            <v>XXXX</v>
          </cell>
          <cell r="IB65" t="str">
            <v>XXXX</v>
          </cell>
          <cell r="IC65" t="str">
            <v>XXXX</v>
          </cell>
          <cell r="ID65" t="str">
            <v>XXXX</v>
          </cell>
          <cell r="IE65" t="str">
            <v>XXXX</v>
          </cell>
          <cell r="IF65" t="str">
            <v>XXXX</v>
          </cell>
          <cell r="IG65" t="str">
            <v>XXXX</v>
          </cell>
          <cell r="IH65" t="str">
            <v>XXXX</v>
          </cell>
          <cell r="II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IC75">
            <v>1</v>
          </cell>
          <cell r="IF75">
            <v>1</v>
          </cell>
          <cell r="II75">
            <v>1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  <cell r="IC77">
            <v>1</v>
          </cell>
          <cell r="ID77">
            <v>1</v>
          </cell>
          <cell r="II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IH78">
            <v>2</v>
          </cell>
          <cell r="II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ID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HX80" t="str">
            <v>XXXX</v>
          </cell>
          <cell r="HY80" t="str">
            <v>XXXX</v>
          </cell>
          <cell r="HZ80" t="str">
            <v>XXXX</v>
          </cell>
          <cell r="IA80" t="str">
            <v>XXXX</v>
          </cell>
          <cell r="IB80" t="str">
            <v>XXXX</v>
          </cell>
          <cell r="IC80" t="str">
            <v>XXXX</v>
          </cell>
          <cell r="ID80" t="str">
            <v>XXXX</v>
          </cell>
          <cell r="IE80" t="str">
            <v>XXXX</v>
          </cell>
          <cell r="IF80" t="str">
            <v>XXXX</v>
          </cell>
          <cell r="IG80" t="str">
            <v>XXXX</v>
          </cell>
          <cell r="IH80" t="str">
            <v>XXXX</v>
          </cell>
          <cell r="II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IB81">
            <v>1</v>
          </cell>
          <cell r="IC81">
            <v>1</v>
          </cell>
          <cell r="IG81">
            <v>1</v>
          </cell>
          <cell r="IH81">
            <v>3</v>
          </cell>
          <cell r="II81">
            <v>1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IH82">
            <v>2</v>
          </cell>
          <cell r="II82">
            <v>2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HZ83">
            <v>1</v>
          </cell>
          <cell r="IB83">
            <v>1</v>
          </cell>
          <cell r="ID83">
            <v>2</v>
          </cell>
          <cell r="IF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HX84" t="str">
            <v>XXXX</v>
          </cell>
          <cell r="HY84" t="str">
            <v>XXXX</v>
          </cell>
          <cell r="HZ84" t="str">
            <v>XXXX</v>
          </cell>
          <cell r="IA84" t="str">
            <v>XXXX</v>
          </cell>
          <cell r="IB84" t="str">
            <v>XXXX</v>
          </cell>
          <cell r="IC84" t="str">
            <v>XXXX</v>
          </cell>
          <cell r="ID84" t="str">
            <v>XXXX</v>
          </cell>
          <cell r="IE84" t="str">
            <v>XXXX</v>
          </cell>
          <cell r="IF84" t="str">
            <v>XXXX</v>
          </cell>
          <cell r="IG84" t="str">
            <v>XXXX</v>
          </cell>
          <cell r="IH84" t="str">
            <v>XXXX</v>
          </cell>
          <cell r="II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  <cell r="IC85">
            <v>1</v>
          </cell>
          <cell r="II85">
            <v>1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  <cell r="IA86">
            <v>1</v>
          </cell>
          <cell r="IG86">
            <v>1</v>
          </cell>
          <cell r="II86">
            <v>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  <cell r="IC87">
            <v>1</v>
          </cell>
          <cell r="IH87">
            <v>1</v>
          </cell>
          <cell r="II87">
            <v>3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  <cell r="ID88">
            <v>2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33.55</v>
          </cell>
          <cell r="ID89">
            <v>1</v>
          </cell>
          <cell r="IF89">
            <v>1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HX90">
            <v>1</v>
          </cell>
          <cell r="IE90">
            <v>1</v>
          </cell>
          <cell r="IF90">
            <v>1</v>
          </cell>
          <cell r="IG90">
            <v>1</v>
          </cell>
          <cell r="II90">
            <v>1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  <cell r="ID91">
            <v>3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  <cell r="HY92">
            <v>1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HX93">
            <v>1</v>
          </cell>
          <cell r="HY93">
            <v>1</v>
          </cell>
          <cell r="IA93">
            <v>1</v>
          </cell>
        </row>
        <row r="94">
          <cell r="C94">
            <v>76</v>
          </cell>
          <cell r="D94" t="str">
            <v>SUNCHO CORRAL - ANATUYA</v>
          </cell>
          <cell r="E94">
            <v>132</v>
          </cell>
          <cell r="F94">
            <v>81</v>
          </cell>
          <cell r="IE94">
            <v>1</v>
          </cell>
          <cell r="IF94">
            <v>1</v>
          </cell>
        </row>
        <row r="95">
          <cell r="C95">
            <v>77</v>
          </cell>
          <cell r="D95" t="str">
            <v>LAS MADERAS - GÜEMES SALTA</v>
          </cell>
          <cell r="E95">
            <v>132</v>
          </cell>
          <cell r="F95">
            <v>42</v>
          </cell>
          <cell r="HX95">
            <v>1</v>
          </cell>
        </row>
        <row r="96">
          <cell r="C96">
            <v>78</v>
          </cell>
          <cell r="D96" t="str">
            <v>INDEPENDENCIA - EL BRACHO 2</v>
          </cell>
          <cell r="E96">
            <v>132</v>
          </cell>
          <cell r="F96">
            <v>17.1</v>
          </cell>
          <cell r="ID96">
            <v>1</v>
          </cell>
        </row>
        <row r="97">
          <cell r="C97">
            <v>79</v>
          </cell>
          <cell r="D97" t="str">
            <v>GÜEMES - SALTA SUR</v>
          </cell>
          <cell r="E97">
            <v>132</v>
          </cell>
          <cell r="F97">
            <v>47.6</v>
          </cell>
          <cell r="IH97">
            <v>1</v>
          </cell>
          <cell r="II97">
            <v>2</v>
          </cell>
        </row>
        <row r="98">
          <cell r="C98">
            <v>80</v>
          </cell>
          <cell r="D98" t="str">
            <v>BURRUYACU - COBOS</v>
          </cell>
          <cell r="E98">
            <v>132</v>
          </cell>
          <cell r="F98">
            <v>229.5</v>
          </cell>
          <cell r="HX98" t="str">
            <v>XXXX</v>
          </cell>
          <cell r="HY98" t="str">
            <v>XXXX</v>
          </cell>
          <cell r="HZ98" t="str">
            <v>XXXX</v>
          </cell>
          <cell r="IA98" t="str">
            <v>XXXX</v>
          </cell>
          <cell r="IB98" t="str">
            <v>XXXX</v>
          </cell>
          <cell r="IC98" t="str">
            <v>XXXX</v>
          </cell>
          <cell r="ID98" t="str">
            <v>XXXX</v>
          </cell>
          <cell r="IE98" t="str">
            <v>XXXX</v>
          </cell>
          <cell r="IF98" t="str">
            <v>XXXX</v>
          </cell>
          <cell r="IG98" t="str">
            <v>XXXX</v>
          </cell>
          <cell r="IH98" t="str">
            <v>XXXX</v>
          </cell>
          <cell r="II98" t="str">
            <v>XXXX</v>
          </cell>
        </row>
        <row r="99">
          <cell r="C99">
            <v>81</v>
          </cell>
          <cell r="D99" t="str">
            <v>METAN - COBOS</v>
          </cell>
          <cell r="E99">
            <v>132</v>
          </cell>
          <cell r="F99">
            <v>89.2</v>
          </cell>
        </row>
        <row r="100">
          <cell r="C100">
            <v>82</v>
          </cell>
          <cell r="D100" t="str">
            <v>AÑATUYA - BANDERA</v>
          </cell>
          <cell r="E100">
            <v>132</v>
          </cell>
          <cell r="F100">
            <v>76</v>
          </cell>
          <cell r="IC100">
            <v>1</v>
          </cell>
        </row>
        <row r="101">
          <cell r="C101">
            <v>84</v>
          </cell>
          <cell r="D101" t="str">
            <v>GÜEMES SALTA - COBOS 1</v>
          </cell>
          <cell r="E101">
            <v>132</v>
          </cell>
          <cell r="F101">
            <v>12.1</v>
          </cell>
        </row>
        <row r="102">
          <cell r="C102">
            <v>85</v>
          </cell>
          <cell r="D102" t="str">
            <v>GÜEMES SALTA - COBOS 2</v>
          </cell>
          <cell r="E102">
            <v>132</v>
          </cell>
          <cell r="F102">
            <v>12.1</v>
          </cell>
        </row>
        <row r="103">
          <cell r="C103">
            <v>86</v>
          </cell>
          <cell r="D103" t="str">
            <v>EL BRACHO - LA BANDA</v>
          </cell>
          <cell r="E103">
            <v>132</v>
          </cell>
          <cell r="F103">
            <v>133.5</v>
          </cell>
          <cell r="HX103" t="str">
            <v>XXXX</v>
          </cell>
          <cell r="HY103" t="str">
            <v>XXXX</v>
          </cell>
          <cell r="HZ103" t="str">
            <v>XXXX</v>
          </cell>
          <cell r="IA103" t="str">
            <v>XXXX</v>
          </cell>
          <cell r="IB103" t="str">
            <v>XXXX</v>
          </cell>
          <cell r="IC103" t="str">
            <v>XXXX</v>
          </cell>
          <cell r="ID103" t="str">
            <v>XXXX</v>
          </cell>
          <cell r="IE103" t="str">
            <v>XXXX</v>
          </cell>
          <cell r="IF103" t="str">
            <v>XXXX</v>
          </cell>
          <cell r="IG103" t="str">
            <v>XXXX</v>
          </cell>
          <cell r="IH103" t="str">
            <v>XXXX</v>
          </cell>
          <cell r="II103" t="str">
            <v>XXXX</v>
          </cell>
        </row>
        <row r="104">
          <cell r="C104">
            <v>87</v>
          </cell>
          <cell r="D104" t="str">
            <v>SANTIAGO OESTE - SANTIAGO SUR </v>
          </cell>
          <cell r="E104">
            <v>132</v>
          </cell>
          <cell r="F104">
            <v>10.6</v>
          </cell>
          <cell r="IE104">
            <v>1</v>
          </cell>
          <cell r="IH104">
            <v>1</v>
          </cell>
        </row>
        <row r="105">
          <cell r="C105">
            <v>88</v>
          </cell>
          <cell r="D105" t="str">
            <v>SANTIAGO SUR - SANTIAGO CENTRO</v>
          </cell>
          <cell r="E105">
            <v>132</v>
          </cell>
          <cell r="F105">
            <v>4</v>
          </cell>
          <cell r="IE105">
            <v>1</v>
          </cell>
          <cell r="IH105">
            <v>4</v>
          </cell>
        </row>
        <row r="106">
          <cell r="C106">
            <v>89</v>
          </cell>
          <cell r="D106" t="str">
            <v>C.H. RIO HONDO - SANTIAGO OESTE</v>
          </cell>
          <cell r="E106">
            <v>132</v>
          </cell>
          <cell r="F106">
            <v>69.8</v>
          </cell>
          <cell r="IC106">
            <v>1</v>
          </cell>
        </row>
        <row r="107">
          <cell r="C107">
            <v>90</v>
          </cell>
          <cell r="D107" t="str">
            <v>GÜEMES - MINETTI</v>
          </cell>
          <cell r="E107">
            <v>132</v>
          </cell>
          <cell r="F107">
            <v>41.4</v>
          </cell>
          <cell r="IC107">
            <v>1</v>
          </cell>
          <cell r="IG107">
            <v>3</v>
          </cell>
          <cell r="IH107">
            <v>6</v>
          </cell>
        </row>
        <row r="108">
          <cell r="C108">
            <v>91</v>
          </cell>
          <cell r="D108" t="str">
            <v>GÜEMES - SALTA NORTE</v>
          </cell>
          <cell r="E108">
            <v>132</v>
          </cell>
          <cell r="F108">
            <v>38.97</v>
          </cell>
          <cell r="II108">
            <v>1</v>
          </cell>
        </row>
        <row r="109">
          <cell r="C109">
            <v>92</v>
          </cell>
          <cell r="D109" t="str">
            <v>BURRUYACU - R. DE LA FRONTERA</v>
          </cell>
          <cell r="E109">
            <v>132</v>
          </cell>
          <cell r="F109">
            <v>99.1</v>
          </cell>
          <cell r="ID109">
            <v>1</v>
          </cell>
        </row>
        <row r="110">
          <cell r="C110">
            <v>93</v>
          </cell>
          <cell r="D110" t="str">
            <v>R. DE LA FRONTERA - COBOS</v>
          </cell>
          <cell r="E110">
            <v>132</v>
          </cell>
          <cell r="F110">
            <v>130.4</v>
          </cell>
          <cell r="IC110">
            <v>1</v>
          </cell>
        </row>
        <row r="111">
          <cell r="C111">
            <v>94</v>
          </cell>
          <cell r="D111" t="str">
            <v>J.V. GONZALEZ - APOLINARIO SARAVIA</v>
          </cell>
          <cell r="E111">
            <v>132</v>
          </cell>
          <cell r="F111">
            <v>94</v>
          </cell>
          <cell r="HX111">
            <v>1</v>
          </cell>
        </row>
        <row r="112">
          <cell r="C112">
            <v>95</v>
          </cell>
          <cell r="D112" t="str">
            <v>ANDALGALA - SAULIL</v>
          </cell>
          <cell r="E112">
            <v>132</v>
          </cell>
          <cell r="F112">
            <v>76</v>
          </cell>
          <cell r="IH112">
            <v>1</v>
          </cell>
          <cell r="II112">
            <v>1</v>
          </cell>
        </row>
        <row r="113">
          <cell r="C113">
            <v>96</v>
          </cell>
          <cell r="D113" t="str">
            <v>SANTIAGO OESTE - SANT. SUR  - SANT. CENTRO</v>
          </cell>
          <cell r="E113">
            <v>132</v>
          </cell>
          <cell r="F113">
            <v>14.6</v>
          </cell>
          <cell r="HX113" t="str">
            <v>XXXX</v>
          </cell>
          <cell r="HY113" t="str">
            <v>XXXX</v>
          </cell>
          <cell r="HZ113" t="str">
            <v>XXXX</v>
          </cell>
          <cell r="IA113" t="str">
            <v>XXXX</v>
          </cell>
          <cell r="IB113" t="str">
            <v>XXXX</v>
          </cell>
          <cell r="IC113" t="str">
            <v>XXXX</v>
          </cell>
          <cell r="ID113" t="str">
            <v>XXXX</v>
          </cell>
          <cell r="IE113" t="str">
            <v>XXXX</v>
          </cell>
          <cell r="IF113" t="str">
            <v>XXXX</v>
          </cell>
          <cell r="IG113" t="str">
            <v>XXXX</v>
          </cell>
          <cell r="IH113" t="str">
            <v>XXXX</v>
          </cell>
          <cell r="II113" t="str">
            <v>XXXX</v>
          </cell>
        </row>
        <row r="114">
          <cell r="C114">
            <v>97</v>
          </cell>
          <cell r="D114" t="str">
            <v>LA RIOJA SUR - PI LA RIOJA  </v>
          </cell>
          <cell r="E114">
            <v>132</v>
          </cell>
          <cell r="F114">
            <v>40</v>
          </cell>
        </row>
        <row r="115">
          <cell r="C115">
            <v>98</v>
          </cell>
          <cell r="D115" t="str">
            <v>LA RIOJA SUR - PI. PATQUIA</v>
          </cell>
          <cell r="E115">
            <v>132</v>
          </cell>
          <cell r="F115">
            <v>40</v>
          </cell>
        </row>
        <row r="116">
          <cell r="C116">
            <v>99</v>
          </cell>
          <cell r="D116" t="str">
            <v>SUNCHO CORRAL - QUIMILI</v>
          </cell>
          <cell r="E116">
            <v>132</v>
          </cell>
          <cell r="F116">
            <v>108</v>
          </cell>
          <cell r="IG116">
            <v>1</v>
          </cell>
        </row>
        <row r="117">
          <cell r="C117">
            <v>100</v>
          </cell>
          <cell r="D117" t="str">
            <v>EL BRACHO - LA BANDA ESTE</v>
          </cell>
          <cell r="E117">
            <v>132</v>
          </cell>
          <cell r="F117">
            <v>140.9</v>
          </cell>
          <cell r="IC117">
            <v>1</v>
          </cell>
          <cell r="ID117">
            <v>3</v>
          </cell>
          <cell r="IE117">
            <v>2</v>
          </cell>
          <cell r="IF117">
            <v>1</v>
          </cell>
          <cell r="IG117">
            <v>1</v>
          </cell>
        </row>
        <row r="118">
          <cell r="C118">
            <v>101</v>
          </cell>
          <cell r="D118" t="str">
            <v>LA BANDA ESTE - LA BANDA</v>
          </cell>
          <cell r="E118">
            <v>132</v>
          </cell>
          <cell r="F118">
            <v>16.2</v>
          </cell>
          <cell r="ID118">
            <v>1</v>
          </cell>
        </row>
        <row r="119">
          <cell r="C119">
            <v>102</v>
          </cell>
          <cell r="D119" t="str">
            <v>TABACAL - PICHANAL</v>
          </cell>
          <cell r="E119">
            <v>132</v>
          </cell>
          <cell r="F119">
            <v>7</v>
          </cell>
        </row>
        <row r="120">
          <cell r="C120">
            <v>103</v>
          </cell>
          <cell r="D120" t="str">
            <v>ORAN - TABACAL</v>
          </cell>
          <cell r="E120">
            <v>132</v>
          </cell>
          <cell r="F120">
            <v>10</v>
          </cell>
        </row>
        <row r="121">
          <cell r="C121">
            <v>104</v>
          </cell>
          <cell r="D121" t="str">
            <v>MONTE QUEMADO -COPO - QUIMILI</v>
          </cell>
          <cell r="E121">
            <v>132</v>
          </cell>
          <cell r="F121">
            <v>218</v>
          </cell>
        </row>
        <row r="129">
          <cell r="HX129">
            <v>2.51</v>
          </cell>
          <cell r="HY129">
            <v>2.42</v>
          </cell>
          <cell r="HZ129">
            <v>2.42</v>
          </cell>
          <cell r="IA129">
            <v>2.4</v>
          </cell>
          <cell r="IB129">
            <v>2.45</v>
          </cell>
          <cell r="IC129">
            <v>2.24</v>
          </cell>
          <cell r="ID129">
            <v>2.63</v>
          </cell>
          <cell r="IE129">
            <v>2.76</v>
          </cell>
          <cell r="IF129">
            <v>2.94</v>
          </cell>
          <cell r="IG129">
            <v>3.03</v>
          </cell>
          <cell r="IH129">
            <v>3.21</v>
          </cell>
          <cell r="II129">
            <v>3.79</v>
          </cell>
          <cell r="IJ129">
            <v>4.08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5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421875" style="7" customWidth="1"/>
    <col min="4" max="5" width="9.00390625" style="7" customWidth="1"/>
    <col min="6" max="6" width="3.7109375" style="7" customWidth="1"/>
    <col min="7" max="8" width="20.7109375" style="7" customWidth="1"/>
    <col min="9" max="9" width="6.28125" style="7" customWidth="1"/>
    <col min="10" max="10" width="15.7109375" style="7" customWidth="1"/>
    <col min="11" max="11" width="14.8515625" style="7" customWidth="1"/>
    <col min="12" max="12" width="15.7109375" style="7" customWidth="1"/>
    <col min="13" max="14" width="11.421875" style="7" customWidth="1"/>
    <col min="15" max="15" width="14.140625" style="7" customWidth="1"/>
    <col min="16" max="16" width="11.421875" style="7" customWidth="1"/>
    <col min="17" max="17" width="14.7109375" style="7" customWidth="1"/>
    <col min="18" max="18" width="11.421875" style="7" customWidth="1"/>
    <col min="19" max="19" width="12.00390625" style="7" customWidth="1"/>
    <col min="20" max="16384" width="11.421875" style="7" customWidth="1"/>
  </cols>
  <sheetData>
    <row r="1" spans="2:12" s="32" customFormat="1" ht="26.25">
      <c r="B1" s="33"/>
      <c r="L1" s="347"/>
    </row>
    <row r="2" spans="2:11" s="32" customFormat="1" ht="26.25">
      <c r="B2" s="33" t="s">
        <v>239</v>
      </c>
      <c r="C2" s="34"/>
      <c r="D2" s="35"/>
      <c r="E2" s="35"/>
      <c r="F2" s="35"/>
      <c r="G2" s="35"/>
      <c r="H2" s="35"/>
      <c r="I2" s="35"/>
      <c r="J2" s="35"/>
      <c r="K2" s="35"/>
    </row>
    <row r="3" spans="3:20" ht="12.75">
      <c r="C3"/>
      <c r="D3" s="36"/>
      <c r="E3" s="36"/>
      <c r="F3" s="36"/>
      <c r="G3" s="36"/>
      <c r="H3" s="36"/>
      <c r="I3" s="36"/>
      <c r="J3" s="36"/>
      <c r="K3" s="36"/>
      <c r="Q3" s="6"/>
      <c r="R3" s="6"/>
      <c r="S3" s="6"/>
      <c r="T3" s="6"/>
    </row>
    <row r="4" spans="1:20" s="39" customFormat="1" ht="11.25">
      <c r="A4" s="37" t="s">
        <v>4</v>
      </c>
      <c r="B4" s="38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39" customFormat="1" ht="11.25">
      <c r="A5" s="37" t="s">
        <v>5</v>
      </c>
      <c r="B5" s="38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s="32" customFormat="1" ht="6" customHeight="1">
      <c r="B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2:20" s="50" customFormat="1" ht="19.5">
      <c r="B7" s="106" t="s">
        <v>0</v>
      </c>
      <c r="C7" s="162"/>
      <c r="D7" s="163"/>
      <c r="E7" s="163"/>
      <c r="F7" s="163"/>
      <c r="G7" s="55"/>
      <c r="H7" s="55"/>
      <c r="I7" s="55"/>
      <c r="J7" s="55"/>
      <c r="K7" s="55"/>
      <c r="L7" s="57"/>
      <c r="M7" s="57"/>
      <c r="N7" s="57"/>
      <c r="O7" s="57"/>
      <c r="P7" s="57"/>
      <c r="Q7" s="57"/>
      <c r="R7" s="57"/>
      <c r="S7" s="57"/>
      <c r="T7" s="57"/>
    </row>
    <row r="8" spans="10:20" ht="12.75"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50" customFormat="1" ht="19.5">
      <c r="B9" s="106" t="s">
        <v>1</v>
      </c>
      <c r="C9" s="162"/>
      <c r="D9" s="163"/>
      <c r="E9" s="163"/>
      <c r="F9" s="163"/>
      <c r="G9" s="55"/>
      <c r="H9" s="55"/>
      <c r="I9" s="55"/>
      <c r="J9" s="55"/>
      <c r="K9" s="55"/>
      <c r="L9" s="57"/>
      <c r="M9" s="57"/>
      <c r="N9" s="57"/>
      <c r="O9" s="57"/>
      <c r="P9" s="57"/>
      <c r="Q9" s="57"/>
      <c r="R9" s="57"/>
      <c r="S9" s="57"/>
      <c r="T9" s="57"/>
    </row>
    <row r="10" spans="4:20" ht="12.75">
      <c r="D10" s="45"/>
      <c r="E10" s="45"/>
      <c r="F10" s="4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50" customFormat="1" ht="19.5">
      <c r="B11" s="106" t="s">
        <v>226</v>
      </c>
      <c r="C11" s="162"/>
      <c r="D11" s="163"/>
      <c r="E11" s="163"/>
      <c r="F11" s="163"/>
      <c r="G11" s="55"/>
      <c r="H11" s="55"/>
      <c r="I11" s="55"/>
      <c r="J11" s="55"/>
      <c r="K11" s="55"/>
      <c r="L11" s="57"/>
      <c r="M11" s="460"/>
      <c r="N11" s="57"/>
      <c r="O11" s="57"/>
      <c r="P11" s="57"/>
      <c r="Q11" s="57"/>
      <c r="R11" s="57"/>
      <c r="S11" s="57"/>
      <c r="T11" s="57"/>
    </row>
    <row r="12" spans="4:20" s="46" customFormat="1" ht="16.5" thickBot="1">
      <c r="D12" s="5"/>
      <c r="E12" s="5"/>
      <c r="F12" s="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s="46" customFormat="1" ht="16.5" thickTop="1">
      <c r="B13" s="436">
        <v>2</v>
      </c>
      <c r="C13" s="435"/>
      <c r="D13" s="48"/>
      <c r="E13" s="48"/>
      <c r="F13" s="48"/>
      <c r="G13" s="48"/>
      <c r="H13" s="48"/>
      <c r="I13" s="48"/>
      <c r="J13" s="48"/>
      <c r="K13" s="49"/>
      <c r="L13" s="47"/>
      <c r="M13" s="47"/>
      <c r="N13" s="47"/>
      <c r="O13" s="47"/>
      <c r="P13" s="47"/>
      <c r="Q13" s="47"/>
      <c r="R13" s="47"/>
      <c r="S13" s="47"/>
      <c r="T13" s="47"/>
    </row>
    <row r="14" spans="2:20" s="50" customFormat="1" ht="19.5">
      <c r="B14" s="51" t="s">
        <v>162</v>
      </c>
      <c r="C14" s="52"/>
      <c r="D14" s="53"/>
      <c r="E14" s="54"/>
      <c r="F14" s="54"/>
      <c r="G14" s="54"/>
      <c r="H14" s="54"/>
      <c r="I14" s="54"/>
      <c r="J14" s="55"/>
      <c r="K14" s="56"/>
      <c r="L14" s="57"/>
      <c r="M14" s="57"/>
      <c r="N14" s="57"/>
      <c r="O14" s="57"/>
      <c r="P14" s="57"/>
      <c r="Q14" s="57"/>
      <c r="R14" s="57"/>
      <c r="S14" s="57"/>
      <c r="T14" s="57"/>
    </row>
    <row r="15" spans="2:20" s="50" customFormat="1" ht="19.5" hidden="1">
      <c r="B15" s="58"/>
      <c r="C15" s="59"/>
      <c r="D15" s="59"/>
      <c r="E15" s="57"/>
      <c r="F15" s="57"/>
      <c r="G15" s="60"/>
      <c r="H15" s="60"/>
      <c r="I15" s="60"/>
      <c r="J15" s="57"/>
      <c r="K15" s="61"/>
      <c r="L15" s="57"/>
      <c r="M15" s="57"/>
      <c r="N15" s="57"/>
      <c r="O15" s="57"/>
      <c r="P15" s="57"/>
      <c r="Q15" s="57"/>
      <c r="R15" s="57"/>
      <c r="S15" s="57"/>
      <c r="T15" s="57"/>
    </row>
    <row r="16" spans="2:20" s="50" customFormat="1" ht="19.5" hidden="1">
      <c r="B16" s="51" t="s">
        <v>6</v>
      </c>
      <c r="C16" s="160"/>
      <c r="D16" s="160"/>
      <c r="E16" s="55"/>
      <c r="F16" s="55"/>
      <c r="G16" s="54"/>
      <c r="H16" s="54"/>
      <c r="I16" s="54"/>
      <c r="J16" s="55"/>
      <c r="K16" s="56"/>
      <c r="L16"/>
      <c r="M16" s="57"/>
      <c r="N16" s="57"/>
      <c r="O16" s="57"/>
      <c r="P16" s="57"/>
      <c r="Q16" s="57"/>
      <c r="R16" s="57"/>
      <c r="S16" s="57"/>
      <c r="T16" s="57"/>
    </row>
    <row r="17" spans="2:20" s="50" customFormat="1" ht="19.5">
      <c r="B17" s="51" t="s">
        <v>227</v>
      </c>
      <c r="C17" s="160"/>
      <c r="D17" s="160"/>
      <c r="E17" s="55"/>
      <c r="F17" s="55"/>
      <c r="G17" s="54"/>
      <c r="H17" s="54"/>
      <c r="I17" s="54"/>
      <c r="J17" s="55"/>
      <c r="K17" s="56"/>
      <c r="L17"/>
      <c r="M17" s="57"/>
      <c r="N17" s="57"/>
      <c r="O17" s="57"/>
      <c r="P17" s="57"/>
      <c r="Q17" s="57"/>
      <c r="R17" s="57"/>
      <c r="S17" s="57"/>
      <c r="T17" s="57"/>
    </row>
    <row r="18" spans="2:20" s="50" customFormat="1" ht="19.5">
      <c r="B18" s="58"/>
      <c r="C18" s="59"/>
      <c r="D18" s="59"/>
      <c r="E18" s="57"/>
      <c r="F18" s="57"/>
      <c r="G18" s="60"/>
      <c r="H18" s="60"/>
      <c r="I18" s="60"/>
      <c r="J18" s="57"/>
      <c r="K18" s="61"/>
      <c r="L18"/>
      <c r="M18" s="57"/>
      <c r="N18" s="57"/>
      <c r="O18" s="57"/>
      <c r="P18" s="57"/>
      <c r="Q18" s="57"/>
      <c r="R18" s="57"/>
      <c r="S18" s="57"/>
      <c r="T18" s="57"/>
    </row>
    <row r="19" spans="2:20" s="50" customFormat="1" ht="19.5">
      <c r="B19" s="58"/>
      <c r="C19" s="62" t="s">
        <v>7</v>
      </c>
      <c r="D19" s="63" t="s">
        <v>3</v>
      </c>
      <c r="E19" s="57"/>
      <c r="F19" s="57"/>
      <c r="G19" s="60"/>
      <c r="H19" s="60"/>
      <c r="I19" s="60"/>
      <c r="J19" s="64"/>
      <c r="K19" s="61"/>
      <c r="L19" s="57"/>
      <c r="M19" s="57"/>
      <c r="N19" s="57"/>
      <c r="O19" s="57"/>
      <c r="P19" s="57"/>
      <c r="Q19" s="57"/>
      <c r="R19" s="57"/>
      <c r="S19" s="57"/>
      <c r="T19" s="57"/>
    </row>
    <row r="20" spans="2:20" s="50" customFormat="1" ht="19.5">
      <c r="B20" s="58"/>
      <c r="C20" s="62"/>
      <c r="D20" s="62" t="s">
        <v>8</v>
      </c>
      <c r="E20" s="71" t="s">
        <v>9</v>
      </c>
      <c r="F20" s="71"/>
      <c r="G20" s="60"/>
      <c r="H20" s="60"/>
      <c r="I20" s="60"/>
      <c r="J20" s="64">
        <f>'LI-03 (3)'!AA42</f>
        <v>342532.48</v>
      </c>
      <c r="K20" s="61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50" customFormat="1" ht="19.5">
      <c r="B21" s="58"/>
      <c r="C21" s="62"/>
      <c r="D21" s="62" t="s">
        <v>157</v>
      </c>
      <c r="E21" s="71" t="s">
        <v>220</v>
      </c>
      <c r="F21" s="71"/>
      <c r="G21" s="60"/>
      <c r="H21" s="60"/>
      <c r="I21" s="60"/>
      <c r="J21" s="64">
        <f>'LI-RIOJA-03 (1)'!AA42</f>
        <v>4147.35</v>
      </c>
      <c r="K21" s="61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7.5" customHeight="1">
      <c r="B22" s="65"/>
      <c r="C22" s="66"/>
      <c r="D22" s="67"/>
      <c r="E22" s="6"/>
      <c r="F22" s="6"/>
      <c r="G22" s="68"/>
      <c r="H22" s="68"/>
      <c r="I22" s="68"/>
      <c r="J22" s="69"/>
      <c r="K22" s="8"/>
      <c r="L22" s="6"/>
      <c r="M22" s="6"/>
      <c r="N22" s="6"/>
      <c r="O22" s="6"/>
      <c r="P22" s="6"/>
      <c r="Q22" s="6"/>
      <c r="R22" s="6"/>
      <c r="S22" s="6"/>
      <c r="T22" s="6"/>
    </row>
    <row r="23" spans="2:20" s="50" customFormat="1" ht="19.5">
      <c r="B23" s="58"/>
      <c r="C23" s="62" t="s">
        <v>10</v>
      </c>
      <c r="D23" s="63" t="s">
        <v>11</v>
      </c>
      <c r="E23" s="57"/>
      <c r="F23" s="57"/>
      <c r="G23" s="60"/>
      <c r="H23" s="60"/>
      <c r="I23" s="60"/>
      <c r="J23" s="64"/>
      <c r="K23" s="61"/>
      <c r="L23" s="57"/>
      <c r="M23" s="57"/>
      <c r="N23" s="57"/>
      <c r="O23" s="57"/>
      <c r="P23" s="57"/>
      <c r="Q23" s="57"/>
      <c r="R23" s="57"/>
      <c r="S23" s="57"/>
      <c r="T23" s="57"/>
    </row>
    <row r="24" spans="2:20" s="50" customFormat="1" ht="19.5">
      <c r="B24" s="58"/>
      <c r="C24" s="62"/>
      <c r="D24" s="62" t="s">
        <v>12</v>
      </c>
      <c r="E24" s="71" t="s">
        <v>13</v>
      </c>
      <c r="F24" s="71"/>
      <c r="G24" s="60"/>
      <c r="H24" s="60"/>
      <c r="I24" s="60"/>
      <c r="J24" s="64"/>
      <c r="K24" s="61"/>
      <c r="L24" s="57"/>
      <c r="M24" s="57"/>
      <c r="N24" s="57"/>
      <c r="O24" s="57"/>
      <c r="P24" s="57"/>
      <c r="Q24" s="57"/>
      <c r="R24" s="57"/>
      <c r="S24" s="57"/>
      <c r="T24" s="57"/>
    </row>
    <row r="25" spans="2:20" s="50" customFormat="1" ht="19.5">
      <c r="B25" s="58"/>
      <c r="C25" s="62"/>
      <c r="D25"/>
      <c r="E25" s="62" t="s">
        <v>14</v>
      </c>
      <c r="F25" s="71" t="s">
        <v>9</v>
      </c>
      <c r="G25"/>
      <c r="H25" s="60"/>
      <c r="I25" s="60"/>
      <c r="J25" s="64">
        <f>'T-03 (3)'!AC45</f>
        <v>148534.1</v>
      </c>
      <c r="K25" s="61"/>
      <c r="L25" s="57"/>
      <c r="M25" s="57"/>
      <c r="N25" s="57"/>
      <c r="O25" s="57"/>
      <c r="P25" s="57"/>
      <c r="Q25" s="57"/>
      <c r="R25" s="57"/>
      <c r="S25" s="57"/>
      <c r="T25" s="57"/>
    </row>
    <row r="26" spans="2:20" ht="8.25" customHeight="1">
      <c r="B26" s="65"/>
      <c r="C26" s="66"/>
      <c r="D26" s="66"/>
      <c r="E26" s="6"/>
      <c r="F26" s="6"/>
      <c r="G26" s="68"/>
      <c r="H26" s="68"/>
      <c r="I26" s="68"/>
      <c r="J26" s="70"/>
      <c r="K26" s="8"/>
      <c r="L26" s="6"/>
      <c r="M26" s="6"/>
      <c r="N26" s="6"/>
      <c r="O26" s="6"/>
      <c r="P26" s="6"/>
      <c r="Q26" s="6"/>
      <c r="R26" s="6"/>
      <c r="S26" s="6"/>
      <c r="T26" s="6"/>
    </row>
    <row r="27" spans="2:20" s="50" customFormat="1" ht="9" customHeight="1">
      <c r="B27" s="58"/>
      <c r="C27" s="59"/>
      <c r="D27" s="59"/>
      <c r="E27" s="71"/>
      <c r="F27" s="71"/>
      <c r="G27" s="60"/>
      <c r="H27" s="60"/>
      <c r="I27" s="60"/>
      <c r="J27" s="64"/>
      <c r="K27" s="61"/>
      <c r="L27" s="57"/>
      <c r="M27" s="57"/>
      <c r="N27" s="57"/>
      <c r="O27" s="57"/>
      <c r="P27" s="57"/>
      <c r="Q27" s="57"/>
      <c r="R27" s="57"/>
      <c r="S27" s="57"/>
      <c r="T27" s="57"/>
    </row>
    <row r="28" spans="2:20" s="50" customFormat="1" ht="19.5">
      <c r="B28" s="58"/>
      <c r="C28" s="62" t="s">
        <v>161</v>
      </c>
      <c r="D28" s="63" t="s">
        <v>221</v>
      </c>
      <c r="E28" s="57"/>
      <c r="F28" s="57"/>
      <c r="G28" s="60"/>
      <c r="H28" s="60"/>
      <c r="I28" s="60"/>
      <c r="J28" s="64">
        <f>'SUP-RIOJA'!I44</f>
        <v>518.41845</v>
      </c>
      <c r="K28" s="61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50" customFormat="1" ht="19.5">
      <c r="B29" s="58"/>
      <c r="C29" s="62"/>
      <c r="D29" s="62"/>
      <c r="E29" s="71"/>
      <c r="F29" s="71"/>
      <c r="G29" s="60"/>
      <c r="H29" s="60"/>
      <c r="I29" s="60"/>
      <c r="J29" s="64"/>
      <c r="K29" s="61"/>
      <c r="L29" s="57"/>
      <c r="M29" s="57"/>
      <c r="N29" s="57"/>
      <c r="O29" s="57"/>
      <c r="P29" s="57"/>
      <c r="Q29" s="57"/>
      <c r="R29" s="57"/>
      <c r="S29" s="57"/>
      <c r="T29" s="57"/>
    </row>
    <row r="30" spans="2:20" s="50" customFormat="1" ht="20.25" thickBot="1">
      <c r="B30" s="58"/>
      <c r="C30" s="59"/>
      <c r="D30" s="59"/>
      <c r="E30" s="57"/>
      <c r="F30" s="57"/>
      <c r="G30" s="60"/>
      <c r="H30" s="60"/>
      <c r="I30" s="60"/>
      <c r="J30" s="57"/>
      <c r="K30" s="61"/>
      <c r="L30" s="57"/>
      <c r="M30" s="57"/>
      <c r="N30" s="57"/>
      <c r="O30" s="57"/>
      <c r="P30" s="57"/>
      <c r="Q30" s="57"/>
      <c r="R30" s="57"/>
      <c r="S30" s="57"/>
      <c r="T30" s="57"/>
    </row>
    <row r="31" spans="2:20" s="50" customFormat="1" ht="20.25" thickBot="1" thickTop="1">
      <c r="B31" s="58"/>
      <c r="C31" s="62"/>
      <c r="D31" s="62"/>
      <c r="G31" s="72" t="s">
        <v>15</v>
      </c>
      <c r="H31" s="73">
        <f>SUM(J19:J29)</f>
        <v>495732.34844999993</v>
      </c>
      <c r="I31" s="161"/>
      <c r="K31" s="61"/>
      <c r="L31" s="57"/>
      <c r="M31" s="57"/>
      <c r="N31" s="57"/>
      <c r="O31" s="57"/>
      <c r="P31" s="57"/>
      <c r="Q31" s="57"/>
      <c r="R31" s="57"/>
      <c r="S31" s="57"/>
      <c r="T31" s="57"/>
    </row>
    <row r="32" spans="2:20" s="50" customFormat="1" ht="13.5" customHeight="1" thickTop="1">
      <c r="B32" s="58"/>
      <c r="C32" s="62"/>
      <c r="D32" s="62"/>
      <c r="G32" s="424"/>
      <c r="H32" s="161"/>
      <c r="I32" s="161"/>
      <c r="K32" s="61"/>
      <c r="L32" s="57"/>
      <c r="M32" s="57"/>
      <c r="N32" s="57"/>
      <c r="O32" s="57"/>
      <c r="P32" s="57"/>
      <c r="Q32" s="57"/>
      <c r="R32" s="57"/>
      <c r="S32" s="57"/>
      <c r="T32" s="57"/>
    </row>
    <row r="33" spans="2:20" s="50" customFormat="1" ht="15.75" customHeight="1">
      <c r="B33" s="58"/>
      <c r="C33" s="425" t="s">
        <v>225</v>
      </c>
      <c r="D33" s="62"/>
      <c r="G33" s="424"/>
      <c r="H33" s="161"/>
      <c r="I33" s="161"/>
      <c r="K33" s="61"/>
      <c r="L33" s="57"/>
      <c r="M33" s="57"/>
      <c r="N33" s="57"/>
      <c r="O33" s="57"/>
      <c r="P33" s="57"/>
      <c r="Q33" s="57"/>
      <c r="R33" s="57"/>
      <c r="S33" s="57"/>
      <c r="T33" s="57"/>
    </row>
    <row r="34" spans="2:20" s="46" customFormat="1" ht="12.75" customHeight="1" thickBot="1">
      <c r="B34" s="74"/>
      <c r="C34" s="75"/>
      <c r="D34" s="75"/>
      <c r="E34" s="76"/>
      <c r="F34" s="76"/>
      <c r="G34" s="76"/>
      <c r="H34" s="76"/>
      <c r="I34" s="76"/>
      <c r="J34" s="76"/>
      <c r="K34" s="77"/>
      <c r="L34" s="47"/>
      <c r="M34" s="47"/>
      <c r="N34" s="78"/>
      <c r="O34" s="79"/>
      <c r="P34" s="79"/>
      <c r="Q34" s="80"/>
      <c r="R34" s="81"/>
      <c r="S34" s="47"/>
      <c r="T34" s="47"/>
    </row>
    <row r="35" spans="4:20" ht="13.5" thickTop="1">
      <c r="D35" s="6"/>
      <c r="G35" s="6"/>
      <c r="H35" s="6"/>
      <c r="I35" s="6"/>
      <c r="J35" s="6"/>
      <c r="K35" s="6"/>
      <c r="L35" s="6"/>
      <c r="M35" s="6"/>
      <c r="N35" s="26"/>
      <c r="O35" s="82"/>
      <c r="P35" s="82"/>
      <c r="Q35" s="6"/>
      <c r="R35" s="83"/>
      <c r="S35" s="6"/>
      <c r="T35" s="6"/>
    </row>
    <row r="36" spans="4:20" ht="12.75">
      <c r="D36" s="6"/>
      <c r="G36" s="6"/>
      <c r="H36" s="6"/>
      <c r="I36" s="6"/>
      <c r="J36" s="6"/>
      <c r="K36" s="6"/>
      <c r="L36" s="6"/>
      <c r="M36" s="6"/>
      <c r="N36" s="6"/>
      <c r="O36" s="84"/>
      <c r="P36" s="84"/>
      <c r="Q36" s="85"/>
      <c r="R36" s="83"/>
      <c r="S36" s="6"/>
      <c r="T36" s="6"/>
    </row>
    <row r="37" spans="4:20" ht="12.7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84"/>
      <c r="P37" s="84"/>
      <c r="Q37" s="85"/>
      <c r="R37" s="83"/>
      <c r="S37" s="6"/>
      <c r="T37" s="6"/>
    </row>
    <row r="38" spans="4:20" ht="12.75">
      <c r="D38" s="6"/>
      <c r="E38" s="6"/>
      <c r="F38" s="6"/>
      <c r="M38" s="6"/>
      <c r="N38" s="6"/>
      <c r="O38" s="6"/>
      <c r="P38" s="6"/>
      <c r="Q38" s="6"/>
      <c r="R38" s="6"/>
      <c r="S38" s="6"/>
      <c r="T38" s="6"/>
    </row>
    <row r="39" spans="4:20" ht="12.75">
      <c r="D39" s="6"/>
      <c r="E39" s="6"/>
      <c r="F39" s="6"/>
      <c r="Q39" s="6"/>
      <c r="R39" s="6"/>
      <c r="S39" s="6"/>
      <c r="T39" s="6"/>
    </row>
    <row r="40" spans="4:20" ht="12.75">
      <c r="D40" s="6"/>
      <c r="E40" s="6"/>
      <c r="F40" s="6"/>
      <c r="Q40" s="6"/>
      <c r="R40" s="6"/>
      <c r="S40" s="6"/>
      <c r="T40" s="6"/>
    </row>
    <row r="41" spans="4:20" ht="12.75">
      <c r="D41" s="6"/>
      <c r="E41" s="6"/>
      <c r="F41" s="6"/>
      <c r="Q41" s="6"/>
      <c r="R41" s="6"/>
      <c r="S41" s="6"/>
      <c r="T41" s="6"/>
    </row>
    <row r="42" spans="4:20" ht="12.75">
      <c r="D42" s="6"/>
      <c r="E42" s="6"/>
      <c r="F42" s="6"/>
      <c r="Q42" s="6"/>
      <c r="R42" s="6"/>
      <c r="S42" s="6"/>
      <c r="T42" s="6"/>
    </row>
    <row r="43" spans="4:20" ht="12.75">
      <c r="D43" s="6"/>
      <c r="E43" s="6"/>
      <c r="F43" s="6"/>
      <c r="Q43" s="6"/>
      <c r="R43" s="6"/>
      <c r="S43" s="6"/>
      <c r="T43" s="6"/>
    </row>
    <row r="44" spans="17:20" ht="12.75">
      <c r="Q44" s="6"/>
      <c r="R44" s="6"/>
      <c r="S44" s="6"/>
      <c r="T44" s="6"/>
    </row>
    <row r="45" spans="17:20" ht="12.75">
      <c r="Q45" s="6"/>
      <c r="R45" s="6"/>
      <c r="S45" s="6"/>
      <c r="T45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25"/>
  <sheetViews>
    <sheetView zoomScale="85" zoomScaleNormal="8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8" sqref="B18"/>
    </sheetView>
  </sheetViews>
  <sheetFormatPr defaultColWidth="11.421875" defaultRowHeight="12.75"/>
  <cols>
    <col min="1" max="1" width="21.7109375" style="86" customWidth="1"/>
    <col min="2" max="2" width="9.28125" style="86" customWidth="1"/>
    <col min="3" max="3" width="11.8515625" style="86" bestFit="1" customWidth="1"/>
    <col min="4" max="4" width="9.57421875" style="86" bestFit="1" customWidth="1"/>
    <col min="5" max="5" width="14.8515625" style="86" bestFit="1" customWidth="1"/>
    <col min="6" max="6" width="64.00390625" style="86" bestFit="1" customWidth="1"/>
    <col min="7" max="16384" width="11.421875" style="86" customWidth="1"/>
  </cols>
  <sheetData>
    <row r="1" spans="1:4" ht="12.75">
      <c r="A1" s="426" t="s">
        <v>91</v>
      </c>
      <c r="B1" s="426" t="s">
        <v>91</v>
      </c>
      <c r="C1" s="426" t="s">
        <v>92</v>
      </c>
      <c r="D1" s="426" t="s">
        <v>93</v>
      </c>
    </row>
    <row r="2" spans="1:4" ht="12.75">
      <c r="A2" s="427" t="s">
        <v>79</v>
      </c>
      <c r="B2" s="428" t="s">
        <v>94</v>
      </c>
      <c r="C2" s="427">
        <v>31</v>
      </c>
      <c r="D2" s="427">
        <v>2006</v>
      </c>
    </row>
    <row r="3" spans="1:4" ht="12.75">
      <c r="A3" s="427" t="s">
        <v>80</v>
      </c>
      <c r="B3" s="428" t="s">
        <v>95</v>
      </c>
      <c r="C3" s="427">
        <f>IF(MOD(E14,4)=0,29,28)</f>
        <v>28</v>
      </c>
      <c r="D3" s="427">
        <f>+D2+1</f>
        <v>2007</v>
      </c>
    </row>
    <row r="4" spans="1:4" ht="12.75">
      <c r="A4" s="427" t="s">
        <v>81</v>
      </c>
      <c r="B4" s="428" t="s">
        <v>96</v>
      </c>
      <c r="C4" s="427">
        <v>31</v>
      </c>
      <c r="D4" s="427">
        <v>2008</v>
      </c>
    </row>
    <row r="5" spans="1:4" ht="12.75">
      <c r="A5" s="427" t="s">
        <v>82</v>
      </c>
      <c r="B5" s="428" t="s">
        <v>97</v>
      </c>
      <c r="C5" s="427">
        <v>30</v>
      </c>
      <c r="D5" s="427">
        <v>2009</v>
      </c>
    </row>
    <row r="6" spans="1:4" ht="12.75">
      <c r="A6" s="427" t="s">
        <v>83</v>
      </c>
      <c r="B6" s="428" t="s">
        <v>98</v>
      </c>
      <c r="C6" s="427">
        <v>31</v>
      </c>
      <c r="D6" s="427">
        <v>2010</v>
      </c>
    </row>
    <row r="7" spans="1:4" ht="12.75">
      <c r="A7" s="427" t="s">
        <v>84</v>
      </c>
      <c r="B7" s="428" t="s">
        <v>99</v>
      </c>
      <c r="C7" s="427">
        <v>30</v>
      </c>
      <c r="D7" s="427">
        <v>2011</v>
      </c>
    </row>
    <row r="8" spans="1:4" ht="12.75">
      <c r="A8" s="427" t="s">
        <v>85</v>
      </c>
      <c r="B8" s="428" t="s">
        <v>100</v>
      </c>
      <c r="C8" s="427">
        <v>31</v>
      </c>
      <c r="D8" s="427">
        <v>2012</v>
      </c>
    </row>
    <row r="9" spans="1:4" ht="12.75">
      <c r="A9" s="427" t="s">
        <v>86</v>
      </c>
      <c r="B9" s="428" t="s">
        <v>101</v>
      </c>
      <c r="C9" s="427">
        <v>31</v>
      </c>
      <c r="D9" s="427">
        <v>2013</v>
      </c>
    </row>
    <row r="10" spans="1:4" ht="12.75">
      <c r="A10" s="427" t="s">
        <v>87</v>
      </c>
      <c r="B10" s="428" t="s">
        <v>102</v>
      </c>
      <c r="C10" s="427">
        <v>30</v>
      </c>
      <c r="D10" s="427">
        <v>2014</v>
      </c>
    </row>
    <row r="11" spans="1:4" ht="12.75">
      <c r="A11" s="427" t="s">
        <v>88</v>
      </c>
      <c r="B11" s="428" t="s">
        <v>103</v>
      </c>
      <c r="C11" s="427">
        <v>31</v>
      </c>
      <c r="D11" s="427"/>
    </row>
    <row r="12" spans="1:4" ht="12.75">
      <c r="A12" s="427" t="s">
        <v>89</v>
      </c>
      <c r="B12" s="428" t="s">
        <v>104</v>
      </c>
      <c r="C12" s="427">
        <v>30</v>
      </c>
      <c r="D12" s="427"/>
    </row>
    <row r="13" spans="1:9" ht="12.75">
      <c r="A13" s="427" t="s">
        <v>90</v>
      </c>
      <c r="B13" s="428" t="s">
        <v>105</v>
      </c>
      <c r="C13" s="427">
        <v>31</v>
      </c>
      <c r="D13" s="427"/>
      <c r="I13" s="443" t="s">
        <v>147</v>
      </c>
    </row>
    <row r="14" spans="1:9" ht="12.75">
      <c r="A14" s="429">
        <v>9</v>
      </c>
      <c r="B14" s="430">
        <v>3</v>
      </c>
      <c r="C14" s="429" t="str">
        <f ca="1">CELL("CONTENIDO",OFFSET(A1,B14,0))</f>
        <v>marzo</v>
      </c>
      <c r="D14" s="429">
        <f ca="1">CELL("CONTENIDO",OFFSET(C1,B14,0))</f>
        <v>31</v>
      </c>
      <c r="E14" s="429">
        <f ca="1">CELL("CONTENIDO",OFFSET(D1,A14,0))</f>
        <v>2014</v>
      </c>
      <c r="F14" s="429" t="str">
        <f>"Desde el 01 al "&amp;D14&amp;" de "&amp;C14&amp;" de "&amp;E14</f>
        <v>Desde el 01 al 31 de marzo de 2014</v>
      </c>
      <c r="G14" s="429" t="str">
        <f ca="1">CELL("CONTENIDO",OFFSET(B1,B14,0))</f>
        <v>03</v>
      </c>
      <c r="H14" s="429" t="str">
        <f>RIGHT(E14,2)</f>
        <v>14</v>
      </c>
      <c r="I14" s="444" t="s">
        <v>148</v>
      </c>
    </row>
    <row r="15" spans="1:8" ht="12.75">
      <c r="A15" s="429"/>
      <c r="B15" s="431" t="str">
        <f>"\\rugor\files\Transporte\Transporte\AA PROCESO AUT ARCHIVOS J\TRANSNOA\"&amp;E14</f>
        <v>\\rugor\files\Transporte\Transporte\AA PROCESO AUT ARCHIVOS J\TRANSNOA\2014</v>
      </c>
      <c r="C15" s="429"/>
      <c r="D15" s="429"/>
      <c r="E15" s="429"/>
      <c r="F15" s="429"/>
      <c r="G15" s="429" t="str">
        <f>"J"&amp;G14&amp;H14&amp;"NOA"</f>
        <v>J0314NOA</v>
      </c>
      <c r="H15" s="429"/>
    </row>
    <row r="16" spans="1:8" ht="12.75">
      <c r="A16" s="429"/>
      <c r="B16" s="431" t="str">
        <f>"\\rugor\files\Transporte\transporte\AA PROCESO AUT\INTERCAMBIO\"&amp;H14&amp;G14</f>
        <v>\\rugor\files\Transporte\transporte\AA PROCESO AUT\INTERCAMBIO\1403</v>
      </c>
      <c r="C16" s="429"/>
      <c r="D16" s="429"/>
      <c r="E16" s="429"/>
      <c r="F16" s="429"/>
      <c r="G16" s="429"/>
      <c r="H16" s="429"/>
    </row>
    <row r="17" spans="1:29" s="439" customFormat="1" ht="12.75">
      <c r="A17" s="426" t="s">
        <v>106</v>
      </c>
      <c r="B17" s="426" t="s">
        <v>107</v>
      </c>
      <c r="C17" s="426" t="s">
        <v>108</v>
      </c>
      <c r="D17" s="426" t="s">
        <v>109</v>
      </c>
      <c r="E17" s="426" t="s">
        <v>110</v>
      </c>
      <c r="F17" s="426" t="s">
        <v>111</v>
      </c>
      <c r="G17" s="426" t="s">
        <v>112</v>
      </c>
      <c r="H17" s="426" t="s">
        <v>113</v>
      </c>
      <c r="I17" s="426" t="s">
        <v>114</v>
      </c>
      <c r="J17" s="426" t="s">
        <v>115</v>
      </c>
      <c r="K17" s="426" t="s">
        <v>116</v>
      </c>
      <c r="L17" s="426" t="s">
        <v>117</v>
      </c>
      <c r="M17" s="426" t="s">
        <v>118</v>
      </c>
      <c r="N17" s="426" t="s">
        <v>119</v>
      </c>
      <c r="O17" s="426" t="s">
        <v>120</v>
      </c>
      <c r="P17" s="426" t="s">
        <v>121</v>
      </c>
      <c r="Q17" s="426" t="s">
        <v>122</v>
      </c>
      <c r="R17" s="426" t="s">
        <v>123</v>
      </c>
      <c r="S17" s="426" t="s">
        <v>124</v>
      </c>
      <c r="T17" s="426" t="s">
        <v>125</v>
      </c>
      <c r="U17" s="426" t="s">
        <v>126</v>
      </c>
      <c r="V17" s="426" t="s">
        <v>127</v>
      </c>
      <c r="W17" s="426" t="s">
        <v>137</v>
      </c>
      <c r="X17" s="426" t="s">
        <v>138</v>
      </c>
      <c r="Y17" s="426" t="s">
        <v>139</v>
      </c>
      <c r="Z17" s="426" t="s">
        <v>140</v>
      </c>
      <c r="AA17" s="426" t="s">
        <v>141</v>
      </c>
      <c r="AB17" s="426" t="s">
        <v>142</v>
      </c>
      <c r="AC17" s="426" t="s">
        <v>136</v>
      </c>
    </row>
    <row r="18" spans="1:29" ht="12.75">
      <c r="A18" s="432" t="s">
        <v>128</v>
      </c>
      <c r="B18" s="432">
        <v>21</v>
      </c>
      <c r="C18" s="432">
        <v>20</v>
      </c>
      <c r="D18" s="432">
        <v>11</v>
      </c>
      <c r="E18" s="432" t="str">
        <f>"LI-"&amp;$G$14</f>
        <v>LI-03</v>
      </c>
      <c r="F18" s="432" t="s">
        <v>149</v>
      </c>
      <c r="G18" s="432">
        <v>3</v>
      </c>
      <c r="H18" s="433">
        <v>5</v>
      </c>
      <c r="I18" s="433">
        <v>4</v>
      </c>
      <c r="J18" s="432">
        <v>6</v>
      </c>
      <c r="K18" s="432">
        <v>7</v>
      </c>
      <c r="L18" s="432">
        <v>8</v>
      </c>
      <c r="M18" s="432">
        <v>0</v>
      </c>
      <c r="N18" s="432">
        <v>10</v>
      </c>
      <c r="O18" s="432">
        <v>11</v>
      </c>
      <c r="P18" s="432">
        <v>14</v>
      </c>
      <c r="Q18" s="432">
        <v>0</v>
      </c>
      <c r="R18" s="432">
        <v>26</v>
      </c>
      <c r="S18" s="432">
        <v>0</v>
      </c>
      <c r="T18" s="432">
        <v>0</v>
      </c>
      <c r="U18" s="432">
        <v>0</v>
      </c>
      <c r="V18" s="432">
        <v>0</v>
      </c>
      <c r="W18" s="432">
        <v>19</v>
      </c>
      <c r="X18" s="432">
        <v>10</v>
      </c>
      <c r="Y18" s="432">
        <v>42</v>
      </c>
      <c r="Z18" s="432">
        <v>27</v>
      </c>
      <c r="AA18" s="432">
        <v>19</v>
      </c>
      <c r="AB18" s="432">
        <v>27</v>
      </c>
      <c r="AC18" s="432">
        <v>14</v>
      </c>
    </row>
    <row r="19" spans="1:29" ht="12.75">
      <c r="A19" s="434" t="s">
        <v>129</v>
      </c>
      <c r="B19" s="434">
        <v>24</v>
      </c>
      <c r="C19" s="434">
        <v>20</v>
      </c>
      <c r="D19" s="434">
        <v>13</v>
      </c>
      <c r="E19" s="434" t="str">
        <f>"T-"&amp;$G$14</f>
        <v>T-03</v>
      </c>
      <c r="F19" s="434" t="s">
        <v>150</v>
      </c>
      <c r="G19" s="432">
        <v>3</v>
      </c>
      <c r="H19" s="433">
        <v>5</v>
      </c>
      <c r="I19" s="433">
        <v>4</v>
      </c>
      <c r="J19" s="434">
        <v>6</v>
      </c>
      <c r="K19" s="434">
        <v>7</v>
      </c>
      <c r="L19" s="434">
        <v>8</v>
      </c>
      <c r="M19" s="434">
        <v>9</v>
      </c>
      <c r="N19" s="434">
        <v>11</v>
      </c>
      <c r="O19" s="434">
        <v>12</v>
      </c>
      <c r="P19" s="434">
        <v>15</v>
      </c>
      <c r="Q19" s="434">
        <v>16</v>
      </c>
      <c r="R19" s="434">
        <v>18</v>
      </c>
      <c r="S19" s="434">
        <v>28</v>
      </c>
      <c r="T19" s="434">
        <v>17</v>
      </c>
      <c r="U19" s="434">
        <v>0</v>
      </c>
      <c r="V19" s="434">
        <v>0</v>
      </c>
      <c r="W19" s="434">
        <v>25</v>
      </c>
      <c r="X19" s="432">
        <v>10</v>
      </c>
      <c r="Y19" s="434">
        <v>45</v>
      </c>
      <c r="Z19" s="434">
        <v>29</v>
      </c>
      <c r="AA19" s="434">
        <v>22</v>
      </c>
      <c r="AB19" s="434">
        <v>29</v>
      </c>
      <c r="AC19" s="434">
        <v>15</v>
      </c>
    </row>
    <row r="20" spans="1:29" ht="12.75">
      <c r="A20" s="432" t="s">
        <v>130</v>
      </c>
      <c r="B20" s="432">
        <v>23</v>
      </c>
      <c r="C20" s="432">
        <v>20</v>
      </c>
      <c r="D20" s="432">
        <v>10</v>
      </c>
      <c r="E20" s="432" t="str">
        <f>"SA-"&amp;$G$14</f>
        <v>SA-03</v>
      </c>
      <c r="F20" s="432" t="s">
        <v>151</v>
      </c>
      <c r="G20" s="432">
        <v>3</v>
      </c>
      <c r="H20" s="433">
        <v>5</v>
      </c>
      <c r="I20" s="433">
        <v>4</v>
      </c>
      <c r="J20" s="432">
        <v>6</v>
      </c>
      <c r="K20" s="432">
        <v>7</v>
      </c>
      <c r="L20" s="432">
        <v>8</v>
      </c>
      <c r="M20" s="432">
        <v>10</v>
      </c>
      <c r="N20" s="432">
        <v>11</v>
      </c>
      <c r="O20" s="432">
        <v>14</v>
      </c>
      <c r="P20" s="432">
        <v>15</v>
      </c>
      <c r="Q20" s="432">
        <v>21</v>
      </c>
      <c r="R20" s="432">
        <v>0</v>
      </c>
      <c r="S20" s="432">
        <v>0</v>
      </c>
      <c r="T20" s="432">
        <v>0</v>
      </c>
      <c r="U20" s="432">
        <v>0</v>
      </c>
      <c r="V20" s="432">
        <v>0</v>
      </c>
      <c r="W20" s="432">
        <v>29</v>
      </c>
      <c r="X20" s="432">
        <v>10</v>
      </c>
      <c r="Y20" s="432">
        <v>44</v>
      </c>
      <c r="Z20" s="432">
        <v>22</v>
      </c>
      <c r="AA20" s="432">
        <v>21</v>
      </c>
      <c r="AB20" s="432">
        <v>22</v>
      </c>
      <c r="AC20" s="432">
        <v>14</v>
      </c>
    </row>
    <row r="21" spans="1:29" ht="12.75">
      <c r="A21" s="432" t="s">
        <v>155</v>
      </c>
      <c r="B21" s="432">
        <v>21</v>
      </c>
      <c r="C21" s="432">
        <v>20</v>
      </c>
      <c r="D21" s="432">
        <v>11</v>
      </c>
      <c r="E21" s="432" t="str">
        <f>"LI-RIOJA-"&amp;$G$14</f>
        <v>LI-RIOJA-03</v>
      </c>
      <c r="F21" s="432" t="s">
        <v>156</v>
      </c>
      <c r="G21" s="432">
        <v>3</v>
      </c>
      <c r="H21" s="433">
        <v>5</v>
      </c>
      <c r="I21" s="433">
        <v>4</v>
      </c>
      <c r="J21" s="432">
        <v>6</v>
      </c>
      <c r="K21" s="432">
        <v>7</v>
      </c>
      <c r="L21" s="432">
        <v>8</v>
      </c>
      <c r="M21" s="432">
        <v>0</v>
      </c>
      <c r="N21" s="432">
        <v>10</v>
      </c>
      <c r="O21" s="432">
        <v>11</v>
      </c>
      <c r="P21" s="432">
        <v>14</v>
      </c>
      <c r="Q21" s="432">
        <v>2</v>
      </c>
      <c r="R21" s="432">
        <v>26</v>
      </c>
      <c r="S21" s="432">
        <v>0</v>
      </c>
      <c r="T21" s="432">
        <v>0</v>
      </c>
      <c r="U21" s="432">
        <v>0</v>
      </c>
      <c r="V21" s="432">
        <v>0</v>
      </c>
      <c r="W21" s="432">
        <v>21</v>
      </c>
      <c r="X21" s="432">
        <v>10</v>
      </c>
      <c r="Y21" s="432">
        <v>42</v>
      </c>
      <c r="Z21" s="432">
        <v>27</v>
      </c>
      <c r="AA21" s="432">
        <v>19</v>
      </c>
      <c r="AB21" s="432">
        <v>27</v>
      </c>
      <c r="AC21" s="432">
        <v>14</v>
      </c>
    </row>
    <row r="22" spans="1:29" ht="12.75">
      <c r="A22" s="432" t="s">
        <v>131</v>
      </c>
      <c r="B22" s="432">
        <v>21</v>
      </c>
      <c r="C22" s="432">
        <v>20</v>
      </c>
      <c r="D22" s="432">
        <v>11</v>
      </c>
      <c r="E22" s="432" t="str">
        <f>"LI-EDESA-"&amp;$G$14</f>
        <v>LI-EDESA-03</v>
      </c>
      <c r="F22" s="432" t="s">
        <v>152</v>
      </c>
      <c r="G22" s="432">
        <v>3</v>
      </c>
      <c r="H22" s="433">
        <v>5</v>
      </c>
      <c r="I22" s="433">
        <v>4</v>
      </c>
      <c r="J22" s="432">
        <v>6</v>
      </c>
      <c r="K22" s="432">
        <v>7</v>
      </c>
      <c r="L22" s="432">
        <v>8</v>
      </c>
      <c r="M22" s="432">
        <v>0</v>
      </c>
      <c r="N22" s="432">
        <v>10</v>
      </c>
      <c r="O22" s="432">
        <v>11</v>
      </c>
      <c r="P22" s="432">
        <v>14</v>
      </c>
      <c r="Q22" s="432">
        <v>2</v>
      </c>
      <c r="R22" s="432">
        <v>26</v>
      </c>
      <c r="S22" s="432">
        <v>0</v>
      </c>
      <c r="T22" s="432">
        <v>0</v>
      </c>
      <c r="U22" s="432">
        <v>0</v>
      </c>
      <c r="V22" s="432">
        <v>0</v>
      </c>
      <c r="W22" s="432">
        <v>20</v>
      </c>
      <c r="X22" s="432">
        <v>10</v>
      </c>
      <c r="Y22" s="432">
        <v>42</v>
      </c>
      <c r="Z22" s="432">
        <v>27</v>
      </c>
      <c r="AA22" s="432">
        <v>19</v>
      </c>
      <c r="AB22" s="432">
        <v>27</v>
      </c>
      <c r="AC22" s="432">
        <v>14</v>
      </c>
    </row>
    <row r="23" spans="1:29" ht="12.75">
      <c r="A23" s="432" t="s">
        <v>132</v>
      </c>
      <c r="B23" s="432">
        <v>24</v>
      </c>
      <c r="C23" s="432">
        <v>20</v>
      </c>
      <c r="D23" s="434">
        <v>13</v>
      </c>
      <c r="E23" s="432" t="str">
        <f>"T-EDESA-"&amp;$G$14</f>
        <v>T-EDESA-03</v>
      </c>
      <c r="F23" s="432" t="s">
        <v>153</v>
      </c>
      <c r="G23" s="432">
        <v>3</v>
      </c>
      <c r="H23" s="433">
        <v>5</v>
      </c>
      <c r="I23" s="433">
        <v>4</v>
      </c>
      <c r="J23" s="434">
        <v>6</v>
      </c>
      <c r="K23" s="434">
        <v>7</v>
      </c>
      <c r="L23" s="434">
        <v>8</v>
      </c>
      <c r="M23" s="434">
        <v>9</v>
      </c>
      <c r="N23" s="434">
        <v>11</v>
      </c>
      <c r="O23" s="434">
        <v>12</v>
      </c>
      <c r="P23" s="434">
        <v>15</v>
      </c>
      <c r="Q23" s="434">
        <v>16</v>
      </c>
      <c r="R23" s="434">
        <v>18</v>
      </c>
      <c r="S23" s="434">
        <v>28</v>
      </c>
      <c r="T23" s="434">
        <v>17</v>
      </c>
      <c r="U23" s="434">
        <v>0</v>
      </c>
      <c r="V23" s="434">
        <v>0</v>
      </c>
      <c r="W23" s="434">
        <v>26</v>
      </c>
      <c r="X23" s="432">
        <v>10</v>
      </c>
      <c r="Y23" s="434">
        <v>45</v>
      </c>
      <c r="Z23" s="434">
        <v>29</v>
      </c>
      <c r="AA23" s="434">
        <v>22</v>
      </c>
      <c r="AB23" s="434">
        <v>29</v>
      </c>
      <c r="AC23" s="432">
        <v>15</v>
      </c>
    </row>
    <row r="24" spans="1:29" ht="12.75">
      <c r="A24" s="432" t="s">
        <v>133</v>
      </c>
      <c r="B24" s="432">
        <v>23</v>
      </c>
      <c r="C24" s="432">
        <v>20</v>
      </c>
      <c r="D24" s="432">
        <v>10</v>
      </c>
      <c r="E24" s="432" t="str">
        <f>"SA-EDESA-"&amp;$G$14</f>
        <v>SA-EDESA-03</v>
      </c>
      <c r="F24" s="432" t="s">
        <v>154</v>
      </c>
      <c r="G24" s="432">
        <v>3</v>
      </c>
      <c r="H24" s="433">
        <v>5</v>
      </c>
      <c r="I24" s="433">
        <v>4</v>
      </c>
      <c r="J24" s="432">
        <v>6</v>
      </c>
      <c r="K24" s="432">
        <v>7</v>
      </c>
      <c r="L24" s="432">
        <v>8</v>
      </c>
      <c r="M24" s="432">
        <v>10</v>
      </c>
      <c r="N24" s="432">
        <v>11</v>
      </c>
      <c r="O24" s="432">
        <v>14</v>
      </c>
      <c r="P24" s="432">
        <v>15</v>
      </c>
      <c r="Q24" s="432">
        <v>21</v>
      </c>
      <c r="R24" s="432">
        <v>0</v>
      </c>
      <c r="S24" s="432">
        <v>0</v>
      </c>
      <c r="T24" s="432">
        <v>0</v>
      </c>
      <c r="U24" s="432">
        <v>0</v>
      </c>
      <c r="V24" s="432">
        <v>0</v>
      </c>
      <c r="W24" s="432">
        <v>30</v>
      </c>
      <c r="X24" s="432">
        <v>10</v>
      </c>
      <c r="Y24" s="432">
        <v>44</v>
      </c>
      <c r="Z24" s="432">
        <v>22</v>
      </c>
      <c r="AA24" s="432">
        <v>21</v>
      </c>
      <c r="AB24" s="432">
        <v>22</v>
      </c>
      <c r="AC24" s="432">
        <v>14</v>
      </c>
    </row>
    <row r="25" spans="1:29" s="439" customFormat="1" ht="12.75">
      <c r="A25" s="437" t="s">
        <v>134</v>
      </c>
      <c r="B25" s="437">
        <v>19</v>
      </c>
      <c r="C25" s="437">
        <v>24</v>
      </c>
      <c r="D25" s="438">
        <v>4</v>
      </c>
      <c r="E25" s="437" t="str">
        <f>"CAUSAS-VST-"&amp;$G$14</f>
        <v>CAUSAS-VST-03</v>
      </c>
      <c r="F25" s="437" t="s">
        <v>135</v>
      </c>
      <c r="G25" s="437">
        <v>3</v>
      </c>
      <c r="H25" s="437">
        <v>4</v>
      </c>
      <c r="I25" s="437">
        <v>5</v>
      </c>
      <c r="J25" s="437">
        <v>6</v>
      </c>
      <c r="K25" s="437">
        <v>7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7">
        <v>0</v>
      </c>
      <c r="S25" s="437">
        <v>0</v>
      </c>
      <c r="T25" s="437">
        <v>0</v>
      </c>
      <c r="U25" s="437">
        <v>0</v>
      </c>
      <c r="V25" s="437">
        <v>0</v>
      </c>
      <c r="W25" s="437">
        <v>999</v>
      </c>
      <c r="X25" s="437">
        <v>999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5" r:id="rId1"/>
  <headerFooter alignWithMargins="0">
    <oddFooter>&amp;L&amp;"Times New Roman,Normal"&amp;5&amp;F  - TRANSPORTE de ENERGÍA ELÉCTRICA -PJL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N45"/>
  <sheetViews>
    <sheetView zoomScale="75" zoomScaleNormal="75" zoomScalePageLayoutView="0" workbookViewId="0" topLeftCell="A16">
      <selection activeCell="F5" sqref="F5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3.421875" style="0" customWidth="1"/>
    <col min="7" max="8" width="8.7109375" style="0" customWidth="1"/>
    <col min="9" max="9" width="13.140625" style="0" hidden="1" customWidth="1"/>
    <col min="10" max="10" width="16.7109375" style="0" customWidth="1"/>
    <col min="11" max="11" width="16.851562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41" t="str">
        <f>+'TOT-0314'!B2</f>
        <v>ANEXO VI al Memorandum D.T.E.E. N°          639     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42" t="s">
        <v>219</v>
      </c>
      <c r="B4" s="111"/>
      <c r="C4" s="442"/>
      <c r="AB4" s="40"/>
    </row>
    <row r="5" spans="1:28" s="39" customFormat="1" ht="11.25">
      <c r="A5" s="442" t="s">
        <v>146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16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17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18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10" t="str">
        <f>'TOT-0314'!B14</f>
        <v>Desde el 01 al 31 de marzo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19</v>
      </c>
      <c r="G16" s="289">
        <v>239.46</v>
      </c>
      <c r="H16" s="185"/>
      <c r="I16" s="6"/>
      <c r="J16"/>
      <c r="K16" s="102" t="s">
        <v>20</v>
      </c>
      <c r="L16" s="103">
        <f>30*'TOT-0314'!B13</f>
        <v>60</v>
      </c>
      <c r="M16" s="172" t="str">
        <f>IF(L16=30," ",IF(L16=60,"Coeficiente duplicado por tasa de falla &gt;4 Sal. x año/100 km.","REVISAR COEFICIENTE"))</f>
        <v>Coeficiente duplicado por tasa de falla &gt;4 Sal. x año/100 km.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54">
        <v>3</v>
      </c>
      <c r="D17" s="454">
        <v>4</v>
      </c>
      <c r="E17" s="454">
        <v>5</v>
      </c>
      <c r="F17" s="454">
        <v>6</v>
      </c>
      <c r="G17" s="454">
        <v>7</v>
      </c>
      <c r="H17" s="454">
        <v>8</v>
      </c>
      <c r="I17" s="454">
        <v>9</v>
      </c>
      <c r="J17" s="454">
        <v>10</v>
      </c>
      <c r="K17" s="454">
        <v>11</v>
      </c>
      <c r="L17" s="454">
        <v>12</v>
      </c>
      <c r="M17" s="454">
        <v>13</v>
      </c>
      <c r="N17" s="454">
        <v>14</v>
      </c>
      <c r="O17" s="454">
        <v>15</v>
      </c>
      <c r="P17" s="454">
        <v>16</v>
      </c>
      <c r="Q17" s="454">
        <v>17</v>
      </c>
      <c r="R17" s="454">
        <v>18</v>
      </c>
      <c r="S17" s="454">
        <v>19</v>
      </c>
      <c r="T17" s="454">
        <v>20</v>
      </c>
      <c r="U17" s="454">
        <v>21</v>
      </c>
      <c r="V17" s="454">
        <v>22</v>
      </c>
      <c r="W17" s="454">
        <v>23</v>
      </c>
      <c r="X17" s="454">
        <v>24</v>
      </c>
      <c r="Y17" s="454">
        <v>25</v>
      </c>
      <c r="Z17" s="454">
        <v>26</v>
      </c>
      <c r="AA17" s="454">
        <v>27</v>
      </c>
      <c r="AB17" s="8"/>
    </row>
    <row r="18" spans="1:28" s="7" customFormat="1" ht="33.75" customHeight="1" thickBot="1" thickTop="1">
      <c r="A18" s="6"/>
      <c r="B18" s="65"/>
      <c r="C18" s="112" t="s">
        <v>21</v>
      </c>
      <c r="D18" s="112" t="s">
        <v>144</v>
      </c>
      <c r="E18" s="112" t="s">
        <v>143</v>
      </c>
      <c r="F18" s="113" t="s">
        <v>3</v>
      </c>
      <c r="G18" s="114" t="s">
        <v>22</v>
      </c>
      <c r="H18" s="115" t="s">
        <v>23</v>
      </c>
      <c r="I18" s="174" t="s">
        <v>24</v>
      </c>
      <c r="J18" s="113" t="s">
        <v>25</v>
      </c>
      <c r="K18" s="113" t="s">
        <v>26</v>
      </c>
      <c r="L18" s="114" t="s">
        <v>27</v>
      </c>
      <c r="M18" s="114" t="s">
        <v>28</v>
      </c>
      <c r="N18" s="116" t="s">
        <v>29</v>
      </c>
      <c r="O18" s="114" t="s">
        <v>30</v>
      </c>
      <c r="P18" s="187" t="s">
        <v>31</v>
      </c>
      <c r="Q18" s="192" t="s">
        <v>32</v>
      </c>
      <c r="R18" s="197" t="s">
        <v>33</v>
      </c>
      <c r="S18" s="198"/>
      <c r="T18" s="199"/>
      <c r="U18" s="210" t="s">
        <v>34</v>
      </c>
      <c r="V18" s="211"/>
      <c r="W18" s="212"/>
      <c r="X18" s="225" t="s">
        <v>35</v>
      </c>
      <c r="Y18" s="230" t="s">
        <v>36</v>
      </c>
      <c r="Z18" s="117" t="s">
        <v>37</v>
      </c>
      <c r="AA18" s="183" t="s">
        <v>38</v>
      </c>
      <c r="AB18" s="8"/>
    </row>
    <row r="19" spans="1:28" s="7" customFormat="1" ht="15.75" thickTop="1">
      <c r="A19" s="6"/>
      <c r="B19" s="65"/>
      <c r="C19" s="386"/>
      <c r="D19" s="440"/>
      <c r="E19" s="440"/>
      <c r="F19" s="387"/>
      <c r="G19" s="394"/>
      <c r="H19" s="395"/>
      <c r="I19" s="186"/>
      <c r="J19" s="400"/>
      <c r="K19" s="400"/>
      <c r="L19" s="9"/>
      <c r="M19" s="9"/>
      <c r="N19" s="387"/>
      <c r="O19" s="390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406"/>
      <c r="AA19" s="184"/>
      <c r="AB19" s="8"/>
    </row>
    <row r="20" spans="1:28" s="7" customFormat="1" ht="15">
      <c r="A20" s="6"/>
      <c r="B20" s="65"/>
      <c r="C20" s="388"/>
      <c r="D20" s="389"/>
      <c r="E20" s="389"/>
      <c r="F20" s="389"/>
      <c r="G20" s="388"/>
      <c r="H20" s="388"/>
      <c r="I20" s="175"/>
      <c r="J20" s="388"/>
      <c r="K20" s="396"/>
      <c r="L20" s="11"/>
      <c r="M20" s="11"/>
      <c r="N20" s="389"/>
      <c r="O20" s="388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407"/>
      <c r="AA20" s="104"/>
      <c r="AB20" s="8"/>
    </row>
    <row r="21" spans="1:28" s="7" customFormat="1" ht="15">
      <c r="A21" s="6"/>
      <c r="B21" s="65"/>
      <c r="C21" s="390">
        <v>1</v>
      </c>
      <c r="D21" s="387">
        <v>248723</v>
      </c>
      <c r="E21" s="387">
        <v>4678</v>
      </c>
      <c r="F21" s="391" t="s">
        <v>163</v>
      </c>
      <c r="G21" s="396">
        <v>132</v>
      </c>
      <c r="H21" s="397">
        <v>47.599998474121094</v>
      </c>
      <c r="I21" s="176">
        <f>$G$16/100*IF(H21&gt;25,H21,25)</f>
        <v>113.98295634613038</v>
      </c>
      <c r="J21" s="401">
        <v>41080.34375</v>
      </c>
      <c r="K21" s="401">
        <v>41080.347916666666</v>
      </c>
      <c r="L21" s="12">
        <f>IF(F21="","",(K21-J21)*24)</f>
        <v>0.09999999997671694</v>
      </c>
      <c r="M21" s="13">
        <f>IF(F21="","",ROUND((K21-J21)*24*60,0))</f>
        <v>6</v>
      </c>
      <c r="N21" s="403" t="s">
        <v>164</v>
      </c>
      <c r="O21" s="404" t="str">
        <f>IF(F21="","","--")</f>
        <v>--</v>
      </c>
      <c r="P21" s="190">
        <f>IF(N21="P",ROUND(M21/60,2)*I21*$L$16*0.01,"--")</f>
        <v>6.8389773807678225</v>
      </c>
      <c r="Q21" s="195" t="str">
        <f>IF(N21="RP",I21*O21*ROUND(L21/60,2)*0.01*M21/100,"--")</f>
        <v>--</v>
      </c>
      <c r="R21" s="200" t="str">
        <f>IF(N21="F",I21*$L$16,"--")</f>
        <v>--</v>
      </c>
      <c r="S21" s="201" t="str">
        <f>IF(AND(M21&gt;10,N21="F"),I21*$L$16*IF(M21&gt;180,3,ROUND((M21)/60,2)),"--")</f>
        <v>--</v>
      </c>
      <c r="T21" s="202" t="str">
        <f>IF(AND(M21&gt;180,N21="F"),(ROUND(M21/60,2)-3)*I21*$L$16*0.1,"--")</f>
        <v>--</v>
      </c>
      <c r="U21" s="215" t="str">
        <f>IF(N21="R",I21*$L$16*O21/100,"--")</f>
        <v>--</v>
      </c>
      <c r="V21" s="219" t="str">
        <f>IF(AND(M21&gt;10,N21="R"),I21*$L$16*O21/100*IF(M21&gt;180,3,ROUND(M21/60,2)),"--")</f>
        <v>--</v>
      </c>
      <c r="W21" s="223" t="str">
        <f>IF(AND(M21&gt;180,N21="R"),(ROUND(M21/60,2)-3)*I21*$L$16*0.1*O21/100,"--")</f>
        <v>--</v>
      </c>
      <c r="X21" s="228" t="str">
        <f>IF(N21="RF",ROUND(M21/60,2)*I21*$L$16*0.1,"--")</f>
        <v>--</v>
      </c>
      <c r="Y21" s="233" t="str">
        <f>IF(N21="RR",ROUND(M21/60,2)*I21*$L$16*0.1*O21/100,"--")</f>
        <v>--</v>
      </c>
      <c r="Z21" s="408" t="s">
        <v>165</v>
      </c>
      <c r="AA21" s="28">
        <f>IF(F21="","",SUM(P21:Y21)*IF(Z21="SI",1,2))</f>
        <v>6.8389773807678225</v>
      </c>
      <c r="AB21" s="287"/>
    </row>
    <row r="22" spans="1:28" s="7" customFormat="1" ht="15">
      <c r="A22" s="6"/>
      <c r="B22" s="65"/>
      <c r="C22" s="390">
        <v>2</v>
      </c>
      <c r="D22" s="387">
        <v>248724</v>
      </c>
      <c r="E22" s="387">
        <v>3566</v>
      </c>
      <c r="F22" s="391" t="s">
        <v>166</v>
      </c>
      <c r="G22" s="396">
        <v>132</v>
      </c>
      <c r="H22" s="397">
        <v>7</v>
      </c>
      <c r="I22" s="176">
        <f aca="true" t="shared" si="0" ref="I22:I40">$G$16/100*IF(H22&gt;25,H22,25)</f>
        <v>59.865</v>
      </c>
      <c r="J22" s="401">
        <v>41080.34444444445</v>
      </c>
      <c r="K22" s="401">
        <v>41080.34861111111</v>
      </c>
      <c r="L22" s="12">
        <f aca="true" t="shared" si="1" ref="L22:L37">IF(F22="","",(K22-J22)*24)</f>
        <v>0.09999999997671694</v>
      </c>
      <c r="M22" s="13">
        <f aca="true" t="shared" si="2" ref="M22:M37">IF(F22="","",ROUND((K22-J22)*24*60,0))</f>
        <v>6</v>
      </c>
      <c r="N22" s="403" t="s">
        <v>164</v>
      </c>
      <c r="O22" s="404" t="str">
        <f aca="true" t="shared" si="3" ref="O22:O37">IF(F22="","","--")</f>
        <v>--</v>
      </c>
      <c r="P22" s="190">
        <f aca="true" t="shared" si="4" ref="P22:P37">IF(N22="P",ROUND(M22/60,2)*I22*$L$16*0.01,"--")</f>
        <v>3.5919</v>
      </c>
      <c r="Q22" s="195" t="str">
        <f aca="true" t="shared" si="5" ref="Q22:Q37">IF(N22="RP",I22*O22*ROUND(L22/60,2)*0.01*M22/100,"--")</f>
        <v>--</v>
      </c>
      <c r="R22" s="200" t="str">
        <f aca="true" t="shared" si="6" ref="R22:R37">IF(N22="F",I22*$L$16,"--")</f>
        <v>--</v>
      </c>
      <c r="S22" s="201" t="str">
        <f aca="true" t="shared" si="7" ref="S22:S37">IF(AND(M22&gt;10,N22="F"),I22*$L$16*IF(M22&gt;180,3,ROUND((M22)/60,2)),"--")</f>
        <v>--</v>
      </c>
      <c r="T22" s="202" t="str">
        <f aca="true" t="shared" si="8" ref="T22:T37">IF(AND(M22&gt;180,N22="F"),(ROUND(M22/60,2)-3)*I22*$L$16*0.1,"--")</f>
        <v>--</v>
      </c>
      <c r="U22" s="215" t="str">
        <f aca="true" t="shared" si="9" ref="U22:U37">IF(N22="R",I22*$L$16*O22/100,"--")</f>
        <v>--</v>
      </c>
      <c r="V22" s="219" t="str">
        <f aca="true" t="shared" si="10" ref="V22:V37">IF(AND(M22&gt;10,N22="R"),I22*$L$16*O22/100*IF(M22&gt;180,3,ROUND(M22/60,2)),"--")</f>
        <v>--</v>
      </c>
      <c r="W22" s="223" t="str">
        <f aca="true" t="shared" si="11" ref="W22:W37">IF(AND(M22&gt;180,N22="R"),(ROUND(M22/60,2)-3)*I22*$L$16*0.1*O22/100,"--")</f>
        <v>--</v>
      </c>
      <c r="X22" s="228" t="str">
        <f aca="true" t="shared" si="12" ref="X22:X37">IF(N22="RF",ROUND(M22/60,2)*I22*$L$16*0.1,"--")</f>
        <v>--</v>
      </c>
      <c r="Y22" s="233" t="str">
        <f aca="true" t="shared" si="13" ref="Y22:Y37">IF(N22="RR",ROUND(M22/60,2)*I22*$L$16*0.1*O22/100,"--")</f>
        <v>--</v>
      </c>
      <c r="Z22" s="408" t="s">
        <v>165</v>
      </c>
      <c r="AA22" s="28">
        <f aca="true" t="shared" si="14" ref="AA22:AA37">IF(F22="","",SUM(P22:Y22)*IF(Z22="SI",1,2))</f>
        <v>3.5919</v>
      </c>
      <c r="AB22" s="287"/>
    </row>
    <row r="23" spans="1:28" s="7" customFormat="1" ht="15">
      <c r="A23" s="6"/>
      <c r="B23" s="65"/>
      <c r="C23" s="390">
        <v>3</v>
      </c>
      <c r="D23" s="387">
        <v>248725</v>
      </c>
      <c r="E23" s="387">
        <v>2700</v>
      </c>
      <c r="F23" s="391" t="s">
        <v>167</v>
      </c>
      <c r="G23" s="396">
        <v>132</v>
      </c>
      <c r="H23" s="397">
        <v>10</v>
      </c>
      <c r="I23" s="176">
        <f t="shared" si="0"/>
        <v>59.865</v>
      </c>
      <c r="J23" s="401">
        <v>41080.34444444445</v>
      </c>
      <c r="K23" s="401">
        <v>41080.34861111111</v>
      </c>
      <c r="L23" s="12">
        <f t="shared" si="1"/>
        <v>0.09999999997671694</v>
      </c>
      <c r="M23" s="13">
        <f t="shared" si="2"/>
        <v>6</v>
      </c>
      <c r="N23" s="403" t="s">
        <v>164</v>
      </c>
      <c r="O23" s="404" t="str">
        <f t="shared" si="3"/>
        <v>--</v>
      </c>
      <c r="P23" s="190">
        <f t="shared" si="4"/>
        <v>3.5919</v>
      </c>
      <c r="Q23" s="195" t="str">
        <f t="shared" si="5"/>
        <v>--</v>
      </c>
      <c r="R23" s="200" t="str">
        <f t="shared" si="6"/>
        <v>--</v>
      </c>
      <c r="S23" s="201" t="str">
        <f t="shared" si="7"/>
        <v>--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408" t="s">
        <v>165</v>
      </c>
      <c r="AA23" s="28">
        <f t="shared" si="14"/>
        <v>3.5919</v>
      </c>
      <c r="AB23" s="287"/>
    </row>
    <row r="24" spans="1:28" s="7" customFormat="1" ht="15">
      <c r="A24" s="6"/>
      <c r="B24" s="65"/>
      <c r="C24" s="390">
        <v>4</v>
      </c>
      <c r="D24" s="387">
        <v>248744</v>
      </c>
      <c r="E24" s="387">
        <v>3566</v>
      </c>
      <c r="F24" s="391" t="s">
        <v>166</v>
      </c>
      <c r="G24" s="396">
        <v>132</v>
      </c>
      <c r="H24" s="397">
        <v>7</v>
      </c>
      <c r="I24" s="176">
        <f t="shared" si="0"/>
        <v>59.865</v>
      </c>
      <c r="J24" s="401">
        <v>41084.342361111114</v>
      </c>
      <c r="K24" s="401">
        <v>41084.34652777778</v>
      </c>
      <c r="L24" s="12">
        <f t="shared" si="1"/>
        <v>0.09999999997671694</v>
      </c>
      <c r="M24" s="13">
        <f t="shared" si="2"/>
        <v>6</v>
      </c>
      <c r="N24" s="403" t="s">
        <v>164</v>
      </c>
      <c r="O24" s="404" t="str">
        <f t="shared" si="3"/>
        <v>--</v>
      </c>
      <c r="P24" s="190">
        <f t="shared" si="4"/>
        <v>3.5919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408" t="s">
        <v>165</v>
      </c>
      <c r="AA24" s="28">
        <f t="shared" si="14"/>
        <v>3.5919</v>
      </c>
      <c r="AB24" s="287"/>
    </row>
    <row r="25" spans="1:28" s="7" customFormat="1" ht="15">
      <c r="A25" s="6"/>
      <c r="B25" s="65"/>
      <c r="C25" s="390">
        <v>5</v>
      </c>
      <c r="D25" s="387">
        <v>248745</v>
      </c>
      <c r="E25" s="387">
        <v>2700</v>
      </c>
      <c r="F25" s="391" t="s">
        <v>167</v>
      </c>
      <c r="G25" s="396">
        <v>132</v>
      </c>
      <c r="H25" s="397">
        <v>10</v>
      </c>
      <c r="I25" s="176">
        <f t="shared" si="0"/>
        <v>59.865</v>
      </c>
      <c r="J25" s="401">
        <v>41084.34305555555</v>
      </c>
      <c r="K25" s="401">
        <v>41084.34583333333</v>
      </c>
      <c r="L25" s="12">
        <f t="shared" si="1"/>
        <v>0.06666666670935228</v>
      </c>
      <c r="M25" s="13">
        <f t="shared" si="2"/>
        <v>4</v>
      </c>
      <c r="N25" s="403" t="s">
        <v>164</v>
      </c>
      <c r="O25" s="404" t="str">
        <f t="shared" si="3"/>
        <v>--</v>
      </c>
      <c r="P25" s="190">
        <f t="shared" si="4"/>
        <v>2.5143300000000006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408" t="s">
        <v>165</v>
      </c>
      <c r="AA25" s="28">
        <f t="shared" si="14"/>
        <v>2.5143300000000006</v>
      </c>
      <c r="AB25" s="287"/>
    </row>
    <row r="26" spans="1:28" s="7" customFormat="1" ht="15">
      <c r="A26" s="6"/>
      <c r="B26" s="65"/>
      <c r="C26" s="390">
        <v>6</v>
      </c>
      <c r="D26" s="387">
        <v>248746</v>
      </c>
      <c r="E26" s="387">
        <v>4678</v>
      </c>
      <c r="F26" s="391" t="s">
        <v>163</v>
      </c>
      <c r="G26" s="396">
        <v>132</v>
      </c>
      <c r="H26" s="397">
        <v>47.599998474121094</v>
      </c>
      <c r="I26" s="176">
        <f t="shared" si="0"/>
        <v>113.98295634613038</v>
      </c>
      <c r="J26" s="401">
        <v>41084.34375</v>
      </c>
      <c r="K26" s="401">
        <v>41084.34583333333</v>
      </c>
      <c r="L26" s="12">
        <f t="shared" si="1"/>
        <v>0.04999999998835847</v>
      </c>
      <c r="M26" s="13">
        <f t="shared" si="2"/>
        <v>3</v>
      </c>
      <c r="N26" s="403" t="s">
        <v>164</v>
      </c>
      <c r="O26" s="404" t="str">
        <f t="shared" si="3"/>
        <v>--</v>
      </c>
      <c r="P26" s="190">
        <f t="shared" si="4"/>
        <v>3.4194886903839112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408" t="s">
        <v>165</v>
      </c>
      <c r="AA26" s="28">
        <f t="shared" si="14"/>
        <v>3.4194886903839112</v>
      </c>
      <c r="AB26" s="287"/>
    </row>
    <row r="27" spans="1:28" s="7" customFormat="1" ht="15">
      <c r="A27" s="6"/>
      <c r="B27" s="65"/>
      <c r="C27" s="390">
        <v>7</v>
      </c>
      <c r="D27" s="387">
        <v>262132</v>
      </c>
      <c r="E27" s="387">
        <v>4902</v>
      </c>
      <c r="F27" s="391" t="s">
        <v>168</v>
      </c>
      <c r="G27" s="396">
        <v>132</v>
      </c>
      <c r="H27" s="397">
        <v>76</v>
      </c>
      <c r="I27" s="176">
        <f t="shared" si="0"/>
        <v>181.9896</v>
      </c>
      <c r="J27" s="401">
        <v>41451.58472222222</v>
      </c>
      <c r="K27" s="401">
        <v>41451.697916666664</v>
      </c>
      <c r="L27" s="12">
        <f t="shared" si="1"/>
        <v>2.71666666661622</v>
      </c>
      <c r="M27" s="13">
        <f t="shared" si="2"/>
        <v>163</v>
      </c>
      <c r="N27" s="403" t="s">
        <v>164</v>
      </c>
      <c r="O27" s="404" t="str">
        <f t="shared" si="3"/>
        <v>--</v>
      </c>
      <c r="P27" s="190">
        <f t="shared" si="4"/>
        <v>297.00702720000004</v>
      </c>
      <c r="Q27" s="195" t="str">
        <f t="shared" si="5"/>
        <v>--</v>
      </c>
      <c r="R27" s="200" t="str">
        <f t="shared" si="6"/>
        <v>--</v>
      </c>
      <c r="S27" s="201" t="str">
        <f t="shared" si="7"/>
        <v>--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408" t="s">
        <v>165</v>
      </c>
      <c r="AA27" s="28">
        <f t="shared" si="14"/>
        <v>297.00702720000004</v>
      </c>
      <c r="AB27" s="287"/>
    </row>
    <row r="28" spans="1:28" s="7" customFormat="1" ht="15">
      <c r="A28" s="6"/>
      <c r="B28" s="65"/>
      <c r="C28" s="390">
        <v>8</v>
      </c>
      <c r="D28" s="387">
        <v>262133</v>
      </c>
      <c r="E28" s="387">
        <v>3617</v>
      </c>
      <c r="F28" s="391" t="s">
        <v>169</v>
      </c>
      <c r="G28" s="396">
        <v>132</v>
      </c>
      <c r="H28" s="397">
        <v>72</v>
      </c>
      <c r="I28" s="176">
        <f t="shared" si="0"/>
        <v>172.4112</v>
      </c>
      <c r="J28" s="401">
        <v>41451.58472222222</v>
      </c>
      <c r="K28" s="401">
        <v>41451.697916666664</v>
      </c>
      <c r="L28" s="12">
        <f t="shared" si="1"/>
        <v>2.71666666661622</v>
      </c>
      <c r="M28" s="13">
        <f t="shared" si="2"/>
        <v>163</v>
      </c>
      <c r="N28" s="403" t="s">
        <v>164</v>
      </c>
      <c r="O28" s="404" t="str">
        <f t="shared" si="3"/>
        <v>--</v>
      </c>
      <c r="P28" s="190">
        <f t="shared" si="4"/>
        <v>281.3750784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408" t="s">
        <v>165</v>
      </c>
      <c r="AA28" s="28">
        <f t="shared" si="14"/>
        <v>281.3750784</v>
      </c>
      <c r="AB28" s="8"/>
    </row>
    <row r="29" spans="1:28" s="7" customFormat="1" ht="15">
      <c r="A29" s="6"/>
      <c r="B29" s="65"/>
      <c r="C29" s="390">
        <v>9</v>
      </c>
      <c r="D29" s="387">
        <v>268172</v>
      </c>
      <c r="E29" s="387">
        <v>3579</v>
      </c>
      <c r="F29" s="391" t="s">
        <v>170</v>
      </c>
      <c r="G29" s="396">
        <v>132</v>
      </c>
      <c r="H29" s="397">
        <v>80.30000305175781</v>
      </c>
      <c r="I29" s="176">
        <f t="shared" si="0"/>
        <v>192.28638730773926</v>
      </c>
      <c r="J29" s="401">
        <v>41606.58472222222</v>
      </c>
      <c r="K29" s="401">
        <v>41606.65972222222</v>
      </c>
      <c r="L29" s="12">
        <f t="shared" si="1"/>
        <v>1.7999999999301508</v>
      </c>
      <c r="M29" s="13">
        <f t="shared" si="2"/>
        <v>108</v>
      </c>
      <c r="N29" s="403" t="s">
        <v>164</v>
      </c>
      <c r="O29" s="404" t="str">
        <f t="shared" si="3"/>
        <v>--</v>
      </c>
      <c r="P29" s="190">
        <f t="shared" si="4"/>
        <v>207.6692982923584</v>
      </c>
      <c r="Q29" s="195" t="str">
        <f t="shared" si="5"/>
        <v>--</v>
      </c>
      <c r="R29" s="200" t="str">
        <f t="shared" si="6"/>
        <v>--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408" t="s">
        <v>165</v>
      </c>
      <c r="AA29" s="28">
        <f t="shared" si="14"/>
        <v>207.6692982923584</v>
      </c>
      <c r="AB29" s="8"/>
    </row>
    <row r="30" spans="1:28" s="7" customFormat="1" ht="15">
      <c r="A30" s="6"/>
      <c r="B30" s="65"/>
      <c r="C30" s="390">
        <v>10</v>
      </c>
      <c r="D30" s="387">
        <v>268174</v>
      </c>
      <c r="E30" s="387">
        <v>4902</v>
      </c>
      <c r="F30" s="391" t="s">
        <v>168</v>
      </c>
      <c r="G30" s="396">
        <v>132</v>
      </c>
      <c r="H30" s="397">
        <v>76</v>
      </c>
      <c r="I30" s="176">
        <f t="shared" si="0"/>
        <v>181.9896</v>
      </c>
      <c r="J30" s="401">
        <v>41606.58472222222</v>
      </c>
      <c r="K30" s="401">
        <v>41606.65972222222</v>
      </c>
      <c r="L30" s="12">
        <f t="shared" si="1"/>
        <v>1.7999999999301508</v>
      </c>
      <c r="M30" s="13">
        <f t="shared" si="2"/>
        <v>108</v>
      </c>
      <c r="N30" s="403" t="s">
        <v>164</v>
      </c>
      <c r="O30" s="404" t="str">
        <f t="shared" si="3"/>
        <v>--</v>
      </c>
      <c r="P30" s="190">
        <f t="shared" si="4"/>
        <v>196.548768</v>
      </c>
      <c r="Q30" s="195" t="str">
        <f t="shared" si="5"/>
        <v>--</v>
      </c>
      <c r="R30" s="200" t="str">
        <f t="shared" si="6"/>
        <v>--</v>
      </c>
      <c r="S30" s="201" t="str">
        <f t="shared" si="7"/>
        <v>--</v>
      </c>
      <c r="T30" s="202" t="str">
        <f t="shared" si="8"/>
        <v>--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408" t="s">
        <v>165</v>
      </c>
      <c r="AA30" s="28">
        <f t="shared" si="14"/>
        <v>196.548768</v>
      </c>
      <c r="AB30" s="8"/>
    </row>
    <row r="31" spans="1:28" s="7" customFormat="1" ht="15">
      <c r="A31" s="6"/>
      <c r="B31" s="65"/>
      <c r="C31" s="390">
        <v>11</v>
      </c>
      <c r="D31" s="387">
        <v>268175</v>
      </c>
      <c r="E31" s="387">
        <v>3617</v>
      </c>
      <c r="F31" s="391" t="s">
        <v>169</v>
      </c>
      <c r="G31" s="396">
        <v>132</v>
      </c>
      <c r="H31" s="397">
        <v>72</v>
      </c>
      <c r="I31" s="176">
        <f t="shared" si="0"/>
        <v>172.4112</v>
      </c>
      <c r="J31" s="401">
        <v>41606.58472222222</v>
      </c>
      <c r="K31" s="401">
        <v>41606.65972222222</v>
      </c>
      <c r="L31" s="12">
        <f t="shared" si="1"/>
        <v>1.7999999999301508</v>
      </c>
      <c r="M31" s="13">
        <f t="shared" si="2"/>
        <v>108</v>
      </c>
      <c r="N31" s="403" t="s">
        <v>164</v>
      </c>
      <c r="O31" s="404" t="str">
        <f t="shared" si="3"/>
        <v>--</v>
      </c>
      <c r="P31" s="190">
        <f t="shared" si="4"/>
        <v>186.20409600000002</v>
      </c>
      <c r="Q31" s="195" t="str">
        <f t="shared" si="5"/>
        <v>--</v>
      </c>
      <c r="R31" s="200" t="str">
        <f t="shared" si="6"/>
        <v>--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408" t="s">
        <v>165</v>
      </c>
      <c r="AA31" s="28">
        <f t="shared" si="14"/>
        <v>186.20409600000002</v>
      </c>
      <c r="AB31" s="8"/>
    </row>
    <row r="32" spans="1:28" s="7" customFormat="1" ht="15">
      <c r="A32" s="6"/>
      <c r="B32" s="65"/>
      <c r="C32" s="390">
        <v>12</v>
      </c>
      <c r="D32" s="387">
        <v>272742</v>
      </c>
      <c r="E32" s="387">
        <v>290</v>
      </c>
      <c r="F32" s="391" t="s">
        <v>171</v>
      </c>
      <c r="G32" s="396">
        <v>132</v>
      </c>
      <c r="H32" s="397">
        <v>220</v>
      </c>
      <c r="I32" s="176">
        <f t="shared" si="0"/>
        <v>526.812</v>
      </c>
      <c r="J32" s="401">
        <v>41701.282638888886</v>
      </c>
      <c r="K32" s="401">
        <v>41701.28402777778</v>
      </c>
      <c r="L32" s="12">
        <f t="shared" si="1"/>
        <v>0.033333333441987634</v>
      </c>
      <c r="M32" s="13">
        <f t="shared" si="2"/>
        <v>2</v>
      </c>
      <c r="N32" s="403" t="s">
        <v>172</v>
      </c>
      <c r="O32" s="404" t="str">
        <f t="shared" si="3"/>
        <v>--</v>
      </c>
      <c r="P32" s="190" t="str">
        <f t="shared" si="4"/>
        <v>--</v>
      </c>
      <c r="Q32" s="195" t="str">
        <f t="shared" si="5"/>
        <v>--</v>
      </c>
      <c r="R32" s="200">
        <f t="shared" si="6"/>
        <v>31608.72</v>
      </c>
      <c r="S32" s="201" t="str">
        <f t="shared" si="7"/>
        <v>--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408" t="s">
        <v>165</v>
      </c>
      <c r="AA32" s="28">
        <f t="shared" si="14"/>
        <v>31608.72</v>
      </c>
      <c r="AB32" s="8"/>
    </row>
    <row r="33" spans="1:28" s="7" customFormat="1" ht="15">
      <c r="A33" s="6"/>
      <c r="B33" s="65"/>
      <c r="C33" s="390">
        <v>13</v>
      </c>
      <c r="D33" s="387">
        <v>272743</v>
      </c>
      <c r="E33" s="387">
        <v>3773</v>
      </c>
      <c r="F33" s="391" t="s">
        <v>173</v>
      </c>
      <c r="G33" s="396">
        <v>132</v>
      </c>
      <c r="H33" s="397">
        <v>222</v>
      </c>
      <c r="I33" s="176">
        <f t="shared" si="0"/>
        <v>531.6012000000001</v>
      </c>
      <c r="J33" s="401">
        <v>41701.282638888886</v>
      </c>
      <c r="K33" s="401">
        <v>41701.311111111114</v>
      </c>
      <c r="L33" s="12">
        <f t="shared" si="1"/>
        <v>0.6833333334652707</v>
      </c>
      <c r="M33" s="13">
        <f t="shared" si="2"/>
        <v>41</v>
      </c>
      <c r="N33" s="403" t="s">
        <v>172</v>
      </c>
      <c r="O33" s="404" t="str">
        <f t="shared" si="3"/>
        <v>--</v>
      </c>
      <c r="P33" s="190" t="str">
        <f t="shared" si="4"/>
        <v>--</v>
      </c>
      <c r="Q33" s="195" t="str">
        <f t="shared" si="5"/>
        <v>--</v>
      </c>
      <c r="R33" s="200">
        <f t="shared" si="6"/>
        <v>31896.072000000004</v>
      </c>
      <c r="S33" s="201">
        <f t="shared" si="7"/>
        <v>21689.328960000003</v>
      </c>
      <c r="T33" s="202" t="str">
        <f t="shared" si="8"/>
        <v>--</v>
      </c>
      <c r="U33" s="215" t="str">
        <f t="shared" si="9"/>
        <v>--</v>
      </c>
      <c r="V33" s="219" t="str">
        <f t="shared" si="10"/>
        <v>--</v>
      </c>
      <c r="W33" s="223" t="str">
        <f t="shared" si="11"/>
        <v>--</v>
      </c>
      <c r="X33" s="228" t="str">
        <f t="shared" si="12"/>
        <v>--</v>
      </c>
      <c r="Y33" s="233" t="str">
        <f t="shared" si="13"/>
        <v>--</v>
      </c>
      <c r="Z33" s="408" t="s">
        <v>165</v>
      </c>
      <c r="AA33" s="28">
        <f t="shared" si="14"/>
        <v>53585.400960000006</v>
      </c>
      <c r="AB33" s="8"/>
    </row>
    <row r="34" spans="1:28" s="7" customFormat="1" ht="15">
      <c r="A34" s="6"/>
      <c r="B34" s="65"/>
      <c r="C34" s="390">
        <v>14</v>
      </c>
      <c r="D34" s="387">
        <v>272751</v>
      </c>
      <c r="E34" s="387">
        <v>4873</v>
      </c>
      <c r="F34" s="391" t="s">
        <v>174</v>
      </c>
      <c r="G34" s="396">
        <v>132</v>
      </c>
      <c r="H34" s="397">
        <v>14.600000381469727</v>
      </c>
      <c r="I34" s="176">
        <f t="shared" si="0"/>
        <v>59.865</v>
      </c>
      <c r="J34" s="401">
        <v>41706.34652777778</v>
      </c>
      <c r="K34" s="401">
        <v>41706.64513888889</v>
      </c>
      <c r="L34" s="12">
        <f t="shared" si="1"/>
        <v>7.166666666627862</v>
      </c>
      <c r="M34" s="13">
        <f t="shared" si="2"/>
        <v>430</v>
      </c>
      <c r="N34" s="403" t="s">
        <v>164</v>
      </c>
      <c r="O34" s="404" t="str">
        <f t="shared" si="3"/>
        <v>--</v>
      </c>
      <c r="P34" s="190">
        <f t="shared" si="4"/>
        <v>257.53923000000003</v>
      </c>
      <c r="Q34" s="195" t="str">
        <f t="shared" si="5"/>
        <v>--</v>
      </c>
      <c r="R34" s="200" t="str">
        <f t="shared" si="6"/>
        <v>--</v>
      </c>
      <c r="S34" s="201" t="str">
        <f t="shared" si="7"/>
        <v>--</v>
      </c>
      <c r="T34" s="202" t="str">
        <f t="shared" si="8"/>
        <v>--</v>
      </c>
      <c r="U34" s="215" t="str">
        <f t="shared" si="9"/>
        <v>--</v>
      </c>
      <c r="V34" s="219" t="str">
        <f t="shared" si="10"/>
        <v>--</v>
      </c>
      <c r="W34" s="223" t="str">
        <f t="shared" si="11"/>
        <v>--</v>
      </c>
      <c r="X34" s="228" t="str">
        <f t="shared" si="12"/>
        <v>--</v>
      </c>
      <c r="Y34" s="233" t="str">
        <f t="shared" si="13"/>
        <v>--</v>
      </c>
      <c r="Z34" s="408" t="s">
        <v>165</v>
      </c>
      <c r="AA34" s="28">
        <f t="shared" si="14"/>
        <v>257.53923000000003</v>
      </c>
      <c r="AB34" s="8"/>
    </row>
    <row r="35" spans="1:28" s="7" customFormat="1" ht="15">
      <c r="A35" s="6"/>
      <c r="B35" s="65"/>
      <c r="C35" s="390">
        <v>15</v>
      </c>
      <c r="D35" s="387">
        <v>272752</v>
      </c>
      <c r="E35" s="387">
        <v>272</v>
      </c>
      <c r="F35" s="391" t="s">
        <v>175</v>
      </c>
      <c r="G35" s="396">
        <v>132</v>
      </c>
      <c r="H35" s="397">
        <v>27.600000381469727</v>
      </c>
      <c r="I35" s="176">
        <f t="shared" si="0"/>
        <v>66.09096091346741</v>
      </c>
      <c r="J35" s="401">
        <v>41706.410416666666</v>
      </c>
      <c r="K35" s="401">
        <v>41706.86944444444</v>
      </c>
      <c r="L35" s="12">
        <f t="shared" si="1"/>
        <v>11.016666666604578</v>
      </c>
      <c r="M35" s="13">
        <f t="shared" si="2"/>
        <v>661</v>
      </c>
      <c r="N35" s="403" t="s">
        <v>164</v>
      </c>
      <c r="O35" s="404" t="str">
        <f t="shared" si="3"/>
        <v>--</v>
      </c>
      <c r="P35" s="190">
        <f t="shared" si="4"/>
        <v>436.99343355984655</v>
      </c>
      <c r="Q35" s="195" t="str">
        <f t="shared" si="5"/>
        <v>--</v>
      </c>
      <c r="R35" s="200" t="str">
        <f t="shared" si="6"/>
        <v>--</v>
      </c>
      <c r="S35" s="201" t="str">
        <f t="shared" si="7"/>
        <v>--</v>
      </c>
      <c r="T35" s="202" t="str">
        <f t="shared" si="8"/>
        <v>--</v>
      </c>
      <c r="U35" s="215" t="str">
        <f t="shared" si="9"/>
        <v>--</v>
      </c>
      <c r="V35" s="219" t="str">
        <f t="shared" si="10"/>
        <v>--</v>
      </c>
      <c r="W35" s="223" t="str">
        <f t="shared" si="11"/>
        <v>--</v>
      </c>
      <c r="X35" s="228" t="str">
        <f t="shared" si="12"/>
        <v>--</v>
      </c>
      <c r="Y35" s="233" t="str">
        <f t="shared" si="13"/>
        <v>--</v>
      </c>
      <c r="Z35" s="408" t="s">
        <v>165</v>
      </c>
      <c r="AA35" s="28">
        <f t="shared" si="14"/>
        <v>436.99343355984655</v>
      </c>
      <c r="AB35" s="8"/>
    </row>
    <row r="36" spans="1:28" s="7" customFormat="1" ht="15">
      <c r="A36" s="6"/>
      <c r="B36" s="65"/>
      <c r="C36" s="390">
        <v>16</v>
      </c>
      <c r="D36" s="387">
        <v>272754</v>
      </c>
      <c r="E36" s="387">
        <v>283</v>
      </c>
      <c r="F36" s="391" t="s">
        <v>176</v>
      </c>
      <c r="G36" s="396">
        <v>132</v>
      </c>
      <c r="H36" s="397">
        <v>91.19999694824219</v>
      </c>
      <c r="I36" s="176">
        <f t="shared" si="0"/>
        <v>218.38751269226074</v>
      </c>
      <c r="J36" s="401">
        <v>41707.85</v>
      </c>
      <c r="K36" s="401">
        <v>41708.11319444444</v>
      </c>
      <c r="L36" s="12">
        <f t="shared" si="1"/>
        <v>6.316666666651145</v>
      </c>
      <c r="M36" s="13">
        <f t="shared" si="2"/>
        <v>379</v>
      </c>
      <c r="N36" s="403" t="s">
        <v>172</v>
      </c>
      <c r="O36" s="404" t="str">
        <f t="shared" si="3"/>
        <v>--</v>
      </c>
      <c r="P36" s="190" t="str">
        <f t="shared" si="4"/>
        <v>--</v>
      </c>
      <c r="Q36" s="195" t="str">
        <f t="shared" si="5"/>
        <v>--</v>
      </c>
      <c r="R36" s="200">
        <f t="shared" si="6"/>
        <v>13103.250761535644</v>
      </c>
      <c r="S36" s="201">
        <f t="shared" si="7"/>
        <v>39309.75228460693</v>
      </c>
      <c r="T36" s="202">
        <f t="shared" si="8"/>
        <v>4350.279252829835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408" t="s">
        <v>165</v>
      </c>
      <c r="AA36" s="28">
        <f t="shared" si="14"/>
        <v>56763.282298972415</v>
      </c>
      <c r="AB36" s="8"/>
    </row>
    <row r="37" spans="1:28" s="7" customFormat="1" ht="15">
      <c r="A37" s="6"/>
      <c r="B37" s="65"/>
      <c r="C37" s="390">
        <v>17</v>
      </c>
      <c r="D37" s="387">
        <v>273048</v>
      </c>
      <c r="E37" s="387">
        <v>5295</v>
      </c>
      <c r="F37" s="391" t="s">
        <v>205</v>
      </c>
      <c r="G37" s="396">
        <v>132</v>
      </c>
      <c r="H37" s="397">
        <v>133.5</v>
      </c>
      <c r="I37" s="176">
        <f t="shared" si="0"/>
        <v>319.6791</v>
      </c>
      <c r="J37" s="401">
        <v>41709.368055555555</v>
      </c>
      <c r="K37" s="401">
        <v>41709.614583333336</v>
      </c>
      <c r="L37" s="12">
        <f t="shared" si="1"/>
        <v>5.916666666744277</v>
      </c>
      <c r="M37" s="13">
        <f t="shared" si="2"/>
        <v>355</v>
      </c>
      <c r="N37" s="403" t="s">
        <v>164</v>
      </c>
      <c r="O37" s="404" t="str">
        <f t="shared" si="3"/>
        <v>--</v>
      </c>
      <c r="P37" s="190">
        <f t="shared" si="4"/>
        <v>1135.5001632</v>
      </c>
      <c r="Q37" s="195" t="str">
        <f t="shared" si="5"/>
        <v>--</v>
      </c>
      <c r="R37" s="200" t="str">
        <f t="shared" si="6"/>
        <v>--</v>
      </c>
      <c r="S37" s="201" t="str">
        <f t="shared" si="7"/>
        <v>--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408" t="s">
        <v>165</v>
      </c>
      <c r="AA37" s="28">
        <f t="shared" si="14"/>
        <v>1135.5001632</v>
      </c>
      <c r="AB37" s="8"/>
    </row>
    <row r="38" spans="1:28" s="7" customFormat="1" ht="15">
      <c r="A38" s="6"/>
      <c r="B38" s="65"/>
      <c r="C38" s="390">
        <v>18</v>
      </c>
      <c r="D38" s="387">
        <v>273049</v>
      </c>
      <c r="E38" s="387">
        <v>3565</v>
      </c>
      <c r="F38" s="391" t="s">
        <v>177</v>
      </c>
      <c r="G38" s="396">
        <v>132</v>
      </c>
      <c r="H38" s="397">
        <v>55</v>
      </c>
      <c r="I38" s="176">
        <f t="shared" si="0"/>
        <v>131.703</v>
      </c>
      <c r="J38" s="401">
        <v>41709.82847222222</v>
      </c>
      <c r="K38" s="401">
        <v>41709.83888888889</v>
      </c>
      <c r="L38" s="12">
        <f>IF(F38="","",(K38-J38)*24)</f>
        <v>0.24999999994179234</v>
      </c>
      <c r="M38" s="13">
        <f>IF(F38="","",ROUND((K38-J38)*24*60,0))</f>
        <v>15</v>
      </c>
      <c r="N38" s="403" t="s">
        <v>172</v>
      </c>
      <c r="O38" s="404" t="str">
        <f>IF(F38="","","--")</f>
        <v>--</v>
      </c>
      <c r="P38" s="190" t="str">
        <f>IF(N38="P",ROUND(M38/60,2)*I38*$L$16*0.01,"--")</f>
        <v>--</v>
      </c>
      <c r="Q38" s="195" t="str">
        <f>IF(N38="RP",I38*O38*ROUND(L38/60,2)*0.01*M38/100,"--")</f>
        <v>--</v>
      </c>
      <c r="R38" s="200">
        <f>IF(N38="F",I38*$L$16,"--")</f>
        <v>7902.18</v>
      </c>
      <c r="S38" s="201">
        <f>IF(AND(M38&gt;10,N38="F"),I38*$L$16*IF(M38&gt;180,3,ROUND((M38)/60,2)),"--")</f>
        <v>1975.545</v>
      </c>
      <c r="T38" s="202" t="str">
        <f>IF(AND(M38&gt;180,N38="F"),(ROUND(M38/60,2)-3)*I38*$L$16*0.1,"--")</f>
        <v>--</v>
      </c>
      <c r="U38" s="215" t="str">
        <f>IF(N38="R",I38*$L$16*O38/100,"--")</f>
        <v>--</v>
      </c>
      <c r="V38" s="219" t="str">
        <f>IF(AND(M38&gt;10,N38="R"),I38*$L$16*O38/100*IF(M38&gt;180,3,ROUND(M38/60,2)),"--")</f>
        <v>--</v>
      </c>
      <c r="W38" s="223" t="str">
        <f>IF(AND(M38&gt;180,N38="R"),(ROUND(M38/60,2)-3)*I38*$L$16*0.1*O38/100,"--")</f>
        <v>--</v>
      </c>
      <c r="X38" s="228" t="str">
        <f>IF(N38="RF",ROUND(M38/60,2)*I38*$L$16*0.1,"--")</f>
        <v>--</v>
      </c>
      <c r="Y38" s="233" t="str">
        <f>IF(N38="RR",ROUND(M38/60,2)*I38*$L$16*0.1*O38/100,"--")</f>
        <v>--</v>
      </c>
      <c r="Z38" s="408" t="s">
        <v>165</v>
      </c>
      <c r="AA38" s="28">
        <f>IF(F38="","",SUM(P38:Y38)*IF(Z38="SI",1,2))</f>
        <v>9877.725</v>
      </c>
      <c r="AB38" s="8"/>
    </row>
    <row r="39" spans="1:28" s="7" customFormat="1" ht="15">
      <c r="A39" s="6"/>
      <c r="B39" s="65"/>
      <c r="C39" s="390">
        <v>19</v>
      </c>
      <c r="D39" s="387">
        <v>273050</v>
      </c>
      <c r="E39" s="387">
        <v>4045</v>
      </c>
      <c r="F39" s="391" t="s">
        <v>178</v>
      </c>
      <c r="G39" s="396">
        <v>132</v>
      </c>
      <c r="H39" s="397">
        <v>33.75</v>
      </c>
      <c r="I39" s="176">
        <f t="shared" si="0"/>
        <v>80.81775</v>
      </c>
      <c r="J39" s="401">
        <v>41709.82847222222</v>
      </c>
      <c r="K39" s="401">
        <v>41709.839583333334</v>
      </c>
      <c r="L39" s="12">
        <f>IF(F39="","",(K39-J39)*24)</f>
        <v>0.26666666666278616</v>
      </c>
      <c r="M39" s="13">
        <f>IF(F39="","",ROUND((K39-J39)*24*60,0))</f>
        <v>16</v>
      </c>
      <c r="N39" s="403" t="s">
        <v>172</v>
      </c>
      <c r="O39" s="404" t="str">
        <f>IF(F39="","","--")</f>
        <v>--</v>
      </c>
      <c r="P39" s="190" t="str">
        <f>IF(N39="P",ROUND(M39/60,2)*I39*$L$16*0.01,"--")</f>
        <v>--</v>
      </c>
      <c r="Q39" s="195" t="str">
        <f>IF(N39="RP",I39*O39*ROUND(L39/60,2)*0.01*M39/100,"--")</f>
        <v>--</v>
      </c>
      <c r="R39" s="200">
        <f>IF(N39="F",I39*$L$16,"--")</f>
        <v>4849.0650000000005</v>
      </c>
      <c r="S39" s="201">
        <f>IF(AND(M39&gt;10,N39="F"),I39*$L$16*IF(M39&gt;180,3,ROUND((M39)/60,2)),"--")</f>
        <v>1309.2475500000003</v>
      </c>
      <c r="T39" s="202" t="str">
        <f>IF(AND(M39&gt;180,N39="F"),(ROUND(M39/60,2)-3)*I39*$L$16*0.1,"--")</f>
        <v>--</v>
      </c>
      <c r="U39" s="215" t="str">
        <f>IF(N39="R",I39*$L$16*O39/100,"--")</f>
        <v>--</v>
      </c>
      <c r="V39" s="219" t="str">
        <f>IF(AND(M39&gt;10,N39="R"),I39*$L$16*O39/100*IF(M39&gt;180,3,ROUND(M39/60,2)),"--")</f>
        <v>--</v>
      </c>
      <c r="W39" s="223" t="str">
        <f>IF(AND(M39&gt;180,N39="R"),(ROUND(M39/60,2)-3)*I39*$L$16*0.1*O39/100,"--")</f>
        <v>--</v>
      </c>
      <c r="X39" s="228" t="str">
        <f>IF(N39="RF",ROUND(M39/60,2)*I39*$L$16*0.1,"--")</f>
        <v>--</v>
      </c>
      <c r="Y39" s="233" t="str">
        <f>IF(N39="RR",ROUND(M39/60,2)*I39*$L$16*0.1*O39/100,"--")</f>
        <v>--</v>
      </c>
      <c r="Z39" s="408" t="str">
        <f>IF(F39="","","SI")</f>
        <v>SI</v>
      </c>
      <c r="AA39" s="28">
        <f>IF(F39="","",SUM(P39:Y39)*IF(Z39="SI",1,2))</f>
        <v>6158.312550000001</v>
      </c>
      <c r="AB39" s="8"/>
    </row>
    <row r="40" spans="1:28" s="7" customFormat="1" ht="15">
      <c r="A40" s="6"/>
      <c r="B40" s="65"/>
      <c r="C40" s="390"/>
      <c r="D40" s="387"/>
      <c r="E40" s="387"/>
      <c r="F40" s="391"/>
      <c r="G40" s="396"/>
      <c r="H40" s="397"/>
      <c r="I40" s="176">
        <f t="shared" si="0"/>
        <v>59.865</v>
      </c>
      <c r="J40" s="401"/>
      <c r="K40" s="401"/>
      <c r="L40" s="12">
        <f>IF(F40="","",(K40-J40)*24)</f>
      </c>
      <c r="M40" s="13">
        <f>IF(F40="","",ROUND((K40-J40)*24*60,0))</f>
      </c>
      <c r="N40" s="403"/>
      <c r="O40" s="404">
        <f>IF(F40="","","--")</f>
      </c>
      <c r="P40" s="190" t="str">
        <f>IF(N40="P",ROUND(M40/60,2)*I40*$L$16*0.01,"--")</f>
        <v>--</v>
      </c>
      <c r="Q40" s="195" t="str">
        <f>IF(N40="RP",I40*O40*ROUND(L40/60,2)*0.01*M40/100,"--")</f>
        <v>--</v>
      </c>
      <c r="R40" s="200" t="str">
        <f>IF(N40="F",I40*$L$16,"--")</f>
        <v>--</v>
      </c>
      <c r="S40" s="201" t="str">
        <f>IF(AND(M40&gt;10,N40="F"),I40*$L$16*IF(M40&gt;180,3,ROUND((M40)/60,2)),"--")</f>
        <v>--</v>
      </c>
      <c r="T40" s="202" t="str">
        <f>IF(AND(M40&gt;180,N40="F"),(ROUND(M40/60,2)-3)*I40*$L$16*0.1,"--")</f>
        <v>--</v>
      </c>
      <c r="U40" s="215" t="str">
        <f>IF(N40="R",I40*$L$16*O40/100,"--")</f>
        <v>--</v>
      </c>
      <c r="V40" s="219" t="str">
        <f>IF(AND(M40&gt;10,N40="R"),I40*$L$16*O40/100*IF(M40&gt;180,3,ROUND(M40/60,2)),"--")</f>
        <v>--</v>
      </c>
      <c r="W40" s="223" t="str">
        <f>IF(AND(M40&gt;180,N40="R"),(ROUND(M40/60,2)-3)*I40*$L$16*0.1*O40/100,"--")</f>
        <v>--</v>
      </c>
      <c r="X40" s="228" t="str">
        <f>IF(N40="RF",ROUND(M40/60,2)*I40*$L$16*0.1,"--")</f>
        <v>--</v>
      </c>
      <c r="Y40" s="233" t="str">
        <f>IF(N40="RR",ROUND(M40/60,2)*I40*$L$16*0.1*O40/100,"--")</f>
        <v>--</v>
      </c>
      <c r="Z40" s="408">
        <f>IF(F40="","","SI")</f>
      </c>
      <c r="AA40" s="28">
        <f>IF(F40="","",SUM(P40:Y40)*IF(Z40="SI",1,2))</f>
      </c>
      <c r="AB40" s="8"/>
    </row>
    <row r="41" spans="1:28" s="7" customFormat="1" ht="15.75" thickBot="1">
      <c r="A41" s="6"/>
      <c r="B41" s="65"/>
      <c r="C41" s="392"/>
      <c r="D41" s="392"/>
      <c r="E41" s="392"/>
      <c r="F41" s="393"/>
      <c r="G41" s="398"/>
      <c r="H41" s="399"/>
      <c r="I41" s="177"/>
      <c r="J41" s="402"/>
      <c r="K41" s="402"/>
      <c r="L41" s="15"/>
      <c r="M41" s="15"/>
      <c r="N41" s="402"/>
      <c r="O41" s="405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409"/>
      <c r="AA41" s="105"/>
      <c r="AB41" s="8"/>
    </row>
    <row r="42" spans="1:28" s="7" customFormat="1" ht="17.25" thickBot="1" thickTop="1">
      <c r="A42" s="6"/>
      <c r="B42" s="65"/>
      <c r="C42" s="164" t="s">
        <v>39</v>
      </c>
      <c r="D42" s="459" t="s">
        <v>216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15" ref="P42:Y42">SUM(P19:P41)</f>
        <v>3022.385590723357</v>
      </c>
      <c r="Q42" s="209">
        <f t="shared" si="15"/>
        <v>0</v>
      </c>
      <c r="R42" s="235">
        <f t="shared" si="15"/>
        <v>89359.28776153564</v>
      </c>
      <c r="S42" s="235">
        <f t="shared" si="15"/>
        <v>64283.87379460693</v>
      </c>
      <c r="T42" s="235">
        <f t="shared" si="15"/>
        <v>4350.279252829835</v>
      </c>
      <c r="U42" s="236">
        <f t="shared" si="15"/>
        <v>0</v>
      </c>
      <c r="V42" s="236">
        <f t="shared" si="15"/>
        <v>0</v>
      </c>
      <c r="W42" s="236">
        <f t="shared" si="15"/>
        <v>0</v>
      </c>
      <c r="X42" s="237">
        <f t="shared" si="15"/>
        <v>0</v>
      </c>
      <c r="Y42" s="238">
        <f t="shared" si="15"/>
        <v>0</v>
      </c>
      <c r="Z42" s="6"/>
      <c r="AA42" s="173">
        <f>ROUND(SUM(AA19:AA41),2)</f>
        <v>161015.83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N45"/>
  <sheetViews>
    <sheetView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6.4218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41" t="str">
        <f>+'TOT-0314'!B2</f>
        <v>ANEXO VI al Memorandum D.T.E.E. N°          639     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42" t="s">
        <v>145</v>
      </c>
      <c r="B4" s="111"/>
      <c r="C4" s="442"/>
      <c r="AB4" s="40"/>
    </row>
    <row r="5" spans="1:28" s="39" customFormat="1" ht="11.25">
      <c r="A5" s="442" t="s">
        <v>146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16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17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18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10" t="str">
        <f>'TOT-0314'!B14</f>
        <v>Desde el 01 al 31 de marzo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19</v>
      </c>
      <c r="G16" s="289">
        <v>239.46</v>
      </c>
      <c r="H16" s="185"/>
      <c r="I16" s="6"/>
      <c r="J16"/>
      <c r="K16" s="102" t="s">
        <v>20</v>
      </c>
      <c r="L16" s="103">
        <f>30*'TOT-0314'!B13</f>
        <v>60</v>
      </c>
      <c r="M16" s="172" t="str">
        <f>IF(L16=30," ",IF(L16=60,"Coeficiente duplicado por tasa de falla &gt;4 Sal. x año/100 km.","REVISAR COEFICIENTE"))</f>
        <v>Coeficiente duplicado por tasa de falla &gt;4 Sal. x año/100 km.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54">
        <v>3</v>
      </c>
      <c r="D17" s="454">
        <v>4</v>
      </c>
      <c r="E17" s="454">
        <v>5</v>
      </c>
      <c r="F17" s="454">
        <v>6</v>
      </c>
      <c r="G17" s="454">
        <v>7</v>
      </c>
      <c r="H17" s="454">
        <v>8</v>
      </c>
      <c r="I17" s="454">
        <v>9</v>
      </c>
      <c r="J17" s="454">
        <v>10</v>
      </c>
      <c r="K17" s="454">
        <v>11</v>
      </c>
      <c r="L17" s="454">
        <v>12</v>
      </c>
      <c r="M17" s="454">
        <v>13</v>
      </c>
      <c r="N17" s="454">
        <v>14</v>
      </c>
      <c r="O17" s="454">
        <v>15</v>
      </c>
      <c r="P17" s="454">
        <v>16</v>
      </c>
      <c r="Q17" s="454">
        <v>17</v>
      </c>
      <c r="R17" s="454">
        <v>18</v>
      </c>
      <c r="S17" s="454">
        <v>19</v>
      </c>
      <c r="T17" s="454">
        <v>20</v>
      </c>
      <c r="U17" s="454">
        <v>21</v>
      </c>
      <c r="V17" s="454">
        <v>22</v>
      </c>
      <c r="W17" s="454">
        <v>23</v>
      </c>
      <c r="X17" s="454">
        <v>24</v>
      </c>
      <c r="Y17" s="454">
        <v>25</v>
      </c>
      <c r="Z17" s="454">
        <v>26</v>
      </c>
      <c r="AA17" s="454">
        <v>27</v>
      </c>
      <c r="AB17" s="8"/>
    </row>
    <row r="18" spans="1:28" s="7" customFormat="1" ht="33.75" customHeight="1" thickBot="1" thickTop="1">
      <c r="A18" s="6"/>
      <c r="B18" s="65"/>
      <c r="C18" s="112" t="s">
        <v>21</v>
      </c>
      <c r="D18" s="112" t="s">
        <v>144</v>
      </c>
      <c r="E18" s="112" t="s">
        <v>143</v>
      </c>
      <c r="F18" s="113" t="s">
        <v>3</v>
      </c>
      <c r="G18" s="114" t="s">
        <v>22</v>
      </c>
      <c r="H18" s="115" t="s">
        <v>23</v>
      </c>
      <c r="I18" s="174" t="s">
        <v>24</v>
      </c>
      <c r="J18" s="113" t="s">
        <v>25</v>
      </c>
      <c r="K18" s="113" t="s">
        <v>26</v>
      </c>
      <c r="L18" s="114" t="s">
        <v>27</v>
      </c>
      <c r="M18" s="114" t="s">
        <v>28</v>
      </c>
      <c r="N18" s="116" t="s">
        <v>29</v>
      </c>
      <c r="O18" s="114" t="s">
        <v>30</v>
      </c>
      <c r="P18" s="187" t="s">
        <v>31</v>
      </c>
      <c r="Q18" s="192" t="s">
        <v>32</v>
      </c>
      <c r="R18" s="197" t="s">
        <v>33</v>
      </c>
      <c r="S18" s="198"/>
      <c r="T18" s="199"/>
      <c r="U18" s="210" t="s">
        <v>34</v>
      </c>
      <c r="V18" s="211"/>
      <c r="W18" s="212"/>
      <c r="X18" s="225" t="s">
        <v>35</v>
      </c>
      <c r="Y18" s="230" t="s">
        <v>36</v>
      </c>
      <c r="Z18" s="117" t="s">
        <v>37</v>
      </c>
      <c r="AA18" s="183" t="s">
        <v>38</v>
      </c>
      <c r="AB18" s="8"/>
    </row>
    <row r="19" spans="1:28" s="7" customFormat="1" ht="15.75" thickTop="1">
      <c r="A19" s="6"/>
      <c r="B19" s="65"/>
      <c r="C19" s="386"/>
      <c r="D19" s="440"/>
      <c r="E19" s="440"/>
      <c r="F19" s="387"/>
      <c r="G19" s="394"/>
      <c r="H19" s="395"/>
      <c r="I19" s="186"/>
      <c r="J19" s="400"/>
      <c r="K19" s="400"/>
      <c r="L19" s="9"/>
      <c r="M19" s="9"/>
      <c r="N19" s="387"/>
      <c r="O19" s="390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406"/>
      <c r="AA19" s="184">
        <f>'LI-03 (1)'!AA42</f>
        <v>161015.83</v>
      </c>
      <c r="AB19" s="8"/>
    </row>
    <row r="20" spans="1:28" s="7" customFormat="1" ht="15">
      <c r="A20" s="6"/>
      <c r="B20" s="65"/>
      <c r="C20" s="388"/>
      <c r="D20" s="389"/>
      <c r="E20" s="389"/>
      <c r="F20" s="389"/>
      <c r="G20" s="388"/>
      <c r="H20" s="388"/>
      <c r="I20" s="175"/>
      <c r="J20" s="388"/>
      <c r="K20" s="396"/>
      <c r="L20" s="11"/>
      <c r="M20" s="11"/>
      <c r="N20" s="389"/>
      <c r="O20" s="388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407"/>
      <c r="AA20" s="104"/>
      <c r="AB20" s="8"/>
    </row>
    <row r="21" spans="1:28" s="7" customFormat="1" ht="15">
      <c r="A21" s="6"/>
      <c r="B21" s="65"/>
      <c r="C21" s="390">
        <v>20</v>
      </c>
      <c r="D21" s="387">
        <v>273051</v>
      </c>
      <c r="E21" s="387">
        <v>4249</v>
      </c>
      <c r="F21" s="391" t="s">
        <v>179</v>
      </c>
      <c r="G21" s="396">
        <v>132</v>
      </c>
      <c r="H21" s="397">
        <v>60</v>
      </c>
      <c r="I21" s="176">
        <f>$G$16/100*IF(H21&gt;25,H21,25)</f>
        <v>143.67600000000002</v>
      </c>
      <c r="J21" s="401">
        <v>41709.82847222222</v>
      </c>
      <c r="K21" s="401">
        <v>41709.839583333334</v>
      </c>
      <c r="L21" s="12">
        <f>IF(F21="","",(K21-J21)*24)</f>
        <v>0.26666666666278616</v>
      </c>
      <c r="M21" s="13">
        <f>IF(F21="","",ROUND((K21-J21)*24*60,0))</f>
        <v>16</v>
      </c>
      <c r="N21" s="403" t="s">
        <v>172</v>
      </c>
      <c r="O21" s="404" t="str">
        <f>IF(F21="","","--")</f>
        <v>--</v>
      </c>
      <c r="P21" s="190" t="str">
        <f>IF(N21="P",ROUND(M21/60,2)*I21*$L$16*0.01,"--")</f>
        <v>--</v>
      </c>
      <c r="Q21" s="195" t="str">
        <f>IF(N21="RP",I21*O21*ROUND(L21/60,2)*0.01*M21/100,"--")</f>
        <v>--</v>
      </c>
      <c r="R21" s="200">
        <f>IF(N21="F",I21*$L$16,"--")</f>
        <v>8620.560000000001</v>
      </c>
      <c r="S21" s="201">
        <f>IF(AND(M21&gt;10,N21="F"),I21*$L$16*IF(M21&gt;180,3,ROUND((M21)/60,2)),"--")</f>
        <v>2327.5512000000003</v>
      </c>
      <c r="T21" s="202" t="str">
        <f>IF(AND(M21&gt;180,N21="F"),(ROUND(M21/60,2)-3)*I21*$L$16*0.1,"--")</f>
        <v>--</v>
      </c>
      <c r="U21" s="215" t="str">
        <f>IF(N21="R",I21*$L$16*O21/100,"--")</f>
        <v>--</v>
      </c>
      <c r="V21" s="219" t="str">
        <f>IF(AND(M21&gt;10,N21="R"),I21*$L$16*O21/100*IF(M21&gt;180,3,ROUND(M21/60,2)),"--")</f>
        <v>--</v>
      </c>
      <c r="W21" s="223" t="str">
        <f>IF(AND(M21&gt;180,N21="R"),(ROUND(M21/60,2)-3)*I21*$L$16*0.1*O21/100,"--")</f>
        <v>--</v>
      </c>
      <c r="X21" s="228" t="str">
        <f>IF(N21="RF",ROUND(M21/60,2)*I21*$L$16*0.1,"--")</f>
        <v>--</v>
      </c>
      <c r="Y21" s="233" t="str">
        <f>IF(N21="RR",ROUND(M21/60,2)*I21*$L$16*0.1*O21/100,"--")</f>
        <v>--</v>
      </c>
      <c r="Z21" s="408" t="str">
        <f>IF(F21="","","SI")</f>
        <v>SI</v>
      </c>
      <c r="AA21" s="28">
        <f>IF(F21="","",SUM(P21:Y21)*IF(Z21="SI",1,2))</f>
        <v>10948.111200000001</v>
      </c>
      <c r="AB21" s="287"/>
    </row>
    <row r="22" spans="1:28" s="7" customFormat="1" ht="15">
      <c r="A22" s="6"/>
      <c r="B22" s="65"/>
      <c r="C22" s="390">
        <v>21</v>
      </c>
      <c r="D22" s="387">
        <v>273053</v>
      </c>
      <c r="E22" s="387">
        <v>5295</v>
      </c>
      <c r="F22" s="391" t="s">
        <v>206</v>
      </c>
      <c r="G22" s="396">
        <v>132</v>
      </c>
      <c r="H22" s="397">
        <v>133.5</v>
      </c>
      <c r="I22" s="176">
        <f aca="true" t="shared" si="0" ref="I22:I40">$G$16/100*IF(H22&gt;25,H22,25)</f>
        <v>319.6791</v>
      </c>
      <c r="J22" s="401">
        <v>41710.416666666664</v>
      </c>
      <c r="K22" s="401">
        <v>41710.623611111114</v>
      </c>
      <c r="L22" s="12">
        <f aca="true" t="shared" si="1" ref="L22:L37">IF(F22="","",(K22-J22)*24)</f>
        <v>4.966666666790843</v>
      </c>
      <c r="M22" s="13">
        <f aca="true" t="shared" si="2" ref="M22:M37">IF(F22="","",ROUND((K22-J22)*24*60,0))</f>
        <v>298</v>
      </c>
      <c r="N22" s="403" t="s">
        <v>164</v>
      </c>
      <c r="O22" s="404" t="str">
        <f aca="true" t="shared" si="3" ref="O22:O37">IF(F22="","","--")</f>
        <v>--</v>
      </c>
      <c r="P22" s="190">
        <f aca="true" t="shared" si="4" ref="P22:P37">IF(N22="P",ROUND(M22/60,2)*I22*$L$16*0.01,"--")</f>
        <v>953.2830762</v>
      </c>
      <c r="Q22" s="195" t="str">
        <f aca="true" t="shared" si="5" ref="Q22:Q37">IF(N22="RP",I22*O22*ROUND(L22/60,2)*0.01*M22/100,"--")</f>
        <v>--</v>
      </c>
      <c r="R22" s="200" t="str">
        <f aca="true" t="shared" si="6" ref="R22:R37">IF(N22="F",I22*$L$16,"--")</f>
        <v>--</v>
      </c>
      <c r="S22" s="201" t="str">
        <f aca="true" t="shared" si="7" ref="S22:S37">IF(AND(M22&gt;10,N22="F"),I22*$L$16*IF(M22&gt;180,3,ROUND((M22)/60,2)),"--")</f>
        <v>--</v>
      </c>
      <c r="T22" s="202" t="str">
        <f aca="true" t="shared" si="8" ref="T22:T37">IF(AND(M22&gt;180,N22="F"),(ROUND(M22/60,2)-3)*I22*$L$16*0.1,"--")</f>
        <v>--</v>
      </c>
      <c r="U22" s="215" t="str">
        <f aca="true" t="shared" si="9" ref="U22:U37">IF(N22="R",I22*$L$16*O22/100,"--")</f>
        <v>--</v>
      </c>
      <c r="V22" s="219" t="str">
        <f aca="true" t="shared" si="10" ref="V22:V37">IF(AND(M22&gt;10,N22="R"),I22*$L$16*O22/100*IF(M22&gt;180,3,ROUND(M22/60,2)),"--")</f>
        <v>--</v>
      </c>
      <c r="W22" s="223" t="str">
        <f aca="true" t="shared" si="11" ref="W22:W37">IF(AND(M22&gt;180,N22="R"),(ROUND(M22/60,2)-3)*I22*$L$16*0.1*O22/100,"--")</f>
        <v>--</v>
      </c>
      <c r="X22" s="228" t="str">
        <f aca="true" t="shared" si="12" ref="X22:X37">IF(N22="RF",ROUND(M22/60,2)*I22*$L$16*0.1,"--")</f>
        <v>--</v>
      </c>
      <c r="Y22" s="233" t="str">
        <f aca="true" t="shared" si="13" ref="Y22:Y37">IF(N22="RR",ROUND(M22/60,2)*I22*$L$16*0.1*O22/100,"--")</f>
        <v>--</v>
      </c>
      <c r="Z22" s="408" t="s">
        <v>165</v>
      </c>
      <c r="AA22" s="28">
        <f aca="true" t="shared" si="14" ref="AA22:AA37">IF(F22="","",SUM(P22:Y22)*IF(Z22="SI",1,2))</f>
        <v>953.2830762</v>
      </c>
      <c r="AB22" s="287"/>
    </row>
    <row r="23" spans="1:28" s="7" customFormat="1" ht="15">
      <c r="A23" s="6"/>
      <c r="B23" s="65"/>
      <c r="C23" s="390">
        <v>22</v>
      </c>
      <c r="D23" s="387">
        <v>273054</v>
      </c>
      <c r="E23" s="387">
        <v>5295</v>
      </c>
      <c r="F23" s="391" t="s">
        <v>206</v>
      </c>
      <c r="G23" s="396">
        <v>132</v>
      </c>
      <c r="H23" s="397">
        <v>133.5</v>
      </c>
      <c r="I23" s="176">
        <f t="shared" si="0"/>
        <v>319.6791</v>
      </c>
      <c r="J23" s="401">
        <v>41711.39097222222</v>
      </c>
      <c r="K23" s="401">
        <v>41711.66180555556</v>
      </c>
      <c r="L23" s="12">
        <f t="shared" si="1"/>
        <v>6.500000000058208</v>
      </c>
      <c r="M23" s="13">
        <f t="shared" si="2"/>
        <v>390</v>
      </c>
      <c r="N23" s="403" t="s">
        <v>164</v>
      </c>
      <c r="O23" s="404" t="str">
        <f t="shared" si="3"/>
        <v>--</v>
      </c>
      <c r="P23" s="190">
        <f t="shared" si="4"/>
        <v>1246.74849</v>
      </c>
      <c r="Q23" s="195" t="str">
        <f t="shared" si="5"/>
        <v>--</v>
      </c>
      <c r="R23" s="200" t="str">
        <f t="shared" si="6"/>
        <v>--</v>
      </c>
      <c r="S23" s="201" t="str">
        <f t="shared" si="7"/>
        <v>--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408" t="s">
        <v>165</v>
      </c>
      <c r="AA23" s="28">
        <f t="shared" si="14"/>
        <v>1246.74849</v>
      </c>
      <c r="AB23" s="287"/>
    </row>
    <row r="24" spans="1:28" s="7" customFormat="1" ht="15">
      <c r="A24" s="6"/>
      <c r="B24" s="65"/>
      <c r="C24" s="390">
        <v>23</v>
      </c>
      <c r="D24" s="387">
        <v>273066</v>
      </c>
      <c r="E24" s="387">
        <v>1474</v>
      </c>
      <c r="F24" s="391" t="s">
        <v>180</v>
      </c>
      <c r="G24" s="396">
        <v>132</v>
      </c>
      <c r="H24" s="397">
        <v>80.66000366210938</v>
      </c>
      <c r="I24" s="176">
        <f t="shared" si="0"/>
        <v>193.14844476928712</v>
      </c>
      <c r="J24" s="401">
        <v>41714.333333333336</v>
      </c>
      <c r="K24" s="401">
        <v>41714.53611111111</v>
      </c>
      <c r="L24" s="12">
        <f t="shared" si="1"/>
        <v>4.866666666639503</v>
      </c>
      <c r="M24" s="13">
        <f t="shared" si="2"/>
        <v>292</v>
      </c>
      <c r="N24" s="403" t="s">
        <v>164</v>
      </c>
      <c r="O24" s="404" t="str">
        <f t="shared" si="3"/>
        <v>--</v>
      </c>
      <c r="P24" s="190">
        <f t="shared" si="4"/>
        <v>564.379755615857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408" t="s">
        <v>165</v>
      </c>
      <c r="AA24" s="28">
        <f t="shared" si="14"/>
        <v>564.379755615857</v>
      </c>
      <c r="AB24" s="287"/>
    </row>
    <row r="25" spans="1:28" s="7" customFormat="1" ht="15">
      <c r="A25" s="6"/>
      <c r="B25" s="65"/>
      <c r="C25" s="390">
        <v>24</v>
      </c>
      <c r="D25" s="387">
        <v>273292</v>
      </c>
      <c r="E25" s="387">
        <v>3773</v>
      </c>
      <c r="F25" s="391" t="s">
        <v>173</v>
      </c>
      <c r="G25" s="396">
        <v>132</v>
      </c>
      <c r="H25" s="397">
        <v>222</v>
      </c>
      <c r="I25" s="176">
        <f t="shared" si="0"/>
        <v>531.6012000000001</v>
      </c>
      <c r="J25" s="401">
        <v>41715.375</v>
      </c>
      <c r="K25" s="401">
        <v>41715.74444444444</v>
      </c>
      <c r="L25" s="12">
        <f t="shared" si="1"/>
        <v>8.866666666581295</v>
      </c>
      <c r="M25" s="13">
        <f t="shared" si="2"/>
        <v>532</v>
      </c>
      <c r="N25" s="403" t="s">
        <v>164</v>
      </c>
      <c r="O25" s="404" t="str">
        <f t="shared" si="3"/>
        <v>--</v>
      </c>
      <c r="P25" s="190">
        <f t="shared" si="4"/>
        <v>2829.1815864000005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408" t="s">
        <v>165</v>
      </c>
      <c r="AA25" s="28">
        <f t="shared" si="14"/>
        <v>2829.1815864000005</v>
      </c>
      <c r="AB25" s="287"/>
    </row>
    <row r="26" spans="1:28" s="7" customFormat="1" ht="15">
      <c r="A26" s="6"/>
      <c r="B26" s="65"/>
      <c r="C26" s="390">
        <v>25</v>
      </c>
      <c r="D26" s="387">
        <v>273293</v>
      </c>
      <c r="E26" s="387">
        <v>283</v>
      </c>
      <c r="F26" s="391" t="s">
        <v>176</v>
      </c>
      <c r="G26" s="396">
        <v>132</v>
      </c>
      <c r="H26" s="397">
        <v>91.19999694824219</v>
      </c>
      <c r="I26" s="176">
        <f t="shared" si="0"/>
        <v>218.38751269226074</v>
      </c>
      <c r="J26" s="401">
        <v>41717.34166666667</v>
      </c>
      <c r="K26" s="401">
        <v>41717.59930555556</v>
      </c>
      <c r="L26" s="12">
        <f t="shared" si="1"/>
        <v>6.183333333407063</v>
      </c>
      <c r="M26" s="13">
        <f t="shared" si="2"/>
        <v>371</v>
      </c>
      <c r="N26" s="403" t="s">
        <v>164</v>
      </c>
      <c r="O26" s="404" t="str">
        <f t="shared" si="3"/>
        <v>--</v>
      </c>
      <c r="P26" s="190">
        <f t="shared" si="4"/>
        <v>809.7808970629028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408" t="s">
        <v>165</v>
      </c>
      <c r="AA26" s="28">
        <f t="shared" si="14"/>
        <v>809.7808970629028</v>
      </c>
      <c r="AB26" s="287"/>
    </row>
    <row r="27" spans="1:28" s="7" customFormat="1" ht="15">
      <c r="A27" s="6"/>
      <c r="B27" s="65"/>
      <c r="C27" s="390">
        <v>26</v>
      </c>
      <c r="D27" s="387">
        <v>273294</v>
      </c>
      <c r="E27" s="387">
        <v>3773</v>
      </c>
      <c r="F27" s="391" t="s">
        <v>173</v>
      </c>
      <c r="G27" s="396">
        <v>132</v>
      </c>
      <c r="H27" s="397">
        <v>222</v>
      </c>
      <c r="I27" s="176">
        <f t="shared" si="0"/>
        <v>531.6012000000001</v>
      </c>
      <c r="J27" s="401">
        <v>41717.40347222222</v>
      </c>
      <c r="K27" s="401">
        <v>41717.73402777778</v>
      </c>
      <c r="L27" s="12">
        <f t="shared" si="1"/>
        <v>7.933333333348855</v>
      </c>
      <c r="M27" s="13">
        <f t="shared" si="2"/>
        <v>476</v>
      </c>
      <c r="N27" s="403" t="s">
        <v>164</v>
      </c>
      <c r="O27" s="404" t="str">
        <f t="shared" si="3"/>
        <v>--</v>
      </c>
      <c r="P27" s="190">
        <f t="shared" si="4"/>
        <v>2529.3585096000006</v>
      </c>
      <c r="Q27" s="195" t="str">
        <f t="shared" si="5"/>
        <v>--</v>
      </c>
      <c r="R27" s="200" t="str">
        <f t="shared" si="6"/>
        <v>--</v>
      </c>
      <c r="S27" s="201" t="str">
        <f t="shared" si="7"/>
        <v>--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408" t="s">
        <v>165</v>
      </c>
      <c r="AA27" s="28">
        <f t="shared" si="14"/>
        <v>2529.3585096000006</v>
      </c>
      <c r="AB27" s="287"/>
    </row>
    <row r="28" spans="1:28" s="7" customFormat="1" ht="15">
      <c r="A28" s="6"/>
      <c r="B28" s="65"/>
      <c r="C28" s="390">
        <v>27</v>
      </c>
      <c r="D28" s="387">
        <v>273295</v>
      </c>
      <c r="E28" s="387">
        <v>283</v>
      </c>
      <c r="F28" s="391" t="s">
        <v>176</v>
      </c>
      <c r="G28" s="396">
        <v>132</v>
      </c>
      <c r="H28" s="397">
        <v>91.19999694824219</v>
      </c>
      <c r="I28" s="176">
        <f t="shared" si="0"/>
        <v>218.38751269226074</v>
      </c>
      <c r="J28" s="401">
        <v>41718.334027777775</v>
      </c>
      <c r="K28" s="401">
        <v>41718.61944444444</v>
      </c>
      <c r="L28" s="12">
        <f t="shared" si="1"/>
        <v>6.849999999976717</v>
      </c>
      <c r="M28" s="13">
        <f t="shared" si="2"/>
        <v>411</v>
      </c>
      <c r="N28" s="403" t="s">
        <v>164</v>
      </c>
      <c r="O28" s="404" t="str">
        <f t="shared" si="3"/>
        <v>--</v>
      </c>
      <c r="P28" s="190">
        <f t="shared" si="4"/>
        <v>897.5726771651916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408" t="s">
        <v>165</v>
      </c>
      <c r="AA28" s="28">
        <f t="shared" si="14"/>
        <v>897.5726771651916</v>
      </c>
      <c r="AB28" s="8"/>
    </row>
    <row r="29" spans="1:28" s="7" customFormat="1" ht="15">
      <c r="A29" s="6"/>
      <c r="B29" s="65"/>
      <c r="C29" s="390">
        <v>28</v>
      </c>
      <c r="D29" s="387">
        <v>273296</v>
      </c>
      <c r="E29" s="387">
        <v>3773</v>
      </c>
      <c r="F29" s="391" t="s">
        <v>173</v>
      </c>
      <c r="G29" s="396">
        <v>132</v>
      </c>
      <c r="H29" s="397">
        <v>222</v>
      </c>
      <c r="I29" s="176">
        <f t="shared" si="0"/>
        <v>531.6012000000001</v>
      </c>
      <c r="J29" s="401">
        <v>41718.342361111114</v>
      </c>
      <c r="K29" s="401">
        <v>41718.73472222222</v>
      </c>
      <c r="L29" s="12">
        <f t="shared" si="1"/>
        <v>9.416666666627862</v>
      </c>
      <c r="M29" s="13">
        <f t="shared" si="2"/>
        <v>565</v>
      </c>
      <c r="N29" s="403" t="s">
        <v>164</v>
      </c>
      <c r="O29" s="404" t="str">
        <f t="shared" si="3"/>
        <v>--</v>
      </c>
      <c r="P29" s="190">
        <f t="shared" si="4"/>
        <v>3004.6099824</v>
      </c>
      <c r="Q29" s="195" t="str">
        <f t="shared" si="5"/>
        <v>--</v>
      </c>
      <c r="R29" s="200" t="str">
        <f t="shared" si="6"/>
        <v>--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408" t="s">
        <v>165</v>
      </c>
      <c r="AA29" s="28">
        <f t="shared" si="14"/>
        <v>3004.6099824</v>
      </c>
      <c r="AB29" s="8"/>
    </row>
    <row r="30" spans="1:28" s="7" customFormat="1" ht="15">
      <c r="A30" s="6"/>
      <c r="B30" s="65"/>
      <c r="C30" s="390">
        <v>29</v>
      </c>
      <c r="D30" s="387">
        <v>273297</v>
      </c>
      <c r="E30" s="387">
        <v>3571</v>
      </c>
      <c r="F30" s="391" t="s">
        <v>181</v>
      </c>
      <c r="G30" s="396">
        <v>132</v>
      </c>
      <c r="H30" s="397">
        <v>75</v>
      </c>
      <c r="I30" s="176">
        <f t="shared" si="0"/>
        <v>179.595</v>
      </c>
      <c r="J30" s="401">
        <v>41718.75486111111</v>
      </c>
      <c r="K30" s="401">
        <v>41718.96111111111</v>
      </c>
      <c r="L30" s="12">
        <f t="shared" si="1"/>
        <v>4.949999999895226</v>
      </c>
      <c r="M30" s="13">
        <f t="shared" si="2"/>
        <v>297</v>
      </c>
      <c r="N30" s="403" t="s">
        <v>172</v>
      </c>
      <c r="O30" s="404" t="str">
        <f t="shared" si="3"/>
        <v>--</v>
      </c>
      <c r="P30" s="190" t="str">
        <f t="shared" si="4"/>
        <v>--</v>
      </c>
      <c r="Q30" s="195" t="str">
        <f t="shared" si="5"/>
        <v>--</v>
      </c>
      <c r="R30" s="200">
        <f t="shared" si="6"/>
        <v>10775.7</v>
      </c>
      <c r="S30" s="201">
        <f t="shared" si="7"/>
        <v>32327.100000000002</v>
      </c>
      <c r="T30" s="202">
        <f t="shared" si="8"/>
        <v>2101.2615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408" t="s">
        <v>165</v>
      </c>
      <c r="AA30" s="28">
        <f t="shared" si="14"/>
        <v>45204.0615</v>
      </c>
      <c r="AB30" s="8"/>
    </row>
    <row r="31" spans="1:28" s="7" customFormat="1" ht="15">
      <c r="A31" s="6"/>
      <c r="B31" s="65"/>
      <c r="C31" s="390">
        <v>30</v>
      </c>
      <c r="D31" s="387">
        <v>273298</v>
      </c>
      <c r="E31" s="387">
        <v>3773</v>
      </c>
      <c r="F31" s="391" t="s">
        <v>173</v>
      </c>
      <c r="G31" s="396">
        <v>132</v>
      </c>
      <c r="H31" s="397">
        <v>222</v>
      </c>
      <c r="I31" s="176">
        <f t="shared" si="0"/>
        <v>531.6012000000001</v>
      </c>
      <c r="J31" s="401">
        <v>41719.34583333333</v>
      </c>
      <c r="K31" s="401">
        <v>41719.74097222222</v>
      </c>
      <c r="L31" s="12">
        <f t="shared" si="1"/>
        <v>9.483333333337214</v>
      </c>
      <c r="M31" s="13">
        <f t="shared" si="2"/>
        <v>569</v>
      </c>
      <c r="N31" s="403" t="s">
        <v>164</v>
      </c>
      <c r="O31" s="404" t="str">
        <f t="shared" si="3"/>
        <v>--</v>
      </c>
      <c r="P31" s="190">
        <f t="shared" si="4"/>
        <v>3023.7476256000004</v>
      </c>
      <c r="Q31" s="195" t="str">
        <f t="shared" si="5"/>
        <v>--</v>
      </c>
      <c r="R31" s="200" t="str">
        <f t="shared" si="6"/>
        <v>--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408" t="s">
        <v>165</v>
      </c>
      <c r="AA31" s="28">
        <f t="shared" si="14"/>
        <v>3023.7476256000004</v>
      </c>
      <c r="AB31" s="8"/>
    </row>
    <row r="32" spans="1:28" s="7" customFormat="1" ht="15">
      <c r="A32" s="6"/>
      <c r="B32" s="65"/>
      <c r="C32" s="390">
        <v>31</v>
      </c>
      <c r="D32" s="387">
        <v>273299</v>
      </c>
      <c r="E32" s="387">
        <v>283</v>
      </c>
      <c r="F32" s="391" t="s">
        <v>176</v>
      </c>
      <c r="G32" s="396">
        <v>132</v>
      </c>
      <c r="H32" s="397">
        <v>91.19999694824219</v>
      </c>
      <c r="I32" s="176">
        <f t="shared" si="0"/>
        <v>218.38751269226074</v>
      </c>
      <c r="J32" s="401">
        <v>41719.35486111111</v>
      </c>
      <c r="K32" s="401">
        <v>41719.59722222222</v>
      </c>
      <c r="L32" s="12">
        <f t="shared" si="1"/>
        <v>5.816666666592937</v>
      </c>
      <c r="M32" s="13">
        <f t="shared" si="2"/>
        <v>349</v>
      </c>
      <c r="N32" s="403" t="s">
        <v>164</v>
      </c>
      <c r="O32" s="404" t="str">
        <f t="shared" si="3"/>
        <v>--</v>
      </c>
      <c r="P32" s="190">
        <f t="shared" si="4"/>
        <v>762.6091943213747</v>
      </c>
      <c r="Q32" s="195" t="str">
        <f t="shared" si="5"/>
        <v>--</v>
      </c>
      <c r="R32" s="200" t="str">
        <f t="shared" si="6"/>
        <v>--</v>
      </c>
      <c r="S32" s="201" t="str">
        <f t="shared" si="7"/>
        <v>--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408" t="s">
        <v>165</v>
      </c>
      <c r="AA32" s="28">
        <f t="shared" si="14"/>
        <v>762.6091943213747</v>
      </c>
      <c r="AB32" s="8"/>
    </row>
    <row r="33" spans="1:28" s="7" customFormat="1" ht="15">
      <c r="A33" s="6"/>
      <c r="B33" s="65"/>
      <c r="C33" s="390">
        <v>32</v>
      </c>
      <c r="D33" s="387">
        <v>273300</v>
      </c>
      <c r="E33" s="387">
        <v>4873</v>
      </c>
      <c r="F33" s="391" t="s">
        <v>174</v>
      </c>
      <c r="G33" s="396">
        <v>132</v>
      </c>
      <c r="H33" s="397">
        <v>14.600000381469727</v>
      </c>
      <c r="I33" s="176">
        <f t="shared" si="0"/>
        <v>59.865</v>
      </c>
      <c r="J33" s="401">
        <v>41719.47361111111</v>
      </c>
      <c r="K33" s="401">
        <v>41719.833333333336</v>
      </c>
      <c r="L33" s="12">
        <f t="shared" si="1"/>
        <v>8.633333333360497</v>
      </c>
      <c r="M33" s="13">
        <f t="shared" si="2"/>
        <v>518</v>
      </c>
      <c r="N33" s="403" t="s">
        <v>172</v>
      </c>
      <c r="O33" s="404" t="str">
        <f t="shared" si="3"/>
        <v>--</v>
      </c>
      <c r="P33" s="190" t="str">
        <f t="shared" si="4"/>
        <v>--</v>
      </c>
      <c r="Q33" s="195" t="str">
        <f t="shared" si="5"/>
        <v>--</v>
      </c>
      <c r="R33" s="200">
        <f t="shared" si="6"/>
        <v>3591.9</v>
      </c>
      <c r="S33" s="201">
        <f t="shared" si="7"/>
        <v>10775.7</v>
      </c>
      <c r="T33" s="202">
        <f t="shared" si="8"/>
        <v>2022.2397</v>
      </c>
      <c r="U33" s="215" t="str">
        <f t="shared" si="9"/>
        <v>--</v>
      </c>
      <c r="V33" s="219" t="str">
        <f t="shared" si="10"/>
        <v>--</v>
      </c>
      <c r="W33" s="223" t="str">
        <f t="shared" si="11"/>
        <v>--</v>
      </c>
      <c r="X33" s="228" t="str">
        <f t="shared" si="12"/>
        <v>--</v>
      </c>
      <c r="Y33" s="233" t="str">
        <f t="shared" si="13"/>
        <v>--</v>
      </c>
      <c r="Z33" s="408" t="s">
        <v>165</v>
      </c>
      <c r="AA33" s="28">
        <f t="shared" si="14"/>
        <v>16389.8397</v>
      </c>
      <c r="AB33" s="8"/>
    </row>
    <row r="34" spans="1:28" s="7" customFormat="1" ht="15">
      <c r="A34" s="6"/>
      <c r="B34" s="65"/>
      <c r="C34" s="390">
        <v>33</v>
      </c>
      <c r="D34" s="387">
        <v>273304</v>
      </c>
      <c r="E34" s="387">
        <v>4691</v>
      </c>
      <c r="F34" s="391" t="s">
        <v>182</v>
      </c>
      <c r="G34" s="396">
        <v>132</v>
      </c>
      <c r="H34" s="397">
        <v>102</v>
      </c>
      <c r="I34" s="176">
        <f t="shared" si="0"/>
        <v>244.2492</v>
      </c>
      <c r="J34" s="401">
        <v>41719.60138888889</v>
      </c>
      <c r="K34" s="401">
        <v>41719.66805555556</v>
      </c>
      <c r="L34" s="12">
        <f t="shared" si="1"/>
        <v>1.599999999976717</v>
      </c>
      <c r="M34" s="13">
        <f t="shared" si="2"/>
        <v>96</v>
      </c>
      <c r="N34" s="403" t="s">
        <v>164</v>
      </c>
      <c r="O34" s="404" t="str">
        <f t="shared" si="3"/>
        <v>--</v>
      </c>
      <c r="P34" s="190">
        <f t="shared" si="4"/>
        <v>234.47923200000002</v>
      </c>
      <c r="Q34" s="195" t="str">
        <f t="shared" si="5"/>
        <v>--</v>
      </c>
      <c r="R34" s="200" t="str">
        <f t="shared" si="6"/>
        <v>--</v>
      </c>
      <c r="S34" s="201" t="str">
        <f t="shared" si="7"/>
        <v>--</v>
      </c>
      <c r="T34" s="202" t="str">
        <f t="shared" si="8"/>
        <v>--</v>
      </c>
      <c r="U34" s="215" t="str">
        <f t="shared" si="9"/>
        <v>--</v>
      </c>
      <c r="V34" s="219" t="str">
        <f t="shared" si="10"/>
        <v>--</v>
      </c>
      <c r="W34" s="223" t="str">
        <f t="shared" si="11"/>
        <v>--</v>
      </c>
      <c r="X34" s="228" t="str">
        <f t="shared" si="12"/>
        <v>--</v>
      </c>
      <c r="Y34" s="233" t="str">
        <f t="shared" si="13"/>
        <v>--</v>
      </c>
      <c r="Z34" s="408" t="str">
        <f>IF(F34="","","SI")</f>
        <v>SI</v>
      </c>
      <c r="AA34" s="28">
        <f t="shared" si="14"/>
        <v>234.47923200000002</v>
      </c>
      <c r="AB34" s="8"/>
    </row>
    <row r="35" spans="1:28" s="7" customFormat="1" ht="15">
      <c r="A35" s="6"/>
      <c r="B35" s="65"/>
      <c r="C35" s="390">
        <v>34</v>
      </c>
      <c r="D35" s="387">
        <v>273308</v>
      </c>
      <c r="E35" s="387">
        <v>3944</v>
      </c>
      <c r="F35" s="391" t="s">
        <v>183</v>
      </c>
      <c r="G35" s="396">
        <v>132</v>
      </c>
      <c r="H35" s="397">
        <v>74.54000091552734</v>
      </c>
      <c r="I35" s="176">
        <f t="shared" si="0"/>
        <v>178.49348619232177</v>
      </c>
      <c r="J35" s="401">
        <v>41721.33125</v>
      </c>
      <c r="K35" s="401">
        <v>41721.74722222222</v>
      </c>
      <c r="L35" s="12">
        <f t="shared" si="1"/>
        <v>9.983333333220799</v>
      </c>
      <c r="M35" s="13">
        <f t="shared" si="2"/>
        <v>599</v>
      </c>
      <c r="N35" s="403" t="s">
        <v>164</v>
      </c>
      <c r="O35" s="404" t="str">
        <f t="shared" si="3"/>
        <v>--</v>
      </c>
      <c r="P35" s="190">
        <f t="shared" si="4"/>
        <v>1068.818995319623</v>
      </c>
      <c r="Q35" s="195" t="str">
        <f t="shared" si="5"/>
        <v>--</v>
      </c>
      <c r="R35" s="200" t="str">
        <f t="shared" si="6"/>
        <v>--</v>
      </c>
      <c r="S35" s="201" t="str">
        <f t="shared" si="7"/>
        <v>--</v>
      </c>
      <c r="T35" s="202" t="str">
        <f t="shared" si="8"/>
        <v>--</v>
      </c>
      <c r="U35" s="215" t="str">
        <f t="shared" si="9"/>
        <v>--</v>
      </c>
      <c r="V35" s="219" t="str">
        <f t="shared" si="10"/>
        <v>--</v>
      </c>
      <c r="W35" s="223" t="str">
        <f t="shared" si="11"/>
        <v>--</v>
      </c>
      <c r="X35" s="228" t="str">
        <f t="shared" si="12"/>
        <v>--</v>
      </c>
      <c r="Y35" s="233" t="str">
        <f t="shared" si="13"/>
        <v>--</v>
      </c>
      <c r="Z35" s="408" t="s">
        <v>165</v>
      </c>
      <c r="AA35" s="28">
        <f t="shared" si="14"/>
        <v>1068.818995319623</v>
      </c>
      <c r="AB35" s="8"/>
    </row>
    <row r="36" spans="1:28" s="7" customFormat="1" ht="15">
      <c r="A36" s="6"/>
      <c r="B36" s="65"/>
      <c r="C36" s="390">
        <v>35</v>
      </c>
      <c r="D36" s="387">
        <v>273309</v>
      </c>
      <c r="E36" s="387">
        <v>1474</v>
      </c>
      <c r="F36" s="391" t="s">
        <v>180</v>
      </c>
      <c r="G36" s="396">
        <v>132</v>
      </c>
      <c r="H36" s="397">
        <v>80.66000366210938</v>
      </c>
      <c r="I36" s="176">
        <f t="shared" si="0"/>
        <v>193.14844476928712</v>
      </c>
      <c r="J36" s="401">
        <v>41721.33888888889</v>
      </c>
      <c r="K36" s="401">
        <v>41721.56319444445</v>
      </c>
      <c r="L36" s="12">
        <f t="shared" si="1"/>
        <v>5.383333333418705</v>
      </c>
      <c r="M36" s="13">
        <f t="shared" si="2"/>
        <v>323</v>
      </c>
      <c r="N36" s="403" t="s">
        <v>164</v>
      </c>
      <c r="O36" s="404" t="str">
        <f t="shared" si="3"/>
        <v>--</v>
      </c>
      <c r="P36" s="190">
        <f t="shared" si="4"/>
        <v>623.4831797152588</v>
      </c>
      <c r="Q36" s="195" t="str">
        <f t="shared" si="5"/>
        <v>--</v>
      </c>
      <c r="R36" s="200" t="str">
        <f t="shared" si="6"/>
        <v>--</v>
      </c>
      <c r="S36" s="201" t="str">
        <f t="shared" si="7"/>
        <v>--</v>
      </c>
      <c r="T36" s="202" t="str">
        <f t="shared" si="8"/>
        <v>--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408" t="s">
        <v>165</v>
      </c>
      <c r="AA36" s="28">
        <f t="shared" si="14"/>
        <v>623.4831797152588</v>
      </c>
      <c r="AB36" s="8"/>
    </row>
    <row r="37" spans="1:28" s="7" customFormat="1" ht="15">
      <c r="A37" s="6"/>
      <c r="B37" s="65"/>
      <c r="C37" s="390">
        <v>36</v>
      </c>
      <c r="D37" s="387">
        <v>273724</v>
      </c>
      <c r="E37" s="387">
        <v>290</v>
      </c>
      <c r="F37" s="391" t="s">
        <v>171</v>
      </c>
      <c r="G37" s="396">
        <v>132</v>
      </c>
      <c r="H37" s="397">
        <v>220</v>
      </c>
      <c r="I37" s="176">
        <f t="shared" si="0"/>
        <v>526.812</v>
      </c>
      <c r="J37" s="401">
        <v>41723.35555555556</v>
      </c>
      <c r="K37" s="401">
        <v>41723.75486111111</v>
      </c>
      <c r="L37" s="12">
        <f t="shared" si="1"/>
        <v>9.58333333331393</v>
      </c>
      <c r="M37" s="13">
        <f t="shared" si="2"/>
        <v>575</v>
      </c>
      <c r="N37" s="403" t="s">
        <v>164</v>
      </c>
      <c r="O37" s="404" t="str">
        <f t="shared" si="3"/>
        <v>--</v>
      </c>
      <c r="P37" s="190">
        <f t="shared" si="4"/>
        <v>3028.1153760000007</v>
      </c>
      <c r="Q37" s="195" t="str">
        <f t="shared" si="5"/>
        <v>--</v>
      </c>
      <c r="R37" s="200" t="str">
        <f t="shared" si="6"/>
        <v>--</v>
      </c>
      <c r="S37" s="201" t="str">
        <f t="shared" si="7"/>
        <v>--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408" t="s">
        <v>165</v>
      </c>
      <c r="AA37" s="28">
        <f t="shared" si="14"/>
        <v>3028.1153760000007</v>
      </c>
      <c r="AB37" s="8"/>
    </row>
    <row r="38" spans="1:28" s="7" customFormat="1" ht="15">
      <c r="A38" s="6"/>
      <c r="B38" s="65"/>
      <c r="C38" s="390">
        <v>37</v>
      </c>
      <c r="D38" s="387">
        <v>273725</v>
      </c>
      <c r="E38" s="387">
        <v>305</v>
      </c>
      <c r="F38" s="391" t="s">
        <v>184</v>
      </c>
      <c r="G38" s="396">
        <v>132</v>
      </c>
      <c r="H38" s="397">
        <v>31.5</v>
      </c>
      <c r="I38" s="176">
        <f t="shared" si="0"/>
        <v>75.4299</v>
      </c>
      <c r="J38" s="401">
        <v>41723.37430555555</v>
      </c>
      <c r="K38" s="401">
        <v>41723.603472222225</v>
      </c>
      <c r="L38" s="12">
        <f>IF(F38="","",(K38-J38)*24)</f>
        <v>5.500000000116415</v>
      </c>
      <c r="M38" s="13">
        <f>IF(F38="","",ROUND((K38-J38)*24*60,0))</f>
        <v>330</v>
      </c>
      <c r="N38" s="403" t="s">
        <v>164</v>
      </c>
      <c r="O38" s="404" t="str">
        <f>IF(F38="","","--")</f>
        <v>--</v>
      </c>
      <c r="P38" s="190">
        <f>IF(N38="P",ROUND(M38/60,2)*I38*$L$16*0.01,"--")</f>
        <v>248.91867000000002</v>
      </c>
      <c r="Q38" s="195" t="str">
        <f>IF(N38="RP",I38*O38*ROUND(L38/60,2)*0.01*M38/100,"--")</f>
        <v>--</v>
      </c>
      <c r="R38" s="200" t="str">
        <f>IF(N38="F",I38*$L$16,"--")</f>
        <v>--</v>
      </c>
      <c r="S38" s="201" t="str">
        <f>IF(AND(M38&gt;10,N38="F"),I38*$L$16*IF(M38&gt;180,3,ROUND((M38)/60,2)),"--")</f>
        <v>--</v>
      </c>
      <c r="T38" s="202" t="str">
        <f>IF(AND(M38&gt;180,N38="F"),(ROUND(M38/60,2)-3)*I38*$L$16*0.1,"--")</f>
        <v>--</v>
      </c>
      <c r="U38" s="215" t="str">
        <f>IF(N38="R",I38*$L$16*O38/100,"--")</f>
        <v>--</v>
      </c>
      <c r="V38" s="219" t="str">
        <f>IF(AND(M38&gt;10,N38="R"),I38*$L$16*O38/100*IF(M38&gt;180,3,ROUND(M38/60,2)),"--")</f>
        <v>--</v>
      </c>
      <c r="W38" s="223" t="str">
        <f>IF(AND(M38&gt;180,N38="R"),(ROUND(M38/60,2)-3)*I38*$L$16*0.1*O38/100,"--")</f>
        <v>--</v>
      </c>
      <c r="X38" s="228" t="str">
        <f>IF(N38="RF",ROUND(M38/60,2)*I38*$L$16*0.1,"--")</f>
        <v>--</v>
      </c>
      <c r="Y38" s="233" t="str">
        <f>IF(N38="RR",ROUND(M38/60,2)*I38*$L$16*0.1*O38/100,"--")</f>
        <v>--</v>
      </c>
      <c r="Z38" s="408" t="s">
        <v>165</v>
      </c>
      <c r="AA38" s="28">
        <f>IF(F38="","",SUM(P38:Y38)*IF(Z38="SI",1,2))</f>
        <v>248.91867000000002</v>
      </c>
      <c r="AB38" s="8"/>
    </row>
    <row r="39" spans="1:28" s="7" customFormat="1" ht="15">
      <c r="A39" s="6"/>
      <c r="B39" s="65"/>
      <c r="C39" s="390">
        <v>38</v>
      </c>
      <c r="D39" s="387">
        <v>273727</v>
      </c>
      <c r="E39" s="387">
        <v>290</v>
      </c>
      <c r="F39" s="391" t="s">
        <v>171</v>
      </c>
      <c r="G39" s="396">
        <v>132</v>
      </c>
      <c r="H39" s="397">
        <v>220</v>
      </c>
      <c r="I39" s="176">
        <f t="shared" si="0"/>
        <v>526.812</v>
      </c>
      <c r="J39" s="401">
        <v>41724.35555555556</v>
      </c>
      <c r="K39" s="401">
        <v>41724.73125</v>
      </c>
      <c r="L39" s="12">
        <f>IF(F39="","",(K39-J39)*24)</f>
        <v>9.01666666654637</v>
      </c>
      <c r="M39" s="13">
        <f>IF(F39="","",ROUND((K39-J39)*24*60,0))</f>
        <v>541</v>
      </c>
      <c r="N39" s="403" t="s">
        <v>164</v>
      </c>
      <c r="O39" s="404" t="str">
        <f>IF(F39="","","--")</f>
        <v>--</v>
      </c>
      <c r="P39" s="190">
        <f>IF(N39="P",ROUND(M39/60,2)*I39*$L$16*0.01,"--")</f>
        <v>2851.1065439999993</v>
      </c>
      <c r="Q39" s="195" t="str">
        <f>IF(N39="RP",I39*O39*ROUND(L39/60,2)*0.01*M39/100,"--")</f>
        <v>--</v>
      </c>
      <c r="R39" s="200" t="str">
        <f>IF(N39="F",I39*$L$16,"--")</f>
        <v>--</v>
      </c>
      <c r="S39" s="201" t="str">
        <f>IF(AND(M39&gt;10,N39="F"),I39*$L$16*IF(M39&gt;180,3,ROUND((M39)/60,2)),"--")</f>
        <v>--</v>
      </c>
      <c r="T39" s="202" t="str">
        <f>IF(AND(M39&gt;180,N39="F"),(ROUND(M39/60,2)-3)*I39*$L$16*0.1,"--")</f>
        <v>--</v>
      </c>
      <c r="U39" s="215" t="str">
        <f>IF(N39="R",I39*$L$16*O39/100,"--")</f>
        <v>--</v>
      </c>
      <c r="V39" s="219" t="str">
        <f>IF(AND(M39&gt;10,N39="R"),I39*$L$16*O39/100*IF(M39&gt;180,3,ROUND(M39/60,2)),"--")</f>
        <v>--</v>
      </c>
      <c r="W39" s="223" t="str">
        <f>IF(AND(M39&gt;180,N39="R"),(ROUND(M39/60,2)-3)*I39*$L$16*0.1*O39/100,"--")</f>
        <v>--</v>
      </c>
      <c r="X39" s="228" t="str">
        <f>IF(N39="RF",ROUND(M39/60,2)*I39*$L$16*0.1,"--")</f>
        <v>--</v>
      </c>
      <c r="Y39" s="233" t="str">
        <f>IF(N39="RR",ROUND(M39/60,2)*I39*$L$16*0.1*O39/100,"--")</f>
        <v>--</v>
      </c>
      <c r="Z39" s="408" t="s">
        <v>165</v>
      </c>
      <c r="AA39" s="28">
        <f>IF(F39="","",SUM(P39:Y39)*IF(Z39="SI",1,2))</f>
        <v>2851.1065439999993</v>
      </c>
      <c r="AB39" s="8"/>
    </row>
    <row r="40" spans="1:28" s="7" customFormat="1" ht="15">
      <c r="A40" s="6"/>
      <c r="B40" s="65"/>
      <c r="C40" s="390">
        <v>39</v>
      </c>
      <c r="D40" s="387">
        <v>273728</v>
      </c>
      <c r="E40" s="387">
        <v>4810</v>
      </c>
      <c r="F40" s="391" t="s">
        <v>185</v>
      </c>
      <c r="G40" s="396">
        <v>132</v>
      </c>
      <c r="H40" s="397">
        <v>99.0999984741211</v>
      </c>
      <c r="I40" s="176">
        <f t="shared" si="0"/>
        <v>237.30485634613038</v>
      </c>
      <c r="J40" s="401">
        <v>41724.395833333336</v>
      </c>
      <c r="K40" s="401">
        <v>41724.49652777778</v>
      </c>
      <c r="L40" s="12">
        <f>IF(F40="","",(K40-J40)*24)</f>
        <v>2.416666666686069</v>
      </c>
      <c r="M40" s="13">
        <f>IF(F40="","",ROUND((K40-J40)*24*60,0))</f>
        <v>145</v>
      </c>
      <c r="N40" s="403" t="s">
        <v>164</v>
      </c>
      <c r="O40" s="404" t="str">
        <f>IF(F40="","","--")</f>
        <v>--</v>
      </c>
      <c r="P40" s="190">
        <f>IF(N40="P",ROUND(M40/60,2)*I40*$L$16*0.01,"--")</f>
        <v>344.5666514145813</v>
      </c>
      <c r="Q40" s="195" t="str">
        <f>IF(N40="RP",I40*O40*ROUND(L40/60,2)*0.01*M40/100,"--")</f>
        <v>--</v>
      </c>
      <c r="R40" s="200" t="str">
        <f>IF(N40="F",I40*$L$16,"--")</f>
        <v>--</v>
      </c>
      <c r="S40" s="201" t="str">
        <f>IF(AND(M40&gt;10,N40="F"),I40*$L$16*IF(M40&gt;180,3,ROUND((M40)/60,2)),"--")</f>
        <v>--</v>
      </c>
      <c r="T40" s="202" t="str">
        <f>IF(AND(M40&gt;180,N40="F"),(ROUND(M40/60,2)-3)*I40*$L$16*0.1,"--")</f>
        <v>--</v>
      </c>
      <c r="U40" s="215" t="str">
        <f>IF(N40="R",I40*$L$16*O40/100,"--")</f>
        <v>--</v>
      </c>
      <c r="V40" s="219" t="str">
        <f>IF(AND(M40&gt;10,N40="R"),I40*$L$16*O40/100*IF(M40&gt;180,3,ROUND(M40/60,2)),"--")</f>
        <v>--</v>
      </c>
      <c r="W40" s="223" t="str">
        <f>IF(AND(M40&gt;180,N40="R"),(ROUND(M40/60,2)-3)*I40*$L$16*0.1*O40/100,"--")</f>
        <v>--</v>
      </c>
      <c r="X40" s="228" t="str">
        <f>IF(N40="RF",ROUND(M40/60,2)*I40*$L$16*0.1,"--")</f>
        <v>--</v>
      </c>
      <c r="Y40" s="233" t="str">
        <f>IF(N40="RR",ROUND(M40/60,2)*I40*$L$16*0.1*O40/100,"--")</f>
        <v>--</v>
      </c>
      <c r="Z40" s="408" t="s">
        <v>165</v>
      </c>
      <c r="AA40" s="28">
        <f>IF(F40="","",SUM(P40:Y40)*IF(Z40="SI",1,2))</f>
        <v>344.5666514145813</v>
      </c>
      <c r="AB40" s="8"/>
    </row>
    <row r="41" spans="1:28" s="7" customFormat="1" ht="15.75" thickBot="1">
      <c r="A41" s="6"/>
      <c r="B41" s="65"/>
      <c r="C41" s="392"/>
      <c r="D41" s="392"/>
      <c r="E41" s="392"/>
      <c r="F41" s="393"/>
      <c r="G41" s="398"/>
      <c r="H41" s="399"/>
      <c r="I41" s="177"/>
      <c r="J41" s="402"/>
      <c r="K41" s="402"/>
      <c r="L41" s="15"/>
      <c r="M41" s="15"/>
      <c r="N41" s="402"/>
      <c r="O41" s="405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409"/>
      <c r="AA41" s="105"/>
      <c r="AB41" s="8"/>
    </row>
    <row r="42" spans="1:28" s="7" customFormat="1" ht="17.25" thickBot="1" thickTop="1">
      <c r="A42" s="6"/>
      <c r="B42" s="65"/>
      <c r="C42" s="164" t="s">
        <v>39</v>
      </c>
      <c r="D42" s="459" t="s">
        <v>216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15" ref="P42:Y42">SUM(P19:P41)</f>
        <v>25020.760442814793</v>
      </c>
      <c r="Q42" s="209">
        <f t="shared" si="15"/>
        <v>0</v>
      </c>
      <c r="R42" s="235">
        <f t="shared" si="15"/>
        <v>22988.160000000003</v>
      </c>
      <c r="S42" s="235">
        <f t="shared" si="15"/>
        <v>45430.351200000005</v>
      </c>
      <c r="T42" s="235">
        <f t="shared" si="15"/>
        <v>4123.501200000001</v>
      </c>
      <c r="U42" s="236">
        <f t="shared" si="15"/>
        <v>0</v>
      </c>
      <c r="V42" s="236">
        <f t="shared" si="15"/>
        <v>0</v>
      </c>
      <c r="W42" s="236">
        <f t="shared" si="15"/>
        <v>0</v>
      </c>
      <c r="X42" s="237">
        <f t="shared" si="15"/>
        <v>0</v>
      </c>
      <c r="Y42" s="238">
        <f t="shared" si="15"/>
        <v>0</v>
      </c>
      <c r="Z42" s="6"/>
      <c r="AA42" s="173">
        <f>ROUND(SUM(AA19:AA41),2)</f>
        <v>258578.6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N45"/>
  <sheetViews>
    <sheetView zoomScale="75" zoomScaleNormal="75" zoomScalePageLayoutView="0" workbookViewId="0" topLeftCell="A1">
      <selection activeCell="E5" sqref="E5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6.4218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41" t="str">
        <f>+'TOT-0314'!B2</f>
        <v>ANEXO VI al Memorandum D.T.E.E. N°          639     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42" t="s">
        <v>219</v>
      </c>
      <c r="B4" s="111"/>
      <c r="C4" s="442"/>
      <c r="AB4" s="40"/>
    </row>
    <row r="5" spans="1:28" s="39" customFormat="1" ht="11.25">
      <c r="A5" s="442" t="s">
        <v>146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16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17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18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10" t="str">
        <f>'TOT-0314'!B14</f>
        <v>Desde el 01 al 31 de marzo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19</v>
      </c>
      <c r="G16" s="289">
        <v>239.46</v>
      </c>
      <c r="H16" s="185"/>
      <c r="I16" s="6"/>
      <c r="J16"/>
      <c r="K16" s="102" t="s">
        <v>20</v>
      </c>
      <c r="L16" s="103">
        <f>30*'TOT-0314'!B13</f>
        <v>60</v>
      </c>
      <c r="M16" s="172" t="str">
        <f>IF(L16=30," ",IF(L16=60,"Coeficiente duplicado por tasa de falla &gt;4 Sal. x año/100 km.","REVISAR COEFICIENTE"))</f>
        <v>Coeficiente duplicado por tasa de falla &gt;4 Sal. x año/100 km.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54">
        <v>3</v>
      </c>
      <c r="D17" s="454">
        <v>4</v>
      </c>
      <c r="E17" s="454">
        <v>5</v>
      </c>
      <c r="F17" s="454">
        <v>6</v>
      </c>
      <c r="G17" s="454">
        <v>7</v>
      </c>
      <c r="H17" s="454">
        <v>8</v>
      </c>
      <c r="I17" s="454">
        <v>9</v>
      </c>
      <c r="J17" s="454">
        <v>10</v>
      </c>
      <c r="K17" s="454">
        <v>11</v>
      </c>
      <c r="L17" s="454">
        <v>12</v>
      </c>
      <c r="M17" s="454">
        <v>13</v>
      </c>
      <c r="N17" s="454">
        <v>14</v>
      </c>
      <c r="O17" s="454">
        <v>15</v>
      </c>
      <c r="P17" s="454">
        <v>16</v>
      </c>
      <c r="Q17" s="454">
        <v>17</v>
      </c>
      <c r="R17" s="454">
        <v>18</v>
      </c>
      <c r="S17" s="454">
        <v>19</v>
      </c>
      <c r="T17" s="454">
        <v>20</v>
      </c>
      <c r="U17" s="454">
        <v>21</v>
      </c>
      <c r="V17" s="454">
        <v>22</v>
      </c>
      <c r="W17" s="454">
        <v>23</v>
      </c>
      <c r="X17" s="454">
        <v>24</v>
      </c>
      <c r="Y17" s="454">
        <v>25</v>
      </c>
      <c r="Z17" s="454">
        <v>26</v>
      </c>
      <c r="AA17" s="454">
        <v>27</v>
      </c>
      <c r="AB17" s="8"/>
    </row>
    <row r="18" spans="1:28" s="7" customFormat="1" ht="33.75" customHeight="1" thickBot="1" thickTop="1">
      <c r="A18" s="6"/>
      <c r="B18" s="65"/>
      <c r="C18" s="112" t="s">
        <v>21</v>
      </c>
      <c r="D18" s="112" t="s">
        <v>144</v>
      </c>
      <c r="E18" s="112" t="s">
        <v>143</v>
      </c>
      <c r="F18" s="113" t="s">
        <v>3</v>
      </c>
      <c r="G18" s="114" t="s">
        <v>22</v>
      </c>
      <c r="H18" s="115" t="s">
        <v>23</v>
      </c>
      <c r="I18" s="174" t="s">
        <v>24</v>
      </c>
      <c r="J18" s="113" t="s">
        <v>25</v>
      </c>
      <c r="K18" s="113" t="s">
        <v>26</v>
      </c>
      <c r="L18" s="114" t="s">
        <v>27</v>
      </c>
      <c r="M18" s="114" t="s">
        <v>28</v>
      </c>
      <c r="N18" s="116" t="s">
        <v>29</v>
      </c>
      <c r="O18" s="114" t="s">
        <v>30</v>
      </c>
      <c r="P18" s="187" t="s">
        <v>31</v>
      </c>
      <c r="Q18" s="192" t="s">
        <v>32</v>
      </c>
      <c r="R18" s="197" t="s">
        <v>33</v>
      </c>
      <c r="S18" s="198"/>
      <c r="T18" s="199"/>
      <c r="U18" s="210" t="s">
        <v>34</v>
      </c>
      <c r="V18" s="211"/>
      <c r="W18" s="212"/>
      <c r="X18" s="225" t="s">
        <v>35</v>
      </c>
      <c r="Y18" s="230" t="s">
        <v>36</v>
      </c>
      <c r="Z18" s="117" t="s">
        <v>37</v>
      </c>
      <c r="AA18" s="183" t="s">
        <v>38</v>
      </c>
      <c r="AB18" s="8"/>
    </row>
    <row r="19" spans="1:28" s="7" customFormat="1" ht="15.75" thickTop="1">
      <c r="A19" s="6"/>
      <c r="B19" s="65"/>
      <c r="C19" s="386"/>
      <c r="D19" s="440"/>
      <c r="E19" s="440"/>
      <c r="F19" s="387"/>
      <c r="G19" s="394"/>
      <c r="H19" s="395"/>
      <c r="I19" s="186"/>
      <c r="J19" s="400"/>
      <c r="K19" s="400"/>
      <c r="L19" s="9"/>
      <c r="M19" s="9"/>
      <c r="N19" s="387"/>
      <c r="O19" s="390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406"/>
      <c r="AA19" s="184">
        <f>'LI-03 (2)'!AA42</f>
        <v>258578.6</v>
      </c>
      <c r="AB19" s="8"/>
    </row>
    <row r="20" spans="1:28" s="7" customFormat="1" ht="15">
      <c r="A20" s="6"/>
      <c r="B20" s="65"/>
      <c r="C20" s="388"/>
      <c r="D20" s="389"/>
      <c r="E20" s="389"/>
      <c r="F20" s="389"/>
      <c r="G20" s="388"/>
      <c r="H20" s="388"/>
      <c r="I20" s="175"/>
      <c r="J20" s="388"/>
      <c r="K20" s="396"/>
      <c r="L20" s="11"/>
      <c r="M20" s="11"/>
      <c r="N20" s="389"/>
      <c r="O20" s="388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407"/>
      <c r="AA20" s="104"/>
      <c r="AB20" s="8"/>
    </row>
    <row r="21" spans="1:28" s="7" customFormat="1" ht="15">
      <c r="A21" s="6"/>
      <c r="B21" s="65"/>
      <c r="C21" s="390">
        <v>40</v>
      </c>
      <c r="D21" s="387">
        <v>273730</v>
      </c>
      <c r="E21" s="387">
        <v>288</v>
      </c>
      <c r="F21" s="391" t="s">
        <v>186</v>
      </c>
      <c r="G21" s="396">
        <v>132</v>
      </c>
      <c r="H21" s="397">
        <v>10.90999984741211</v>
      </c>
      <c r="I21" s="176">
        <f>$G$16/100*IF(H21&gt;25,H21,25)</f>
        <v>59.865</v>
      </c>
      <c r="J21" s="401">
        <v>41725.305555555555</v>
      </c>
      <c r="K21" s="401">
        <v>41725.728472222225</v>
      </c>
      <c r="L21" s="12">
        <f>IF(F21="","",(K21-J21)*24)</f>
        <v>10.15000000008149</v>
      </c>
      <c r="M21" s="13">
        <f>IF(F21="","",ROUND((K21-J21)*24*60,0))</f>
        <v>609</v>
      </c>
      <c r="N21" s="403" t="s">
        <v>164</v>
      </c>
      <c r="O21" s="404" t="str">
        <f>IF(F21="","","--")</f>
        <v>--</v>
      </c>
      <c r="P21" s="190">
        <f>IF(N21="P",ROUND(M21/60,2)*I21*$L$16*0.01,"--")</f>
        <v>364.57785000000007</v>
      </c>
      <c r="Q21" s="195" t="str">
        <f>IF(N21="RP",I21*O21*ROUND(L21/60,2)*0.01*M21/100,"--")</f>
        <v>--</v>
      </c>
      <c r="R21" s="200" t="str">
        <f>IF(N21="F",I21*$L$16,"--")</f>
        <v>--</v>
      </c>
      <c r="S21" s="201" t="str">
        <f>IF(AND(M21&gt;10,N21="F"),I21*$L$16*IF(M21&gt;180,3,ROUND((M21)/60,2)),"--")</f>
        <v>--</v>
      </c>
      <c r="T21" s="202" t="str">
        <f>IF(AND(M21&gt;180,N21="F"),(ROUND(M21/60,2)-3)*I21*$L$16*0.1,"--")</f>
        <v>--</v>
      </c>
      <c r="U21" s="215" t="str">
        <f>IF(N21="R",I21*$L$16*O21/100,"--")</f>
        <v>--</v>
      </c>
      <c r="V21" s="219" t="str">
        <f>IF(AND(M21&gt;10,N21="R"),I21*$L$16*O21/100*IF(M21&gt;180,3,ROUND(M21/60,2)),"--")</f>
        <v>--</v>
      </c>
      <c r="W21" s="223" t="str">
        <f>IF(AND(M21&gt;180,N21="R"),(ROUND(M21/60,2)-3)*I21*$L$16*0.1*O21/100,"--")</f>
        <v>--</v>
      </c>
      <c r="X21" s="228" t="str">
        <f>IF(N21="RF",ROUND(M21/60,2)*I21*$L$16*0.1,"--")</f>
        <v>--</v>
      </c>
      <c r="Y21" s="233" t="str">
        <f>IF(N21="RR",ROUND(M21/60,2)*I21*$L$16*0.1*O21/100,"--")</f>
        <v>--</v>
      </c>
      <c r="Z21" s="408" t="s">
        <v>165</v>
      </c>
      <c r="AA21" s="28">
        <f>IF(F21="","",SUM(P21:Y21)*IF(Z21="SI",1,2))</f>
        <v>364.57785000000007</v>
      </c>
      <c r="AB21" s="287"/>
    </row>
    <row r="22" spans="1:28" s="7" customFormat="1" ht="15">
      <c r="A22" s="6"/>
      <c r="B22" s="65"/>
      <c r="C22" s="390">
        <v>41</v>
      </c>
      <c r="D22" s="387">
        <v>273731</v>
      </c>
      <c r="E22" s="387">
        <v>305</v>
      </c>
      <c r="F22" s="391" t="s">
        <v>184</v>
      </c>
      <c r="G22" s="396">
        <v>132</v>
      </c>
      <c r="H22" s="397">
        <v>31.5</v>
      </c>
      <c r="I22" s="176">
        <f aca="true" t="shared" si="0" ref="I22:I40">$G$16/100*IF(H22&gt;25,H22,25)</f>
        <v>75.4299</v>
      </c>
      <c r="J22" s="401">
        <v>41725.342361111114</v>
      </c>
      <c r="K22" s="401">
        <v>41725.604166666664</v>
      </c>
      <c r="L22" s="12">
        <f aca="true" t="shared" si="1" ref="L22:L37">IF(F22="","",(K22-J22)*24)</f>
        <v>6.283333333209157</v>
      </c>
      <c r="M22" s="13">
        <f aca="true" t="shared" si="2" ref="M22:M37">IF(F22="","",ROUND((K22-J22)*24*60,0))</f>
        <v>377</v>
      </c>
      <c r="N22" s="403" t="s">
        <v>164</v>
      </c>
      <c r="O22" s="404" t="str">
        <f aca="true" t="shared" si="3" ref="O22:O37">IF(F22="","","--")</f>
        <v>--</v>
      </c>
      <c r="P22" s="190">
        <f aca="true" t="shared" si="4" ref="P22:P37">IF(N22="P",ROUND(M22/60,2)*I22*$L$16*0.01,"--")</f>
        <v>284.2198632</v>
      </c>
      <c r="Q22" s="195" t="str">
        <f aca="true" t="shared" si="5" ref="Q22:Q37">IF(N22="RP",I22*O22*ROUND(L22/60,2)*0.01*M22/100,"--")</f>
        <v>--</v>
      </c>
      <c r="R22" s="200" t="str">
        <f aca="true" t="shared" si="6" ref="R22:R37">IF(N22="F",I22*$L$16,"--")</f>
        <v>--</v>
      </c>
      <c r="S22" s="201" t="str">
        <f aca="true" t="shared" si="7" ref="S22:S37">IF(AND(M22&gt;10,N22="F"),I22*$L$16*IF(M22&gt;180,3,ROUND((M22)/60,2)),"--")</f>
        <v>--</v>
      </c>
      <c r="T22" s="202" t="str">
        <f aca="true" t="shared" si="8" ref="T22:T37">IF(AND(M22&gt;180,N22="F"),(ROUND(M22/60,2)-3)*I22*$L$16*0.1,"--")</f>
        <v>--</v>
      </c>
      <c r="U22" s="215" t="str">
        <f aca="true" t="shared" si="9" ref="U22:U37">IF(N22="R",I22*$L$16*O22/100,"--")</f>
        <v>--</v>
      </c>
      <c r="V22" s="219" t="str">
        <f aca="true" t="shared" si="10" ref="V22:V37">IF(AND(M22&gt;10,N22="R"),I22*$L$16*O22/100*IF(M22&gt;180,3,ROUND(M22/60,2)),"--")</f>
        <v>--</v>
      </c>
      <c r="W22" s="223" t="str">
        <f aca="true" t="shared" si="11" ref="W22:W37">IF(AND(M22&gt;180,N22="R"),(ROUND(M22/60,2)-3)*I22*$L$16*0.1*O22/100,"--")</f>
        <v>--</v>
      </c>
      <c r="X22" s="228" t="str">
        <f aca="true" t="shared" si="12" ref="X22:X37">IF(N22="RF",ROUND(M22/60,2)*I22*$L$16*0.1,"--")</f>
        <v>--</v>
      </c>
      <c r="Y22" s="233" t="str">
        <f aca="true" t="shared" si="13" ref="Y22:Y37">IF(N22="RR",ROUND(M22/60,2)*I22*$L$16*0.1*O22/100,"--")</f>
        <v>--</v>
      </c>
      <c r="Z22" s="408" t="s">
        <v>165</v>
      </c>
      <c r="AA22" s="28">
        <f aca="true" t="shared" si="14" ref="AA22:AA37">IF(F22="","",SUM(P22:Y22)*IF(Z22="SI",1,2))</f>
        <v>284.2198632</v>
      </c>
      <c r="AB22" s="287"/>
    </row>
    <row r="23" spans="1:28" s="7" customFormat="1" ht="15">
      <c r="A23" s="6"/>
      <c r="B23" s="65"/>
      <c r="C23" s="390">
        <v>42</v>
      </c>
      <c r="D23" s="387">
        <v>273732</v>
      </c>
      <c r="E23" s="387">
        <v>290</v>
      </c>
      <c r="F23" s="391" t="s">
        <v>171</v>
      </c>
      <c r="G23" s="396">
        <v>132</v>
      </c>
      <c r="H23" s="397">
        <v>220</v>
      </c>
      <c r="I23" s="176">
        <f t="shared" si="0"/>
        <v>526.812</v>
      </c>
      <c r="J23" s="401">
        <v>41725.347916666666</v>
      </c>
      <c r="K23" s="401">
        <v>41725.73888888889</v>
      </c>
      <c r="L23" s="12">
        <f t="shared" si="1"/>
        <v>9.383333333360497</v>
      </c>
      <c r="M23" s="13">
        <f t="shared" si="2"/>
        <v>563</v>
      </c>
      <c r="N23" s="403" t="s">
        <v>164</v>
      </c>
      <c r="O23" s="404" t="str">
        <f t="shared" si="3"/>
        <v>--</v>
      </c>
      <c r="P23" s="190">
        <f t="shared" si="4"/>
        <v>2964.8979360000003</v>
      </c>
      <c r="Q23" s="195" t="str">
        <f t="shared" si="5"/>
        <v>--</v>
      </c>
      <c r="R23" s="200" t="str">
        <f t="shared" si="6"/>
        <v>--</v>
      </c>
      <c r="S23" s="201" t="str">
        <f t="shared" si="7"/>
        <v>--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408" t="s">
        <v>165</v>
      </c>
      <c r="AA23" s="28">
        <f t="shared" si="14"/>
        <v>2964.8979360000003</v>
      </c>
      <c r="AB23" s="287"/>
    </row>
    <row r="24" spans="1:28" s="7" customFormat="1" ht="15">
      <c r="A24" s="6"/>
      <c r="B24" s="65"/>
      <c r="C24" s="390">
        <v>43</v>
      </c>
      <c r="D24" s="387">
        <v>273733</v>
      </c>
      <c r="E24" s="387">
        <v>288</v>
      </c>
      <c r="F24" s="391" t="s">
        <v>186</v>
      </c>
      <c r="G24" s="396">
        <v>132</v>
      </c>
      <c r="H24" s="397">
        <v>10.90999984741211</v>
      </c>
      <c r="I24" s="176">
        <f t="shared" si="0"/>
        <v>59.865</v>
      </c>
      <c r="J24" s="401">
        <v>41726.28888888889</v>
      </c>
      <c r="K24" s="401">
        <v>41726.729166666664</v>
      </c>
      <c r="L24" s="12">
        <f t="shared" si="1"/>
        <v>10.56666666653473</v>
      </c>
      <c r="M24" s="13">
        <f t="shared" si="2"/>
        <v>634</v>
      </c>
      <c r="N24" s="403" t="s">
        <v>164</v>
      </c>
      <c r="O24" s="404" t="str">
        <f t="shared" si="3"/>
        <v>--</v>
      </c>
      <c r="P24" s="190">
        <f t="shared" si="4"/>
        <v>379.66383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408" t="s">
        <v>165</v>
      </c>
      <c r="AA24" s="28">
        <f t="shared" si="14"/>
        <v>379.66383</v>
      </c>
      <c r="AB24" s="287"/>
    </row>
    <row r="25" spans="1:28" s="7" customFormat="1" ht="15">
      <c r="A25" s="6"/>
      <c r="B25" s="65"/>
      <c r="C25" s="390">
        <v>44</v>
      </c>
      <c r="D25" s="387">
        <v>273734</v>
      </c>
      <c r="E25" s="387">
        <v>290</v>
      </c>
      <c r="F25" s="391" t="s">
        <v>213</v>
      </c>
      <c r="G25" s="396">
        <v>132</v>
      </c>
      <c r="H25" s="397">
        <v>220</v>
      </c>
      <c r="I25" s="176">
        <f t="shared" si="0"/>
        <v>526.812</v>
      </c>
      <c r="J25" s="401">
        <v>41726.34166666667</v>
      </c>
      <c r="K25" s="401">
        <v>41726.73472222222</v>
      </c>
      <c r="L25" s="12">
        <f t="shared" si="1"/>
        <v>9.433333333348855</v>
      </c>
      <c r="M25" s="13">
        <f t="shared" si="2"/>
        <v>566</v>
      </c>
      <c r="N25" s="403" t="s">
        <v>164</v>
      </c>
      <c r="O25" s="404" t="str">
        <f t="shared" si="3"/>
        <v>--</v>
      </c>
      <c r="P25" s="190">
        <f t="shared" si="4"/>
        <v>2980.7022960000004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408" t="s">
        <v>165</v>
      </c>
      <c r="AA25" s="28">
        <f t="shared" si="14"/>
        <v>2980.7022960000004</v>
      </c>
      <c r="AB25" s="287"/>
    </row>
    <row r="26" spans="1:28" s="7" customFormat="1" ht="15">
      <c r="A26" s="6"/>
      <c r="B26" s="65"/>
      <c r="C26" s="390">
        <v>45</v>
      </c>
      <c r="D26" s="387">
        <v>273735</v>
      </c>
      <c r="E26" s="387">
        <v>305</v>
      </c>
      <c r="F26" s="391" t="s">
        <v>184</v>
      </c>
      <c r="G26" s="396">
        <v>132</v>
      </c>
      <c r="H26" s="397">
        <v>31.5</v>
      </c>
      <c r="I26" s="176">
        <f t="shared" si="0"/>
        <v>75.4299</v>
      </c>
      <c r="J26" s="401">
        <v>41726.35902777778</v>
      </c>
      <c r="K26" s="401">
        <v>41726.55694444444</v>
      </c>
      <c r="L26" s="12">
        <f t="shared" si="1"/>
        <v>4.749999999941792</v>
      </c>
      <c r="M26" s="13">
        <f t="shared" si="2"/>
        <v>285</v>
      </c>
      <c r="N26" s="403" t="s">
        <v>164</v>
      </c>
      <c r="O26" s="404" t="str">
        <f t="shared" si="3"/>
        <v>--</v>
      </c>
      <c r="P26" s="190">
        <f t="shared" si="4"/>
        <v>214.97521500000002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408" t="s">
        <v>165</v>
      </c>
      <c r="AA26" s="28">
        <f t="shared" si="14"/>
        <v>214.97521500000002</v>
      </c>
      <c r="AB26" s="287"/>
    </row>
    <row r="27" spans="1:28" s="7" customFormat="1" ht="15">
      <c r="A27" s="6"/>
      <c r="B27" s="65"/>
      <c r="C27" s="390">
        <v>46</v>
      </c>
      <c r="D27" s="387">
        <v>273736</v>
      </c>
      <c r="E27" s="387">
        <v>307</v>
      </c>
      <c r="F27" s="391" t="s">
        <v>187</v>
      </c>
      <c r="G27" s="396">
        <v>132</v>
      </c>
      <c r="H27" s="397">
        <v>155.60000610351562</v>
      </c>
      <c r="I27" s="176">
        <f t="shared" si="0"/>
        <v>372.5997746154785</v>
      </c>
      <c r="J27" s="401">
        <v>41726.67638888889</v>
      </c>
      <c r="K27" s="401">
        <v>41726.760416666664</v>
      </c>
      <c r="L27" s="12">
        <f t="shared" si="1"/>
        <v>2.0166666666045785</v>
      </c>
      <c r="M27" s="13">
        <f t="shared" si="2"/>
        <v>121</v>
      </c>
      <c r="N27" s="403" t="s">
        <v>172</v>
      </c>
      <c r="O27" s="404" t="str">
        <f t="shared" si="3"/>
        <v>--</v>
      </c>
      <c r="P27" s="190" t="str">
        <f t="shared" si="4"/>
        <v>--</v>
      </c>
      <c r="Q27" s="195" t="str">
        <f t="shared" si="5"/>
        <v>--</v>
      </c>
      <c r="R27" s="200">
        <f t="shared" si="6"/>
        <v>22355.98647692871</v>
      </c>
      <c r="S27" s="201">
        <f t="shared" si="7"/>
        <v>45159.09268339599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408" t="s">
        <v>165</v>
      </c>
      <c r="AA27" s="28">
        <f t="shared" si="14"/>
        <v>67515.0791603247</v>
      </c>
      <c r="AB27" s="287"/>
    </row>
    <row r="28" spans="1:28" s="7" customFormat="1" ht="15">
      <c r="A28" s="6"/>
      <c r="B28" s="65"/>
      <c r="C28" s="390">
        <v>47</v>
      </c>
      <c r="D28" s="387">
        <v>273737</v>
      </c>
      <c r="E28" s="387">
        <v>288</v>
      </c>
      <c r="F28" s="391" t="s">
        <v>186</v>
      </c>
      <c r="G28" s="396">
        <v>132</v>
      </c>
      <c r="H28" s="397">
        <v>10.90999984741211</v>
      </c>
      <c r="I28" s="176">
        <f t="shared" si="0"/>
        <v>59.865</v>
      </c>
      <c r="J28" s="401">
        <v>41727.291666666664</v>
      </c>
      <c r="K28" s="401">
        <v>41727.58888888889</v>
      </c>
      <c r="L28" s="12">
        <f t="shared" si="1"/>
        <v>7.133333333360497</v>
      </c>
      <c r="M28" s="13">
        <f t="shared" si="2"/>
        <v>428</v>
      </c>
      <c r="N28" s="403" t="s">
        <v>164</v>
      </c>
      <c r="O28" s="404" t="str">
        <f t="shared" si="3"/>
        <v>--</v>
      </c>
      <c r="P28" s="190">
        <f t="shared" si="4"/>
        <v>256.10247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408" t="s">
        <v>165</v>
      </c>
      <c r="AA28" s="28">
        <f t="shared" si="14"/>
        <v>256.10247</v>
      </c>
      <c r="AB28" s="8"/>
    </row>
    <row r="29" spans="1:28" s="7" customFormat="1" ht="15">
      <c r="A29" s="6"/>
      <c r="B29" s="65"/>
      <c r="C29" s="390">
        <v>48</v>
      </c>
      <c r="D29" s="387">
        <v>273738</v>
      </c>
      <c r="E29" s="387">
        <v>4045</v>
      </c>
      <c r="F29" s="391" t="s">
        <v>178</v>
      </c>
      <c r="G29" s="396">
        <v>132</v>
      </c>
      <c r="H29" s="397">
        <v>33.75</v>
      </c>
      <c r="I29" s="176">
        <f t="shared" si="0"/>
        <v>80.81775</v>
      </c>
      <c r="J29" s="401">
        <v>41728.24652777778</v>
      </c>
      <c r="K29" s="401">
        <v>41728.251388888886</v>
      </c>
      <c r="L29" s="12">
        <f t="shared" si="1"/>
        <v>0.11666666652308777</v>
      </c>
      <c r="M29" s="13">
        <f t="shared" si="2"/>
        <v>7</v>
      </c>
      <c r="N29" s="403" t="s">
        <v>172</v>
      </c>
      <c r="O29" s="404" t="str">
        <f t="shared" si="3"/>
        <v>--</v>
      </c>
      <c r="P29" s="190" t="str">
        <f t="shared" si="4"/>
        <v>--</v>
      </c>
      <c r="Q29" s="195" t="str">
        <f t="shared" si="5"/>
        <v>--</v>
      </c>
      <c r="R29" s="200">
        <f t="shared" si="6"/>
        <v>4849.0650000000005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408" t="s">
        <v>165</v>
      </c>
      <c r="AA29" s="28">
        <f t="shared" si="14"/>
        <v>4849.0650000000005</v>
      </c>
      <c r="AB29" s="8"/>
    </row>
    <row r="30" spans="1:28" s="7" customFormat="1" ht="15">
      <c r="A30" s="6"/>
      <c r="B30" s="65"/>
      <c r="C30" s="390">
        <v>49</v>
      </c>
      <c r="D30" s="387">
        <v>273745</v>
      </c>
      <c r="E30" s="387">
        <v>1474</v>
      </c>
      <c r="F30" s="391" t="s">
        <v>180</v>
      </c>
      <c r="G30" s="396">
        <v>132</v>
      </c>
      <c r="H30" s="397">
        <v>80.66000366210938</v>
      </c>
      <c r="I30" s="176">
        <f t="shared" si="0"/>
        <v>193.14844476928712</v>
      </c>
      <c r="J30" s="401">
        <v>41728.31597222222</v>
      </c>
      <c r="K30" s="401">
        <v>41728.566666666666</v>
      </c>
      <c r="L30" s="12">
        <f t="shared" si="1"/>
        <v>6.016666666720994</v>
      </c>
      <c r="M30" s="13">
        <f t="shared" si="2"/>
        <v>361</v>
      </c>
      <c r="N30" s="403" t="s">
        <v>164</v>
      </c>
      <c r="O30" s="404" t="str">
        <f t="shared" si="3"/>
        <v>--</v>
      </c>
      <c r="P30" s="190">
        <f t="shared" si="4"/>
        <v>697.652182506665</v>
      </c>
      <c r="Q30" s="195" t="str">
        <f t="shared" si="5"/>
        <v>--</v>
      </c>
      <c r="R30" s="200" t="str">
        <f t="shared" si="6"/>
        <v>--</v>
      </c>
      <c r="S30" s="201" t="str">
        <f t="shared" si="7"/>
        <v>--</v>
      </c>
      <c r="T30" s="202" t="str">
        <f t="shared" si="8"/>
        <v>--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408" t="s">
        <v>165</v>
      </c>
      <c r="AA30" s="28">
        <f t="shared" si="14"/>
        <v>697.652182506665</v>
      </c>
      <c r="AB30" s="8"/>
    </row>
    <row r="31" spans="1:28" s="7" customFormat="1" ht="15">
      <c r="A31" s="6"/>
      <c r="B31" s="65"/>
      <c r="C31" s="390">
        <v>50</v>
      </c>
      <c r="D31" s="387">
        <v>273746</v>
      </c>
      <c r="E31" s="387">
        <v>288</v>
      </c>
      <c r="F31" s="391" t="s">
        <v>186</v>
      </c>
      <c r="G31" s="396">
        <v>132</v>
      </c>
      <c r="H31" s="397">
        <v>10.90999984741211</v>
      </c>
      <c r="I31" s="176">
        <f t="shared" si="0"/>
        <v>59.865</v>
      </c>
      <c r="J31" s="401">
        <v>41729.32708333333</v>
      </c>
      <c r="K31" s="401">
        <v>41729.7625</v>
      </c>
      <c r="L31" s="12">
        <f t="shared" si="1"/>
        <v>10.450000000011642</v>
      </c>
      <c r="M31" s="13">
        <f t="shared" si="2"/>
        <v>627</v>
      </c>
      <c r="N31" s="403" t="s">
        <v>164</v>
      </c>
      <c r="O31" s="404" t="str">
        <f t="shared" si="3"/>
        <v>--</v>
      </c>
      <c r="P31" s="190">
        <f t="shared" si="4"/>
        <v>375.35355</v>
      </c>
      <c r="Q31" s="195" t="str">
        <f t="shared" si="5"/>
        <v>--</v>
      </c>
      <c r="R31" s="200" t="str">
        <f t="shared" si="6"/>
        <v>--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408" t="s">
        <v>165</v>
      </c>
      <c r="AA31" s="28">
        <f t="shared" si="14"/>
        <v>375.35355</v>
      </c>
      <c r="AB31" s="8"/>
    </row>
    <row r="32" spans="1:28" s="7" customFormat="1" ht="15">
      <c r="A32" s="6"/>
      <c r="B32" s="65"/>
      <c r="C32" s="390">
        <v>51</v>
      </c>
      <c r="D32" s="387">
        <v>273747</v>
      </c>
      <c r="E32" s="387">
        <v>3773</v>
      </c>
      <c r="F32" s="391" t="s">
        <v>173</v>
      </c>
      <c r="G32" s="396">
        <v>132</v>
      </c>
      <c r="H32" s="397">
        <v>222</v>
      </c>
      <c r="I32" s="176">
        <f t="shared" si="0"/>
        <v>531.6012000000001</v>
      </c>
      <c r="J32" s="401">
        <v>41729.35486111111</v>
      </c>
      <c r="K32" s="401">
        <v>41729.75625</v>
      </c>
      <c r="L32" s="12">
        <f t="shared" si="1"/>
        <v>9.63333333330229</v>
      </c>
      <c r="M32" s="13">
        <f t="shared" si="2"/>
        <v>578</v>
      </c>
      <c r="N32" s="403" t="s">
        <v>164</v>
      </c>
      <c r="O32" s="404" t="str">
        <f t="shared" si="3"/>
        <v>--</v>
      </c>
      <c r="P32" s="190">
        <f t="shared" si="4"/>
        <v>3071.5917336000007</v>
      </c>
      <c r="Q32" s="195" t="str">
        <f t="shared" si="5"/>
        <v>--</v>
      </c>
      <c r="R32" s="200" t="str">
        <f t="shared" si="6"/>
        <v>--</v>
      </c>
      <c r="S32" s="201" t="str">
        <f t="shared" si="7"/>
        <v>--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408" t="s">
        <v>165</v>
      </c>
      <c r="AA32" s="28">
        <f t="shared" si="14"/>
        <v>3071.5917336000007</v>
      </c>
      <c r="AB32" s="8"/>
    </row>
    <row r="33" spans="1:28" s="7" customFormat="1" ht="15">
      <c r="A33" s="6"/>
      <c r="B33" s="65"/>
      <c r="C33" s="390"/>
      <c r="D33" s="387"/>
      <c r="E33" s="387"/>
      <c r="F33" s="391"/>
      <c r="G33" s="396"/>
      <c r="H33" s="397"/>
      <c r="I33" s="176">
        <f t="shared" si="0"/>
        <v>59.865</v>
      </c>
      <c r="J33" s="401"/>
      <c r="K33" s="401"/>
      <c r="L33" s="12">
        <f t="shared" si="1"/>
      </c>
      <c r="M33" s="13">
        <f t="shared" si="2"/>
      </c>
      <c r="N33" s="403"/>
      <c r="O33" s="404">
        <f t="shared" si="3"/>
      </c>
      <c r="P33" s="190" t="str">
        <f t="shared" si="4"/>
        <v>--</v>
      </c>
      <c r="Q33" s="195" t="str">
        <f t="shared" si="5"/>
        <v>--</v>
      </c>
      <c r="R33" s="200" t="str">
        <f t="shared" si="6"/>
        <v>--</v>
      </c>
      <c r="S33" s="201" t="str">
        <f t="shared" si="7"/>
        <v>--</v>
      </c>
      <c r="T33" s="202" t="str">
        <f t="shared" si="8"/>
        <v>--</v>
      </c>
      <c r="U33" s="215" t="str">
        <f t="shared" si="9"/>
        <v>--</v>
      </c>
      <c r="V33" s="219" t="str">
        <f t="shared" si="10"/>
        <v>--</v>
      </c>
      <c r="W33" s="223" t="str">
        <f t="shared" si="11"/>
        <v>--</v>
      </c>
      <c r="X33" s="228" t="str">
        <f t="shared" si="12"/>
        <v>--</v>
      </c>
      <c r="Y33" s="233" t="str">
        <f t="shared" si="13"/>
        <v>--</v>
      </c>
      <c r="Z33" s="408">
        <f aca="true" t="shared" si="15" ref="Z33:Z40">IF(F33="","","SI")</f>
      </c>
      <c r="AA33" s="28">
        <f t="shared" si="14"/>
      </c>
      <c r="AB33" s="8"/>
    </row>
    <row r="34" spans="1:28" s="7" customFormat="1" ht="15">
      <c r="A34" s="6"/>
      <c r="B34" s="65"/>
      <c r="C34" s="390"/>
      <c r="D34" s="387"/>
      <c r="E34" s="387"/>
      <c r="F34" s="391"/>
      <c r="G34" s="396"/>
      <c r="H34" s="397"/>
      <c r="I34" s="176">
        <f t="shared" si="0"/>
        <v>59.865</v>
      </c>
      <c r="J34" s="401"/>
      <c r="K34" s="401"/>
      <c r="L34" s="12">
        <f t="shared" si="1"/>
      </c>
      <c r="M34" s="13">
        <f t="shared" si="2"/>
      </c>
      <c r="N34" s="403"/>
      <c r="O34" s="404">
        <f t="shared" si="3"/>
      </c>
      <c r="P34" s="190" t="str">
        <f t="shared" si="4"/>
        <v>--</v>
      </c>
      <c r="Q34" s="195" t="str">
        <f t="shared" si="5"/>
        <v>--</v>
      </c>
      <c r="R34" s="200" t="str">
        <f t="shared" si="6"/>
        <v>--</v>
      </c>
      <c r="S34" s="201" t="str">
        <f t="shared" si="7"/>
        <v>--</v>
      </c>
      <c r="T34" s="202" t="str">
        <f t="shared" si="8"/>
        <v>--</v>
      </c>
      <c r="U34" s="215" t="str">
        <f t="shared" si="9"/>
        <v>--</v>
      </c>
      <c r="V34" s="219" t="str">
        <f t="shared" si="10"/>
        <v>--</v>
      </c>
      <c r="W34" s="223" t="str">
        <f t="shared" si="11"/>
        <v>--</v>
      </c>
      <c r="X34" s="228" t="str">
        <f t="shared" si="12"/>
        <v>--</v>
      </c>
      <c r="Y34" s="233" t="str">
        <f t="shared" si="13"/>
        <v>--</v>
      </c>
      <c r="Z34" s="408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390"/>
      <c r="D35" s="387"/>
      <c r="E35" s="387"/>
      <c r="F35" s="391"/>
      <c r="G35" s="396"/>
      <c r="H35" s="397"/>
      <c r="I35" s="176">
        <f t="shared" si="0"/>
        <v>59.865</v>
      </c>
      <c r="J35" s="401"/>
      <c r="K35" s="401"/>
      <c r="L35" s="12">
        <f t="shared" si="1"/>
      </c>
      <c r="M35" s="13">
        <f t="shared" si="2"/>
      </c>
      <c r="N35" s="403"/>
      <c r="O35" s="404">
        <f t="shared" si="3"/>
      </c>
      <c r="P35" s="190" t="str">
        <f t="shared" si="4"/>
        <v>--</v>
      </c>
      <c r="Q35" s="195" t="str">
        <f t="shared" si="5"/>
        <v>--</v>
      </c>
      <c r="R35" s="200" t="str">
        <f t="shared" si="6"/>
        <v>--</v>
      </c>
      <c r="S35" s="201" t="str">
        <f t="shared" si="7"/>
        <v>--</v>
      </c>
      <c r="T35" s="202" t="str">
        <f t="shared" si="8"/>
        <v>--</v>
      </c>
      <c r="U35" s="215" t="str">
        <f t="shared" si="9"/>
        <v>--</v>
      </c>
      <c r="V35" s="219" t="str">
        <f t="shared" si="10"/>
        <v>--</v>
      </c>
      <c r="W35" s="223" t="str">
        <f t="shared" si="11"/>
        <v>--</v>
      </c>
      <c r="X35" s="228" t="str">
        <f t="shared" si="12"/>
        <v>--</v>
      </c>
      <c r="Y35" s="233" t="str">
        <f t="shared" si="13"/>
        <v>--</v>
      </c>
      <c r="Z35" s="408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390"/>
      <c r="D36" s="387"/>
      <c r="E36" s="387"/>
      <c r="F36" s="391"/>
      <c r="G36" s="396"/>
      <c r="H36" s="397"/>
      <c r="I36" s="176">
        <f t="shared" si="0"/>
        <v>59.865</v>
      </c>
      <c r="J36" s="401"/>
      <c r="K36" s="401"/>
      <c r="L36" s="12">
        <f t="shared" si="1"/>
      </c>
      <c r="M36" s="13">
        <f t="shared" si="2"/>
      </c>
      <c r="N36" s="403"/>
      <c r="O36" s="404">
        <f t="shared" si="3"/>
      </c>
      <c r="P36" s="190" t="str">
        <f t="shared" si="4"/>
        <v>--</v>
      </c>
      <c r="Q36" s="195" t="str">
        <f t="shared" si="5"/>
        <v>--</v>
      </c>
      <c r="R36" s="200" t="str">
        <f t="shared" si="6"/>
        <v>--</v>
      </c>
      <c r="S36" s="201" t="str">
        <f t="shared" si="7"/>
        <v>--</v>
      </c>
      <c r="T36" s="202" t="str">
        <f t="shared" si="8"/>
        <v>--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408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390"/>
      <c r="D37" s="387"/>
      <c r="E37" s="387"/>
      <c r="F37" s="391"/>
      <c r="G37" s="396"/>
      <c r="H37" s="397"/>
      <c r="I37" s="176">
        <f t="shared" si="0"/>
        <v>59.865</v>
      </c>
      <c r="J37" s="401"/>
      <c r="K37" s="401"/>
      <c r="L37" s="12">
        <f t="shared" si="1"/>
      </c>
      <c r="M37" s="13">
        <f t="shared" si="2"/>
      </c>
      <c r="N37" s="403"/>
      <c r="O37" s="404">
        <f t="shared" si="3"/>
      </c>
      <c r="P37" s="190" t="str">
        <f t="shared" si="4"/>
        <v>--</v>
      </c>
      <c r="Q37" s="195" t="str">
        <f t="shared" si="5"/>
        <v>--</v>
      </c>
      <c r="R37" s="200" t="str">
        <f t="shared" si="6"/>
        <v>--</v>
      </c>
      <c r="S37" s="201" t="str">
        <f t="shared" si="7"/>
        <v>--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408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390"/>
      <c r="D38" s="387"/>
      <c r="E38" s="387"/>
      <c r="F38" s="391"/>
      <c r="G38" s="396"/>
      <c r="H38" s="397"/>
      <c r="I38" s="176">
        <f t="shared" si="0"/>
        <v>59.865</v>
      </c>
      <c r="J38" s="401"/>
      <c r="K38" s="401"/>
      <c r="L38" s="12">
        <f>IF(F38="","",(K38-J38)*24)</f>
      </c>
      <c r="M38" s="13">
        <f>IF(F38="","",ROUND((K38-J38)*24*60,0))</f>
      </c>
      <c r="N38" s="403"/>
      <c r="O38" s="404">
        <f>IF(F38="","","--")</f>
      </c>
      <c r="P38" s="190" t="str">
        <f>IF(N38="P",ROUND(M38/60,2)*I38*$L$16*0.01,"--")</f>
        <v>--</v>
      </c>
      <c r="Q38" s="195" t="str">
        <f>IF(N38="RP",I38*O38*ROUND(L38/60,2)*0.01*M38/100,"--")</f>
        <v>--</v>
      </c>
      <c r="R38" s="200" t="str">
        <f>IF(N38="F",I38*$L$16,"--")</f>
        <v>--</v>
      </c>
      <c r="S38" s="201" t="str">
        <f>IF(AND(M38&gt;10,N38="F"),I38*$L$16*IF(M38&gt;180,3,ROUND((M38)/60,2)),"--")</f>
        <v>--</v>
      </c>
      <c r="T38" s="202" t="str">
        <f>IF(AND(M38&gt;180,N38="F"),(ROUND(M38/60,2)-3)*I38*$L$16*0.1,"--")</f>
        <v>--</v>
      </c>
      <c r="U38" s="215" t="str">
        <f>IF(N38="R",I38*$L$16*O38/100,"--")</f>
        <v>--</v>
      </c>
      <c r="V38" s="219" t="str">
        <f>IF(AND(M38&gt;10,N38="R"),I38*$L$16*O38/100*IF(M38&gt;180,3,ROUND(M38/60,2)),"--")</f>
        <v>--</v>
      </c>
      <c r="W38" s="223" t="str">
        <f>IF(AND(M38&gt;180,N38="R"),(ROUND(M38/60,2)-3)*I38*$L$16*0.1*O38/100,"--")</f>
        <v>--</v>
      </c>
      <c r="X38" s="228" t="str">
        <f>IF(N38="RF",ROUND(M38/60,2)*I38*$L$16*0.1,"--")</f>
        <v>--</v>
      </c>
      <c r="Y38" s="233" t="str">
        <f>IF(N38="RR",ROUND(M38/60,2)*I38*$L$16*0.1*O38/100,"--")</f>
        <v>--</v>
      </c>
      <c r="Z38" s="408">
        <f t="shared" si="15"/>
      </c>
      <c r="AA38" s="28">
        <f>IF(F38="","",SUM(P38:Y38)*IF(Z38="SI",1,2))</f>
      </c>
      <c r="AB38" s="8"/>
    </row>
    <row r="39" spans="1:28" s="7" customFormat="1" ht="15">
      <c r="A39" s="6"/>
      <c r="B39" s="65"/>
      <c r="C39" s="390"/>
      <c r="D39" s="387"/>
      <c r="E39" s="387"/>
      <c r="F39" s="391"/>
      <c r="G39" s="396"/>
      <c r="H39" s="397"/>
      <c r="I39" s="176">
        <f t="shared" si="0"/>
        <v>59.865</v>
      </c>
      <c r="J39" s="401"/>
      <c r="K39" s="401"/>
      <c r="L39" s="12">
        <f>IF(F39="","",(K39-J39)*24)</f>
      </c>
      <c r="M39" s="13">
        <f>IF(F39="","",ROUND((K39-J39)*24*60,0))</f>
      </c>
      <c r="N39" s="403"/>
      <c r="O39" s="404">
        <f>IF(F39="","","--")</f>
      </c>
      <c r="P39" s="190" t="str">
        <f>IF(N39="P",ROUND(M39/60,2)*I39*$L$16*0.01,"--")</f>
        <v>--</v>
      </c>
      <c r="Q39" s="195" t="str">
        <f>IF(N39="RP",I39*O39*ROUND(L39/60,2)*0.01*M39/100,"--")</f>
        <v>--</v>
      </c>
      <c r="R39" s="200" t="str">
        <f>IF(N39="F",I39*$L$16,"--")</f>
        <v>--</v>
      </c>
      <c r="S39" s="201" t="str">
        <f>IF(AND(M39&gt;10,N39="F"),I39*$L$16*IF(M39&gt;180,3,ROUND((M39)/60,2)),"--")</f>
        <v>--</v>
      </c>
      <c r="T39" s="202" t="str">
        <f>IF(AND(M39&gt;180,N39="F"),(ROUND(M39/60,2)-3)*I39*$L$16*0.1,"--")</f>
        <v>--</v>
      </c>
      <c r="U39" s="215" t="str">
        <f>IF(N39="R",I39*$L$16*O39/100,"--")</f>
        <v>--</v>
      </c>
      <c r="V39" s="219" t="str">
        <f>IF(AND(M39&gt;10,N39="R"),I39*$L$16*O39/100*IF(M39&gt;180,3,ROUND(M39/60,2)),"--")</f>
        <v>--</v>
      </c>
      <c r="W39" s="223" t="str">
        <f>IF(AND(M39&gt;180,N39="R"),(ROUND(M39/60,2)-3)*I39*$L$16*0.1*O39/100,"--")</f>
        <v>--</v>
      </c>
      <c r="X39" s="228" t="str">
        <f>IF(N39="RF",ROUND(M39/60,2)*I39*$L$16*0.1,"--")</f>
        <v>--</v>
      </c>
      <c r="Y39" s="233" t="str">
        <f>IF(N39="RR",ROUND(M39/60,2)*I39*$L$16*0.1*O39/100,"--")</f>
        <v>--</v>
      </c>
      <c r="Z39" s="408">
        <f t="shared" si="15"/>
      </c>
      <c r="AA39" s="28">
        <f>IF(F39="","",SUM(P39:Y39)*IF(Z39="SI",1,2))</f>
      </c>
      <c r="AB39" s="8"/>
    </row>
    <row r="40" spans="1:28" s="7" customFormat="1" ht="15">
      <c r="A40" s="6"/>
      <c r="B40" s="65"/>
      <c r="C40" s="390"/>
      <c r="D40" s="387"/>
      <c r="E40" s="387"/>
      <c r="F40" s="391"/>
      <c r="G40" s="396"/>
      <c r="H40" s="397"/>
      <c r="I40" s="176">
        <f t="shared" si="0"/>
        <v>59.865</v>
      </c>
      <c r="J40" s="401"/>
      <c r="K40" s="401"/>
      <c r="L40" s="12">
        <f>IF(F40="","",(K40-J40)*24)</f>
      </c>
      <c r="M40" s="13">
        <f>IF(F40="","",ROUND((K40-J40)*24*60,0))</f>
      </c>
      <c r="N40" s="403"/>
      <c r="O40" s="404">
        <f>IF(F40="","","--")</f>
      </c>
      <c r="P40" s="190" t="str">
        <f>IF(N40="P",ROUND(M40/60,2)*I40*$L$16*0.01,"--")</f>
        <v>--</v>
      </c>
      <c r="Q40" s="195" t="str">
        <f>IF(N40="RP",I40*O40*ROUND(L40/60,2)*0.01*M40/100,"--")</f>
        <v>--</v>
      </c>
      <c r="R40" s="200" t="str">
        <f>IF(N40="F",I40*$L$16,"--")</f>
        <v>--</v>
      </c>
      <c r="S40" s="201" t="str">
        <f>IF(AND(M40&gt;10,N40="F"),I40*$L$16*IF(M40&gt;180,3,ROUND((M40)/60,2)),"--")</f>
        <v>--</v>
      </c>
      <c r="T40" s="202" t="str">
        <f>IF(AND(M40&gt;180,N40="F"),(ROUND(M40/60,2)-3)*I40*$L$16*0.1,"--")</f>
        <v>--</v>
      </c>
      <c r="U40" s="215" t="str">
        <f>IF(N40="R",I40*$L$16*O40/100,"--")</f>
        <v>--</v>
      </c>
      <c r="V40" s="219" t="str">
        <f>IF(AND(M40&gt;10,N40="R"),I40*$L$16*O40/100*IF(M40&gt;180,3,ROUND(M40/60,2)),"--")</f>
        <v>--</v>
      </c>
      <c r="W40" s="223" t="str">
        <f>IF(AND(M40&gt;180,N40="R"),(ROUND(M40/60,2)-3)*I40*$L$16*0.1*O40/100,"--")</f>
        <v>--</v>
      </c>
      <c r="X40" s="228" t="str">
        <f>IF(N40="RF",ROUND(M40/60,2)*I40*$L$16*0.1,"--")</f>
        <v>--</v>
      </c>
      <c r="Y40" s="233" t="str">
        <f>IF(N40="RR",ROUND(M40/60,2)*I40*$L$16*0.1*O40/100,"--")</f>
        <v>--</v>
      </c>
      <c r="Z40" s="408">
        <f t="shared" si="15"/>
      </c>
      <c r="AA40" s="28">
        <f>IF(F40="","",SUM(P40:Y40)*IF(Z40="SI",1,2))</f>
      </c>
      <c r="AB40" s="8"/>
    </row>
    <row r="41" spans="1:28" s="7" customFormat="1" ht="15.75" thickBot="1">
      <c r="A41" s="6"/>
      <c r="B41" s="65"/>
      <c r="C41" s="392"/>
      <c r="D41" s="392"/>
      <c r="E41" s="392"/>
      <c r="F41" s="393"/>
      <c r="G41" s="398"/>
      <c r="H41" s="399"/>
      <c r="I41" s="177"/>
      <c r="J41" s="402"/>
      <c r="K41" s="402"/>
      <c r="L41" s="15"/>
      <c r="M41" s="15"/>
      <c r="N41" s="402"/>
      <c r="O41" s="405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409"/>
      <c r="AA41" s="105"/>
      <c r="AB41" s="8"/>
    </row>
    <row r="42" spans="1:28" s="7" customFormat="1" ht="17.25" thickBot="1" thickTop="1">
      <c r="A42" s="6"/>
      <c r="B42" s="65"/>
      <c r="C42" s="164" t="s">
        <v>39</v>
      </c>
      <c r="D42" s="459" t="s">
        <v>216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16" ref="P42:Y42">SUM(P19:P41)</f>
        <v>11589.736926306667</v>
      </c>
      <c r="Q42" s="209">
        <f t="shared" si="16"/>
        <v>0</v>
      </c>
      <c r="R42" s="235">
        <f t="shared" si="16"/>
        <v>27205.05147692871</v>
      </c>
      <c r="S42" s="235">
        <f t="shared" si="16"/>
        <v>45159.09268339599</v>
      </c>
      <c r="T42" s="235">
        <f t="shared" si="16"/>
        <v>0</v>
      </c>
      <c r="U42" s="236">
        <f t="shared" si="16"/>
        <v>0</v>
      </c>
      <c r="V42" s="236">
        <f t="shared" si="16"/>
        <v>0</v>
      </c>
      <c r="W42" s="236">
        <f t="shared" si="16"/>
        <v>0</v>
      </c>
      <c r="X42" s="237">
        <f t="shared" si="16"/>
        <v>0</v>
      </c>
      <c r="Y42" s="238">
        <f t="shared" si="16"/>
        <v>0</v>
      </c>
      <c r="Z42" s="6"/>
      <c r="AA42" s="173">
        <f>ROUND(SUM(AA19:AA41),2)</f>
        <v>342532.48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H36"/>
  <sheetViews>
    <sheetView zoomScale="75" zoomScaleNormal="75" zoomScalePageLayoutView="0" workbookViewId="0" topLeftCell="F16">
      <selection activeCell="AE41" sqref="AE41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1" width="16.421875" style="0" customWidth="1"/>
    <col min="12" max="12" width="16.28125" style="0" customWidth="1"/>
    <col min="13" max="15" width="9.7109375" style="0" customWidth="1"/>
    <col min="16" max="16" width="5.8515625" style="0" customWidth="1"/>
    <col min="17" max="17" width="6.851562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2.28125" style="0" hidden="1" customWidth="1"/>
    <col min="22" max="25" width="8.28125" style="0" hidden="1" customWidth="1"/>
    <col min="26" max="26" width="14.421875" style="0" hidden="1" customWidth="1"/>
    <col min="27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441" t="str">
        <f>+'TOT-0314'!B2</f>
        <v>ANEXO VI al Memorandum D.T.E.E. N°          639     / 2014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442" t="s">
        <v>145</v>
      </c>
      <c r="B4" s="111"/>
      <c r="C4" s="44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442" t="s">
        <v>146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16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40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41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42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'TOT-0314'!B14</f>
        <v>Desde el 01 al 31 de marzo de 2014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43</v>
      </c>
      <c r="G18" s="143"/>
      <c r="H18" s="144"/>
      <c r="I18" s="145">
        <v>0.834</v>
      </c>
      <c r="J18" s="118"/>
      <c r="K18" s="26"/>
      <c r="L18" s="382"/>
      <c r="M18" s="38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44</v>
      </c>
      <c r="G19" s="147"/>
      <c r="H19" s="147"/>
      <c r="I19" s="148">
        <f>30*'TOT-0314'!B13</f>
        <v>60</v>
      </c>
      <c r="J19" s="26"/>
      <c r="K19" s="172" t="str">
        <f>IF(I19=30," ",IF(I19=60,"  Coeficiente duplicado por tasa de falla &gt;4 Sal. x año/100 km.","REVISAR COEFICIENTE"))</f>
        <v>  Coeficiente duplicado por tasa de falla &gt;4 Sal. x año/100 km.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455">
        <v>3</v>
      </c>
      <c r="D20" s="455">
        <v>4</v>
      </c>
      <c r="E20" s="455">
        <v>5</v>
      </c>
      <c r="F20" s="455">
        <v>6</v>
      </c>
      <c r="G20" s="455">
        <v>7</v>
      </c>
      <c r="H20" s="455">
        <v>8</v>
      </c>
      <c r="I20" s="455">
        <v>9</v>
      </c>
      <c r="J20" s="455">
        <v>10</v>
      </c>
      <c r="K20" s="455">
        <v>11</v>
      </c>
      <c r="L20" s="455">
        <v>12</v>
      </c>
      <c r="M20" s="455">
        <v>13</v>
      </c>
      <c r="N20" s="455">
        <v>14</v>
      </c>
      <c r="O20" s="455">
        <v>15</v>
      </c>
      <c r="P20" s="455">
        <v>16</v>
      </c>
      <c r="Q20" s="455">
        <v>17</v>
      </c>
      <c r="R20" s="455">
        <v>18</v>
      </c>
      <c r="S20" s="455">
        <v>19</v>
      </c>
      <c r="T20" s="455">
        <v>20</v>
      </c>
      <c r="U20" s="455">
        <v>21</v>
      </c>
      <c r="V20" s="455">
        <v>22</v>
      </c>
      <c r="W20" s="455">
        <v>23</v>
      </c>
      <c r="X20" s="455">
        <v>24</v>
      </c>
      <c r="Y20" s="455">
        <v>25</v>
      </c>
      <c r="Z20" s="455">
        <v>26</v>
      </c>
      <c r="AA20" s="455">
        <v>27</v>
      </c>
      <c r="AB20" s="455">
        <v>28</v>
      </c>
      <c r="AC20" s="455">
        <v>29</v>
      </c>
      <c r="AD20" s="30"/>
    </row>
    <row r="21" spans="1:30" s="7" customFormat="1" ht="33.75" customHeight="1" thickBot="1" thickTop="1">
      <c r="A21" s="118"/>
      <c r="B21" s="123"/>
      <c r="C21" s="112" t="s">
        <v>21</v>
      </c>
      <c r="D21" s="112" t="s">
        <v>144</v>
      </c>
      <c r="E21" s="112" t="s">
        <v>143</v>
      </c>
      <c r="F21" s="157" t="s">
        <v>45</v>
      </c>
      <c r="G21" s="156" t="s">
        <v>46</v>
      </c>
      <c r="H21" s="158" t="s">
        <v>47</v>
      </c>
      <c r="I21" s="159" t="s">
        <v>22</v>
      </c>
      <c r="J21" s="174" t="s">
        <v>24</v>
      </c>
      <c r="K21" s="156" t="s">
        <v>25</v>
      </c>
      <c r="L21" s="156" t="s">
        <v>26</v>
      </c>
      <c r="M21" s="157" t="s">
        <v>48</v>
      </c>
      <c r="N21" s="157" t="s">
        <v>49</v>
      </c>
      <c r="O21" s="114" t="s">
        <v>29</v>
      </c>
      <c r="P21" s="156" t="s">
        <v>50</v>
      </c>
      <c r="Q21" s="157" t="s">
        <v>30</v>
      </c>
      <c r="R21" s="156" t="s">
        <v>51</v>
      </c>
      <c r="S21" s="240" t="s">
        <v>52</v>
      </c>
      <c r="T21" s="244" t="s">
        <v>31</v>
      </c>
      <c r="U21" s="250" t="s">
        <v>32</v>
      </c>
      <c r="V21" s="197" t="s">
        <v>53</v>
      </c>
      <c r="W21" s="199"/>
      <c r="X21" s="264" t="s">
        <v>54</v>
      </c>
      <c r="Y21" s="265"/>
      <c r="Z21" s="275" t="s">
        <v>35</v>
      </c>
      <c r="AA21" s="281" t="s">
        <v>36</v>
      </c>
      <c r="AB21" s="159" t="s">
        <v>37</v>
      </c>
      <c r="AC21" s="159" t="s">
        <v>38</v>
      </c>
      <c r="AD21" s="30"/>
    </row>
    <row r="22" spans="1:30" s="7" customFormat="1" ht="15.75" thickTop="1">
      <c r="A22" s="118"/>
      <c r="B22" s="123"/>
      <c r="C22" s="411"/>
      <c r="D22" s="411"/>
      <c r="E22" s="411"/>
      <c r="F22" s="412"/>
      <c r="G22" s="413"/>
      <c r="H22" s="413"/>
      <c r="I22" s="413"/>
      <c r="J22" s="178"/>
      <c r="K22" s="419"/>
      <c r="L22" s="413"/>
      <c r="M22" s="21"/>
      <c r="N22" s="21"/>
      <c r="O22" s="413"/>
      <c r="P22" s="413"/>
      <c r="Q22" s="413"/>
      <c r="R22" s="413"/>
      <c r="S22" s="241"/>
      <c r="T22" s="245"/>
      <c r="U22" s="251"/>
      <c r="V22" s="262"/>
      <c r="W22" s="256"/>
      <c r="X22" s="266"/>
      <c r="Y22" s="267"/>
      <c r="Z22" s="276"/>
      <c r="AA22" s="282"/>
      <c r="AB22" s="20"/>
      <c r="AC22" s="31"/>
      <c r="AD22" s="30"/>
    </row>
    <row r="23" spans="1:30" s="7" customFormat="1" ht="15">
      <c r="A23" s="118"/>
      <c r="B23" s="123"/>
      <c r="C23" s="411"/>
      <c r="D23" s="411"/>
      <c r="E23" s="411"/>
      <c r="F23" s="414"/>
      <c r="G23" s="415"/>
      <c r="H23" s="415"/>
      <c r="I23" s="415"/>
      <c r="J23" s="179"/>
      <c r="K23" s="414"/>
      <c r="L23" s="415"/>
      <c r="M23" s="17"/>
      <c r="N23" s="17"/>
      <c r="O23" s="415"/>
      <c r="P23" s="415"/>
      <c r="Q23" s="415"/>
      <c r="R23" s="415"/>
      <c r="S23" s="242"/>
      <c r="T23" s="246"/>
      <c r="U23" s="252"/>
      <c r="V23" s="263"/>
      <c r="W23" s="260"/>
      <c r="X23" s="268"/>
      <c r="Y23" s="269"/>
      <c r="Z23" s="277"/>
      <c r="AA23" s="283"/>
      <c r="AB23" s="16"/>
      <c r="AC23" s="27"/>
      <c r="AD23" s="30"/>
    </row>
    <row r="24" spans="1:30" s="7" customFormat="1" ht="15">
      <c r="A24" s="118"/>
      <c r="B24" s="123"/>
      <c r="C24" s="411">
        <v>52</v>
      </c>
      <c r="D24" s="411">
        <v>270077</v>
      </c>
      <c r="E24" s="411">
        <v>5332</v>
      </c>
      <c r="F24" s="396" t="s">
        <v>207</v>
      </c>
      <c r="G24" s="390" t="s">
        <v>191</v>
      </c>
      <c r="H24" s="456">
        <v>15</v>
      </c>
      <c r="I24" s="397" t="s">
        <v>188</v>
      </c>
      <c r="J24" s="176">
        <f aca="true" t="shared" si="0" ref="J24:J31">H24*$I$18</f>
        <v>12.51</v>
      </c>
      <c r="K24" s="420">
        <v>41699</v>
      </c>
      <c r="L24" s="420">
        <v>41729.99998842592</v>
      </c>
      <c r="M24" s="23">
        <f aca="true" t="shared" si="1" ref="M24:M31">IF(F24="","",(L24-K24)*24)</f>
        <v>743.9997222221573</v>
      </c>
      <c r="N24" s="24">
        <f aca="true" t="shared" si="2" ref="N24:N31">IF(F24="","",ROUND((L24-K24)*24*60,0))</f>
        <v>44640</v>
      </c>
      <c r="O24" s="421" t="s">
        <v>208</v>
      </c>
      <c r="P24" s="421" t="str">
        <f aca="true" t="shared" si="3" ref="P24:P31">IF(F24="","",IF(OR(O24="P",O24="RP"),"--","NO"))</f>
        <v>NO</v>
      </c>
      <c r="Q24" s="421" t="s">
        <v>189</v>
      </c>
      <c r="R24" s="421" t="s">
        <v>209</v>
      </c>
      <c r="S24" s="243">
        <f aca="true" t="shared" si="4" ref="S24:S31">$I$19*IF(R24="SI",1,0.1)*IF(OR(O24="P",O24="RP"),0.1,1)</f>
        <v>6</v>
      </c>
      <c r="T24" s="247" t="str">
        <f aca="true" t="shared" si="5" ref="T24:T31">IF(O24="P",J24*S24*ROUND(N24/60,2),"--")</f>
        <v>--</v>
      </c>
      <c r="U24" s="253" t="str">
        <f aca="true" t="shared" si="6" ref="U24:U31">IF(O24="RP",J24*S24*Q24/100*ROUND(N24/60,2),"--")</f>
        <v>--</v>
      </c>
      <c r="V24" s="200" t="str">
        <f aca="true" t="shared" si="7" ref="V24:V31">IF(AND(O24="F",P24="NO"),J24*S24,"--")</f>
        <v>--</v>
      </c>
      <c r="W24" s="261" t="str">
        <f aca="true" t="shared" si="8" ref="W24:W31">IF(O24="F",J24*S24*ROUND(N24/60,2),"--")</f>
        <v>--</v>
      </c>
      <c r="X24" s="270" t="str">
        <f aca="true" t="shared" si="9" ref="X24:X31">IF(AND(O24="R",P24="NO"),J24*S24*Q24/100,"--")</f>
        <v>--</v>
      </c>
      <c r="Y24" s="271" t="str">
        <f aca="true" t="shared" si="10" ref="Y24:Y31">IF(O24="R",J24*S24*ROUND(N24/60,2)*Q24/100,"--")</f>
        <v>--</v>
      </c>
      <c r="Z24" s="278">
        <f aca="true" t="shared" si="11" ref="Z24:Z31">IF(O24="RF",J24*S24*ROUND(N24/60,2),"--")</f>
        <v>55844.64</v>
      </c>
      <c r="AA24" s="284" t="str">
        <f aca="true" t="shared" si="12" ref="AA24:AA31">IF(O24="RR",J24*S24*ROUND(N24/60,2)*Q24/100,"--")</f>
        <v>--</v>
      </c>
      <c r="AB24" s="22" t="s">
        <v>165</v>
      </c>
      <c r="AC24" s="27">
        <f aca="true" t="shared" si="13" ref="AC24:AC31">IF(F24="","",SUM(T24:AA24)*IF(AB24="SI",1,2))</f>
        <v>55844.64</v>
      </c>
      <c r="AD24" s="30"/>
    </row>
    <row r="25" spans="1:30" s="7" customFormat="1" ht="15">
      <c r="A25" s="118"/>
      <c r="B25" s="123"/>
      <c r="C25" s="411">
        <v>53</v>
      </c>
      <c r="D25" s="411">
        <v>272581</v>
      </c>
      <c r="E25" s="411">
        <v>578</v>
      </c>
      <c r="F25" s="396" t="s">
        <v>194</v>
      </c>
      <c r="G25" s="390" t="s">
        <v>191</v>
      </c>
      <c r="H25" s="416">
        <v>30</v>
      </c>
      <c r="I25" s="397" t="s">
        <v>192</v>
      </c>
      <c r="J25" s="176">
        <f t="shared" si="0"/>
        <v>25.02</v>
      </c>
      <c r="K25" s="420">
        <v>41699</v>
      </c>
      <c r="L25" s="420">
        <v>41722.7</v>
      </c>
      <c r="M25" s="23">
        <f t="shared" si="1"/>
        <v>568.7999999999302</v>
      </c>
      <c r="N25" s="24">
        <f t="shared" si="2"/>
        <v>34128</v>
      </c>
      <c r="O25" s="421" t="s">
        <v>208</v>
      </c>
      <c r="P25" s="421" t="str">
        <f t="shared" si="3"/>
        <v>NO</v>
      </c>
      <c r="Q25" s="421" t="s">
        <v>189</v>
      </c>
      <c r="R25" s="421" t="s">
        <v>209</v>
      </c>
      <c r="S25" s="243">
        <f t="shared" si="4"/>
        <v>6</v>
      </c>
      <c r="T25" s="247" t="str">
        <f t="shared" si="5"/>
        <v>--</v>
      </c>
      <c r="U25" s="253" t="str">
        <f t="shared" si="6"/>
        <v>--</v>
      </c>
      <c r="V25" s="200" t="str">
        <f t="shared" si="7"/>
        <v>--</v>
      </c>
      <c r="W25" s="261" t="str">
        <f t="shared" si="8"/>
        <v>--</v>
      </c>
      <c r="X25" s="270" t="str">
        <f t="shared" si="9"/>
        <v>--</v>
      </c>
      <c r="Y25" s="271" t="str">
        <f t="shared" si="10"/>
        <v>--</v>
      </c>
      <c r="Z25" s="278">
        <f t="shared" si="11"/>
        <v>85388.256</v>
      </c>
      <c r="AA25" s="284" t="str">
        <f t="shared" si="12"/>
        <v>--</v>
      </c>
      <c r="AB25" s="22" t="s">
        <v>165</v>
      </c>
      <c r="AC25" s="27">
        <f t="shared" si="13"/>
        <v>85388.256</v>
      </c>
      <c r="AD25" s="30"/>
    </row>
    <row r="26" spans="1:30" s="7" customFormat="1" ht="15">
      <c r="A26" s="118"/>
      <c r="B26" s="123"/>
      <c r="C26" s="411" t="s">
        <v>224</v>
      </c>
      <c r="D26" s="411">
        <v>272581</v>
      </c>
      <c r="E26" s="411">
        <v>578</v>
      </c>
      <c r="F26" s="396" t="s">
        <v>194</v>
      </c>
      <c r="G26" s="390" t="s">
        <v>191</v>
      </c>
      <c r="H26" s="416">
        <v>30</v>
      </c>
      <c r="I26" s="397" t="s">
        <v>192</v>
      </c>
      <c r="J26" s="176">
        <f>H26*$I$18</f>
        <v>25.02</v>
      </c>
      <c r="K26" s="420">
        <v>41722.7</v>
      </c>
      <c r="L26" s="420">
        <v>41729.99998842592</v>
      </c>
      <c r="M26" s="23">
        <f>IF(F26="","",(L26-K26)*24)</f>
        <v>175.19972222222714</v>
      </c>
      <c r="N26" s="24">
        <f>IF(F26="","",ROUND((L26-K26)*24*60,0))</f>
        <v>10512</v>
      </c>
      <c r="O26" s="421" t="s">
        <v>199</v>
      </c>
      <c r="P26" s="421" t="str">
        <f>IF(F26="","",IF(OR(O26="P",O26="RP"),"--","NO"))</f>
        <v>--</v>
      </c>
      <c r="Q26" s="421">
        <v>20</v>
      </c>
      <c r="R26" s="421" t="s">
        <v>209</v>
      </c>
      <c r="S26" s="243">
        <f>$I$19*IF(R26="SI",1,0.1)*IF(OR(O26="P",O26="RP"),0.1,1)</f>
        <v>0.6000000000000001</v>
      </c>
      <c r="T26" s="247" t="str">
        <f>IF(O26="P",J26*S26*ROUND(N26/60,2),"--")</f>
        <v>--</v>
      </c>
      <c r="U26" s="253">
        <f>IF(O26="RP",J26*S26*Q26/100*ROUND(N26/60,2),"--")</f>
        <v>526.02048</v>
      </c>
      <c r="V26" s="200" t="str">
        <f>IF(AND(O26="F",P26="NO"),J26*S26,"--")</f>
        <v>--</v>
      </c>
      <c r="W26" s="261" t="str">
        <f>IF(O26="F",J26*S26*ROUND(N26/60,2),"--")</f>
        <v>--</v>
      </c>
      <c r="X26" s="270" t="str">
        <f>IF(AND(O26="R",P26="NO"),J26*S26*Q26/100,"--")</f>
        <v>--</v>
      </c>
      <c r="Y26" s="271" t="str">
        <f>IF(O26="R",J26*S26*ROUND(N26/60,2)*Q26/100,"--")</f>
        <v>--</v>
      </c>
      <c r="Z26" s="278" t="str">
        <f>IF(O26="RF",J26*S26*ROUND(N26/60,2),"--")</f>
        <v>--</v>
      </c>
      <c r="AA26" s="284" t="str">
        <f>IF(O26="RR",J26*S26*ROUND(N26/60,2)*Q26/100,"--")</f>
        <v>--</v>
      </c>
      <c r="AB26" s="22" t="s">
        <v>165</v>
      </c>
      <c r="AC26" s="27">
        <f>IF(F26="","",SUM(T26:AA26)*IF(AB26="SI",1,2))</f>
        <v>526.02048</v>
      </c>
      <c r="AD26" s="30"/>
    </row>
    <row r="27" spans="1:30" s="7" customFormat="1" ht="15">
      <c r="A27" s="118"/>
      <c r="B27" s="123"/>
      <c r="C27" s="411">
        <v>54</v>
      </c>
      <c r="D27" s="411">
        <v>272746</v>
      </c>
      <c r="E27" s="411">
        <v>3808</v>
      </c>
      <c r="F27" s="396" t="s">
        <v>195</v>
      </c>
      <c r="G27" s="390" t="s">
        <v>196</v>
      </c>
      <c r="H27" s="416">
        <v>30</v>
      </c>
      <c r="I27" s="397" t="s">
        <v>188</v>
      </c>
      <c r="J27" s="176">
        <f t="shared" si="0"/>
        <v>25.02</v>
      </c>
      <c r="K27" s="420">
        <v>41704.34166666667</v>
      </c>
      <c r="L27" s="420">
        <v>41704.53472222222</v>
      </c>
      <c r="M27" s="23">
        <f t="shared" si="1"/>
        <v>4.633333333244082</v>
      </c>
      <c r="N27" s="24">
        <f t="shared" si="2"/>
        <v>278</v>
      </c>
      <c r="O27" s="421" t="s">
        <v>164</v>
      </c>
      <c r="P27" s="421" t="str">
        <f t="shared" si="3"/>
        <v>--</v>
      </c>
      <c r="Q27" s="421" t="s">
        <v>189</v>
      </c>
      <c r="R27" s="421" t="s">
        <v>209</v>
      </c>
      <c r="S27" s="243">
        <f t="shared" si="4"/>
        <v>0.6000000000000001</v>
      </c>
      <c r="T27" s="247">
        <f t="shared" si="5"/>
        <v>69.50556</v>
      </c>
      <c r="U27" s="253" t="str">
        <f t="shared" si="6"/>
        <v>--</v>
      </c>
      <c r="V27" s="200" t="str">
        <f t="shared" si="7"/>
        <v>--</v>
      </c>
      <c r="W27" s="261" t="str">
        <f t="shared" si="8"/>
        <v>--</v>
      </c>
      <c r="X27" s="270" t="str">
        <f t="shared" si="9"/>
        <v>--</v>
      </c>
      <c r="Y27" s="271" t="str">
        <f t="shared" si="10"/>
        <v>--</v>
      </c>
      <c r="Z27" s="278" t="str">
        <f t="shared" si="11"/>
        <v>--</v>
      </c>
      <c r="AA27" s="284" t="str">
        <f t="shared" si="12"/>
        <v>--</v>
      </c>
      <c r="AB27" s="22" t="s">
        <v>165</v>
      </c>
      <c r="AC27" s="27">
        <f t="shared" si="13"/>
        <v>69.50556</v>
      </c>
      <c r="AD27" s="30"/>
    </row>
    <row r="28" spans="1:30" s="7" customFormat="1" ht="15">
      <c r="A28" s="118"/>
      <c r="B28" s="123"/>
      <c r="C28" s="411">
        <v>55</v>
      </c>
      <c r="D28" s="411">
        <v>272747</v>
      </c>
      <c r="E28" s="411">
        <v>4223</v>
      </c>
      <c r="F28" s="396" t="s">
        <v>195</v>
      </c>
      <c r="G28" s="390" t="s">
        <v>197</v>
      </c>
      <c r="H28" s="416">
        <v>30</v>
      </c>
      <c r="I28" s="397" t="s">
        <v>188</v>
      </c>
      <c r="J28" s="176">
        <f t="shared" si="0"/>
        <v>25.02</v>
      </c>
      <c r="K28" s="420">
        <v>41704.34166666667</v>
      </c>
      <c r="L28" s="420">
        <v>41704.53472222222</v>
      </c>
      <c r="M28" s="23">
        <f t="shared" si="1"/>
        <v>4.633333333244082</v>
      </c>
      <c r="N28" s="24">
        <f t="shared" si="2"/>
        <v>278</v>
      </c>
      <c r="O28" s="421" t="s">
        <v>164</v>
      </c>
      <c r="P28" s="421" t="str">
        <f t="shared" si="3"/>
        <v>--</v>
      </c>
      <c r="Q28" s="421" t="s">
        <v>189</v>
      </c>
      <c r="R28" s="421" t="s">
        <v>209</v>
      </c>
      <c r="S28" s="243">
        <f t="shared" si="4"/>
        <v>0.6000000000000001</v>
      </c>
      <c r="T28" s="247">
        <f t="shared" si="5"/>
        <v>69.50556</v>
      </c>
      <c r="U28" s="253" t="str">
        <f t="shared" si="6"/>
        <v>--</v>
      </c>
      <c r="V28" s="200" t="str">
        <f t="shared" si="7"/>
        <v>--</v>
      </c>
      <c r="W28" s="261" t="str">
        <f t="shared" si="8"/>
        <v>--</v>
      </c>
      <c r="X28" s="270" t="str">
        <f t="shared" si="9"/>
        <v>--</v>
      </c>
      <c r="Y28" s="271" t="str">
        <f t="shared" si="10"/>
        <v>--</v>
      </c>
      <c r="Z28" s="278" t="str">
        <f t="shared" si="11"/>
        <v>--</v>
      </c>
      <c r="AA28" s="284" t="str">
        <f t="shared" si="12"/>
        <v>--</v>
      </c>
      <c r="AB28" s="22" t="s">
        <v>165</v>
      </c>
      <c r="AC28" s="27">
        <f t="shared" si="13"/>
        <v>69.50556</v>
      </c>
      <c r="AD28" s="30"/>
    </row>
    <row r="29" spans="1:30" s="7" customFormat="1" ht="15">
      <c r="A29" s="118"/>
      <c r="B29" s="123"/>
      <c r="C29" s="411">
        <v>56</v>
      </c>
      <c r="D29" s="411">
        <v>272748</v>
      </c>
      <c r="E29" s="411">
        <v>4555</v>
      </c>
      <c r="F29" s="396" t="s">
        <v>190</v>
      </c>
      <c r="G29" s="390" t="s">
        <v>191</v>
      </c>
      <c r="H29" s="416">
        <v>20</v>
      </c>
      <c r="I29" s="397" t="s">
        <v>188</v>
      </c>
      <c r="J29" s="176">
        <f t="shared" si="0"/>
        <v>16.68</v>
      </c>
      <c r="K29" s="420">
        <v>41704.44930555556</v>
      </c>
      <c r="L29" s="420">
        <v>41704.600694444445</v>
      </c>
      <c r="M29" s="23">
        <f t="shared" si="1"/>
        <v>3.6333333333022892</v>
      </c>
      <c r="N29" s="24">
        <f t="shared" si="2"/>
        <v>218</v>
      </c>
      <c r="O29" s="421" t="s">
        <v>164</v>
      </c>
      <c r="P29" s="421" t="str">
        <f t="shared" si="3"/>
        <v>--</v>
      </c>
      <c r="Q29" s="421" t="s">
        <v>189</v>
      </c>
      <c r="R29" s="421" t="s">
        <v>209</v>
      </c>
      <c r="S29" s="243">
        <f t="shared" si="4"/>
        <v>0.6000000000000001</v>
      </c>
      <c r="T29" s="247">
        <f t="shared" si="5"/>
        <v>36.32904</v>
      </c>
      <c r="U29" s="253" t="str">
        <f t="shared" si="6"/>
        <v>--</v>
      </c>
      <c r="V29" s="200" t="str">
        <f t="shared" si="7"/>
        <v>--</v>
      </c>
      <c r="W29" s="261" t="str">
        <f t="shared" si="8"/>
        <v>--</v>
      </c>
      <c r="X29" s="270" t="str">
        <f t="shared" si="9"/>
        <v>--</v>
      </c>
      <c r="Y29" s="271" t="str">
        <f t="shared" si="10"/>
        <v>--</v>
      </c>
      <c r="Z29" s="278" t="str">
        <f t="shared" si="11"/>
        <v>--</v>
      </c>
      <c r="AA29" s="284" t="str">
        <f t="shared" si="12"/>
        <v>--</v>
      </c>
      <c r="AB29" s="22" t="s">
        <v>165</v>
      </c>
      <c r="AC29" s="27">
        <f t="shared" si="13"/>
        <v>36.32904</v>
      </c>
      <c r="AD29" s="30"/>
    </row>
    <row r="30" spans="1:30" s="7" customFormat="1" ht="15">
      <c r="A30" s="118"/>
      <c r="B30" s="123"/>
      <c r="C30" s="411">
        <v>57</v>
      </c>
      <c r="D30" s="411">
        <v>272750</v>
      </c>
      <c r="E30" s="411">
        <v>3947</v>
      </c>
      <c r="F30" s="396" t="s">
        <v>198</v>
      </c>
      <c r="G30" s="390" t="s">
        <v>193</v>
      </c>
      <c r="H30" s="416">
        <v>30</v>
      </c>
      <c r="I30" s="397" t="s">
        <v>188</v>
      </c>
      <c r="J30" s="176">
        <f t="shared" si="0"/>
        <v>25.02</v>
      </c>
      <c r="K30" s="420">
        <v>41706.3375</v>
      </c>
      <c r="L30" s="420">
        <v>41706.39791666667</v>
      </c>
      <c r="M30" s="23">
        <f t="shared" si="1"/>
        <v>1.4500000000116415</v>
      </c>
      <c r="N30" s="24">
        <f t="shared" si="2"/>
        <v>87</v>
      </c>
      <c r="O30" s="421" t="s">
        <v>199</v>
      </c>
      <c r="P30" s="421" t="str">
        <f t="shared" si="3"/>
        <v>--</v>
      </c>
      <c r="Q30" s="422">
        <v>40</v>
      </c>
      <c r="R30" s="421" t="s">
        <v>209</v>
      </c>
      <c r="S30" s="243">
        <f t="shared" si="4"/>
        <v>0.6000000000000001</v>
      </c>
      <c r="T30" s="247" t="str">
        <f t="shared" si="5"/>
        <v>--</v>
      </c>
      <c r="U30" s="253">
        <f>IF(O30="RP",J30*S30*Q30/100*ROUND(N30/60,2),"--")</f>
        <v>8.706960000000002</v>
      </c>
      <c r="V30" s="200" t="str">
        <f t="shared" si="7"/>
        <v>--</v>
      </c>
      <c r="W30" s="261" t="str">
        <f t="shared" si="8"/>
        <v>--</v>
      </c>
      <c r="X30" s="270" t="str">
        <f t="shared" si="9"/>
        <v>--</v>
      </c>
      <c r="Y30" s="271" t="str">
        <f t="shared" si="10"/>
        <v>--</v>
      </c>
      <c r="Z30" s="278" t="str">
        <f t="shared" si="11"/>
        <v>--</v>
      </c>
      <c r="AA30" s="284" t="str">
        <f t="shared" si="12"/>
        <v>--</v>
      </c>
      <c r="AB30" s="22" t="s">
        <v>165</v>
      </c>
      <c r="AC30" s="27">
        <f t="shared" si="13"/>
        <v>8.706960000000002</v>
      </c>
      <c r="AD30" s="30"/>
    </row>
    <row r="31" spans="1:30" s="7" customFormat="1" ht="15">
      <c r="A31" s="118"/>
      <c r="B31" s="123"/>
      <c r="C31" s="411">
        <v>58</v>
      </c>
      <c r="D31" s="411">
        <v>272753</v>
      </c>
      <c r="E31" s="411">
        <v>4993</v>
      </c>
      <c r="F31" s="396" t="s">
        <v>210</v>
      </c>
      <c r="G31" s="390" t="s">
        <v>193</v>
      </c>
      <c r="H31" s="456">
        <v>15</v>
      </c>
      <c r="I31" s="397" t="s">
        <v>188</v>
      </c>
      <c r="J31" s="176">
        <f t="shared" si="0"/>
        <v>12.51</v>
      </c>
      <c r="K31" s="420">
        <v>41707.37013888889</v>
      </c>
      <c r="L31" s="420">
        <v>41707.58125</v>
      </c>
      <c r="M31" s="23">
        <f t="shared" si="1"/>
        <v>5.06666666676756</v>
      </c>
      <c r="N31" s="24">
        <f t="shared" si="2"/>
        <v>304</v>
      </c>
      <c r="O31" s="421" t="s">
        <v>199</v>
      </c>
      <c r="P31" s="421" t="str">
        <f t="shared" si="3"/>
        <v>--</v>
      </c>
      <c r="Q31" s="422">
        <v>40</v>
      </c>
      <c r="R31" s="421" t="s">
        <v>209</v>
      </c>
      <c r="S31" s="243">
        <f t="shared" si="4"/>
        <v>0.6000000000000001</v>
      </c>
      <c r="T31" s="247" t="str">
        <f t="shared" si="5"/>
        <v>--</v>
      </c>
      <c r="U31" s="253">
        <f t="shared" si="6"/>
        <v>15.222168000000003</v>
      </c>
      <c r="V31" s="200" t="str">
        <f t="shared" si="7"/>
        <v>--</v>
      </c>
      <c r="W31" s="261" t="str">
        <f t="shared" si="8"/>
        <v>--</v>
      </c>
      <c r="X31" s="270" t="str">
        <f t="shared" si="9"/>
        <v>--</v>
      </c>
      <c r="Y31" s="271" t="str">
        <f t="shared" si="10"/>
        <v>--</v>
      </c>
      <c r="Z31" s="278" t="str">
        <f t="shared" si="11"/>
        <v>--</v>
      </c>
      <c r="AA31" s="284" t="str">
        <f t="shared" si="12"/>
        <v>--</v>
      </c>
      <c r="AB31" s="22" t="s">
        <v>165</v>
      </c>
      <c r="AC31" s="27">
        <f t="shared" si="13"/>
        <v>15.222168000000003</v>
      </c>
      <c r="AD31" s="30"/>
    </row>
    <row r="32" spans="1:30" s="7" customFormat="1" ht="15.75" thickBot="1">
      <c r="A32" s="118"/>
      <c r="B32" s="123"/>
      <c r="C32" s="418"/>
      <c r="D32" s="418"/>
      <c r="E32" s="418"/>
      <c r="F32" s="418"/>
      <c r="G32" s="418"/>
      <c r="H32" s="418"/>
      <c r="I32" s="418"/>
      <c r="J32" s="180"/>
      <c r="K32" s="418"/>
      <c r="L32" s="418"/>
      <c r="M32" s="25"/>
      <c r="N32" s="25"/>
      <c r="O32" s="418"/>
      <c r="P32" s="418"/>
      <c r="Q32" s="418"/>
      <c r="R32" s="418"/>
      <c r="S32" s="239"/>
      <c r="T32" s="248"/>
      <c r="U32" s="254"/>
      <c r="V32" s="257"/>
      <c r="W32" s="258"/>
      <c r="X32" s="272"/>
      <c r="Y32" s="273"/>
      <c r="Z32" s="279"/>
      <c r="AA32" s="285"/>
      <c r="AB32" s="25"/>
      <c r="AC32" s="181"/>
      <c r="AD32" s="30"/>
    </row>
    <row r="33" spans="1:30" s="7" customFormat="1" ht="17.25" thickBot="1" thickTop="1">
      <c r="A33" s="118"/>
      <c r="B33" s="123"/>
      <c r="C33" s="164" t="s">
        <v>39</v>
      </c>
      <c r="D33" s="459" t="s">
        <v>217</v>
      </c>
      <c r="E33" s="166"/>
      <c r="F33" s="16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49">
        <f aca="true" t="shared" si="14" ref="T33:AA33">SUM(T22:T32)</f>
        <v>175.34016</v>
      </c>
      <c r="U33" s="255">
        <f t="shared" si="14"/>
        <v>549.949608</v>
      </c>
      <c r="V33" s="259">
        <f t="shared" si="14"/>
        <v>0</v>
      </c>
      <c r="W33" s="259">
        <f t="shared" si="14"/>
        <v>0</v>
      </c>
      <c r="X33" s="274">
        <f t="shared" si="14"/>
        <v>0</v>
      </c>
      <c r="Y33" s="274">
        <f t="shared" si="14"/>
        <v>0</v>
      </c>
      <c r="Z33" s="280">
        <f t="shared" si="14"/>
        <v>141232.896</v>
      </c>
      <c r="AA33" s="286">
        <f t="shared" si="14"/>
        <v>0</v>
      </c>
      <c r="AB33" s="182"/>
      <c r="AC33" s="130">
        <f>ROUND(SUM(AC22:AC32),2)</f>
        <v>141958.19</v>
      </c>
      <c r="AD33" s="30"/>
    </row>
    <row r="34" spans="1:30" s="7" customFormat="1" ht="13.5" thickTop="1">
      <c r="A34" s="118"/>
      <c r="B34" s="123"/>
      <c r="C34" s="166"/>
      <c r="D34" s="166"/>
      <c r="E34" s="166"/>
      <c r="F34" s="16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30"/>
    </row>
    <row r="35" spans="1:30" s="7" customFormat="1" ht="13.5" thickBot="1">
      <c r="A35" s="118"/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3"/>
    </row>
    <row r="36" spans="1:30" ht="16.5" customHeight="1" thickTop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"/>
    </row>
    <row r="3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H48"/>
  <sheetViews>
    <sheetView zoomScale="75" zoomScaleNormal="75" zoomScalePageLayoutView="0" workbookViewId="0" topLeftCell="A1">
      <selection activeCell="G36" sqref="G3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2" width="16.2812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441" t="str">
        <f>+'TOT-0314'!B2</f>
        <v>ANEXO VI al Memorandum D.T.E.E. N°          639     / 2014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442" t="s">
        <v>145</v>
      </c>
      <c r="B4" s="111"/>
      <c r="C4" s="44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442" t="s">
        <v>146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16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40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41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42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'TOT-0314'!B14</f>
        <v>Desde el 01 al 31 de marzo de 2014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43</v>
      </c>
      <c r="G18" s="143"/>
      <c r="H18" s="144"/>
      <c r="I18" s="145">
        <v>0.834</v>
      </c>
      <c r="J18" s="118"/>
      <c r="K18" s="26"/>
      <c r="L18" s="382"/>
      <c r="M18" s="38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44</v>
      </c>
      <c r="G19" s="147"/>
      <c r="H19" s="147"/>
      <c r="I19" s="148">
        <f>30*'TOT-0314'!B13</f>
        <v>60</v>
      </c>
      <c r="J19" s="26"/>
      <c r="K19" s="172" t="str">
        <f>IF(I19=30," ",IF(I19=60,"  Coeficiente duplicado por tasa de falla &gt;4 Sal. x año/100 km.","REVISAR COEFICIENTE"))</f>
        <v>  Coeficiente duplicado por tasa de falla &gt;4 Sal. x año/100 km.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455">
        <v>3</v>
      </c>
      <c r="D20" s="455">
        <v>4</v>
      </c>
      <c r="E20" s="455">
        <v>5</v>
      </c>
      <c r="F20" s="455">
        <v>6</v>
      </c>
      <c r="G20" s="455">
        <v>7</v>
      </c>
      <c r="H20" s="455">
        <v>8</v>
      </c>
      <c r="I20" s="455">
        <v>9</v>
      </c>
      <c r="J20" s="455">
        <v>10</v>
      </c>
      <c r="K20" s="455">
        <v>11</v>
      </c>
      <c r="L20" s="455">
        <v>12</v>
      </c>
      <c r="M20" s="455">
        <v>13</v>
      </c>
      <c r="N20" s="455">
        <v>14</v>
      </c>
      <c r="O20" s="455">
        <v>15</v>
      </c>
      <c r="P20" s="455">
        <v>16</v>
      </c>
      <c r="Q20" s="455">
        <v>17</v>
      </c>
      <c r="R20" s="455">
        <v>18</v>
      </c>
      <c r="S20" s="455">
        <v>19</v>
      </c>
      <c r="T20" s="455">
        <v>20</v>
      </c>
      <c r="U20" s="455">
        <v>21</v>
      </c>
      <c r="V20" s="455">
        <v>22</v>
      </c>
      <c r="W20" s="455">
        <v>23</v>
      </c>
      <c r="X20" s="455">
        <v>24</v>
      </c>
      <c r="Y20" s="455">
        <v>25</v>
      </c>
      <c r="Z20" s="455">
        <v>26</v>
      </c>
      <c r="AA20" s="455">
        <v>27</v>
      </c>
      <c r="AB20" s="455">
        <v>28</v>
      </c>
      <c r="AC20" s="455">
        <v>29</v>
      </c>
      <c r="AD20" s="30"/>
    </row>
    <row r="21" spans="1:30" s="7" customFormat="1" ht="33.75" customHeight="1" thickBot="1" thickTop="1">
      <c r="A21" s="118"/>
      <c r="B21" s="123"/>
      <c r="C21" s="112" t="s">
        <v>21</v>
      </c>
      <c r="D21" s="112" t="s">
        <v>144</v>
      </c>
      <c r="E21" s="112" t="s">
        <v>143</v>
      </c>
      <c r="F21" s="157" t="s">
        <v>45</v>
      </c>
      <c r="G21" s="156" t="s">
        <v>46</v>
      </c>
      <c r="H21" s="158" t="s">
        <v>47</v>
      </c>
      <c r="I21" s="159" t="s">
        <v>22</v>
      </c>
      <c r="J21" s="174" t="s">
        <v>24</v>
      </c>
      <c r="K21" s="156" t="s">
        <v>25</v>
      </c>
      <c r="L21" s="156" t="s">
        <v>26</v>
      </c>
      <c r="M21" s="157" t="s">
        <v>48</v>
      </c>
      <c r="N21" s="157" t="s">
        <v>49</v>
      </c>
      <c r="O21" s="114" t="s">
        <v>29</v>
      </c>
      <c r="P21" s="156" t="s">
        <v>50</v>
      </c>
      <c r="Q21" s="157" t="s">
        <v>30</v>
      </c>
      <c r="R21" s="156" t="s">
        <v>51</v>
      </c>
      <c r="S21" s="240" t="s">
        <v>52</v>
      </c>
      <c r="T21" s="244" t="s">
        <v>31</v>
      </c>
      <c r="U21" s="250" t="s">
        <v>32</v>
      </c>
      <c r="V21" s="197" t="s">
        <v>53</v>
      </c>
      <c r="W21" s="199"/>
      <c r="X21" s="264" t="s">
        <v>54</v>
      </c>
      <c r="Y21" s="265"/>
      <c r="Z21" s="275" t="s">
        <v>35</v>
      </c>
      <c r="AA21" s="281" t="s">
        <v>36</v>
      </c>
      <c r="AB21" s="159" t="s">
        <v>37</v>
      </c>
      <c r="AC21" s="159" t="s">
        <v>38</v>
      </c>
      <c r="AD21" s="30"/>
    </row>
    <row r="22" spans="1:30" s="7" customFormat="1" ht="15.75" thickTop="1">
      <c r="A22" s="118"/>
      <c r="B22" s="123"/>
      <c r="C22" s="411"/>
      <c r="D22" s="411"/>
      <c r="E22" s="411"/>
      <c r="F22" s="412"/>
      <c r="G22" s="413"/>
      <c r="H22" s="413"/>
      <c r="I22" s="413"/>
      <c r="J22" s="178"/>
      <c r="K22" s="419"/>
      <c r="L22" s="413"/>
      <c r="M22" s="21"/>
      <c r="N22" s="21"/>
      <c r="O22" s="413"/>
      <c r="P22" s="413"/>
      <c r="Q22" s="413"/>
      <c r="R22" s="413"/>
      <c r="S22" s="241"/>
      <c r="T22" s="245"/>
      <c r="U22" s="251"/>
      <c r="V22" s="262"/>
      <c r="W22" s="256"/>
      <c r="X22" s="266"/>
      <c r="Y22" s="267"/>
      <c r="Z22" s="276"/>
      <c r="AA22" s="282"/>
      <c r="AB22" s="20"/>
      <c r="AC22" s="31">
        <f>'T-03 (2)'!AC33</f>
        <v>141958.19</v>
      </c>
      <c r="AD22" s="30"/>
    </row>
    <row r="23" spans="1:30" s="7" customFormat="1" ht="15">
      <c r="A23" s="118"/>
      <c r="B23" s="123"/>
      <c r="C23" s="411"/>
      <c r="D23" s="411"/>
      <c r="E23" s="411"/>
      <c r="F23" s="414"/>
      <c r="G23" s="415"/>
      <c r="H23" s="415"/>
      <c r="I23" s="415"/>
      <c r="J23" s="179"/>
      <c r="K23" s="414"/>
      <c r="L23" s="415"/>
      <c r="M23" s="17"/>
      <c r="N23" s="17"/>
      <c r="O23" s="415"/>
      <c r="P23" s="415"/>
      <c r="Q23" s="415"/>
      <c r="R23" s="415"/>
      <c r="S23" s="242"/>
      <c r="T23" s="246"/>
      <c r="U23" s="252"/>
      <c r="V23" s="263"/>
      <c r="W23" s="260"/>
      <c r="X23" s="268"/>
      <c r="Y23" s="269"/>
      <c r="Z23" s="277"/>
      <c r="AA23" s="283"/>
      <c r="AB23" s="16"/>
      <c r="AC23" s="27"/>
      <c r="AD23" s="30"/>
    </row>
    <row r="24" spans="1:30" s="7" customFormat="1" ht="15">
      <c r="A24" s="118"/>
      <c r="B24" s="123"/>
      <c r="C24" s="411">
        <v>59</v>
      </c>
      <c r="D24" s="411">
        <v>273052</v>
      </c>
      <c r="E24" s="411">
        <v>579</v>
      </c>
      <c r="F24" s="396" t="s">
        <v>194</v>
      </c>
      <c r="G24" s="390" t="s">
        <v>193</v>
      </c>
      <c r="H24" s="416">
        <v>30</v>
      </c>
      <c r="I24" s="397" t="s">
        <v>192</v>
      </c>
      <c r="J24" s="176">
        <f>H24*$I$18</f>
        <v>25.02</v>
      </c>
      <c r="K24" s="420">
        <v>41710.399305555555</v>
      </c>
      <c r="L24" s="420">
        <v>41710.50902777778</v>
      </c>
      <c r="M24" s="23">
        <f>IF(F24="","",(L24-K24)*24)</f>
        <v>2.633333333360497</v>
      </c>
      <c r="N24" s="24">
        <f>IF(F24="","",ROUND((L24-K24)*24*60,0))</f>
        <v>158</v>
      </c>
      <c r="O24" s="421" t="s">
        <v>164</v>
      </c>
      <c r="P24" s="421" t="str">
        <f>IF(F24="","",IF(OR(O24="P",O24="RP"),"--","NO"))</f>
        <v>--</v>
      </c>
      <c r="Q24" s="421" t="s">
        <v>189</v>
      </c>
      <c r="R24" s="421" t="s">
        <v>209</v>
      </c>
      <c r="S24" s="243">
        <f>$I$19*IF(R24="SI",1,0.1)*IF(OR(O24="P",O24="RP"),0.1,1)</f>
        <v>0.6000000000000001</v>
      </c>
      <c r="T24" s="247">
        <f>IF(O24="P",J24*S24*ROUND(N24/60,2),"--")</f>
        <v>39.48156</v>
      </c>
      <c r="U24" s="253" t="str">
        <f>IF(O24="RP",J24*S24*Q24/100*ROUND(N24/60,2),"--")</f>
        <v>--</v>
      </c>
      <c r="V24" s="200" t="str">
        <f>IF(AND(O24="F",P24="NO"),J24*S24,"--")</f>
        <v>--</v>
      </c>
      <c r="W24" s="261" t="str">
        <f>IF(O24="F",J24*S24*ROUND(N24/60,2),"--")</f>
        <v>--</v>
      </c>
      <c r="X24" s="270" t="str">
        <f>IF(AND(O24="R",P24="NO"),J24*S24*Q24/100,"--")</f>
        <v>--</v>
      </c>
      <c r="Y24" s="271" t="str">
        <f>IF(O24="R",J24*S24*ROUND(N24/60,2)*Q24/100,"--")</f>
        <v>--</v>
      </c>
      <c r="Z24" s="278" t="str">
        <f>IF(O24="RF",J24*S24*ROUND(N24/60,2),"--")</f>
        <v>--</v>
      </c>
      <c r="AA24" s="284" t="str">
        <f>IF(O24="RR",J24*S24*ROUND(N24/60,2)*Q24/100,"--")</f>
        <v>--</v>
      </c>
      <c r="AB24" s="22" t="str">
        <f>IF(F24="","","SI")</f>
        <v>SI</v>
      </c>
      <c r="AC24" s="27">
        <f>IF(F24="","",SUM(T24:AA24)*IF(AB24="SI",1,2))</f>
        <v>39.48156</v>
      </c>
      <c r="AD24" s="288"/>
    </row>
    <row r="25" spans="1:30" s="7" customFormat="1" ht="15">
      <c r="A25" s="118"/>
      <c r="B25" s="123"/>
      <c r="C25" s="411">
        <v>60</v>
      </c>
      <c r="D25" s="411">
        <v>273055</v>
      </c>
      <c r="E25" s="411">
        <v>4517</v>
      </c>
      <c r="F25" s="396" t="s">
        <v>200</v>
      </c>
      <c r="G25" s="390" t="s">
        <v>193</v>
      </c>
      <c r="H25" s="416">
        <v>30</v>
      </c>
      <c r="I25" s="397" t="s">
        <v>188</v>
      </c>
      <c r="J25" s="176">
        <f aca="true" t="shared" si="0" ref="J25:J43">H25*$I$18</f>
        <v>25.02</v>
      </c>
      <c r="K25" s="420">
        <v>41712.145833333336</v>
      </c>
      <c r="L25" s="420">
        <v>41712.17013888889</v>
      </c>
      <c r="M25" s="23">
        <f aca="true" t="shared" si="1" ref="M25:M40">IF(F25="","",(L25-K25)*24)</f>
        <v>0.5833333333139308</v>
      </c>
      <c r="N25" s="24">
        <f aca="true" t="shared" si="2" ref="N25:N40">IF(F25="","",ROUND((L25-K25)*24*60,0))</f>
        <v>35</v>
      </c>
      <c r="O25" s="421" t="s">
        <v>172</v>
      </c>
      <c r="P25" s="421" t="str">
        <f aca="true" t="shared" si="3" ref="P25:P43">IF(F25="","",IF(OR(O25="P",O25="RP"),"--","NO"))</f>
        <v>NO</v>
      </c>
      <c r="Q25" s="421" t="s">
        <v>189</v>
      </c>
      <c r="R25" s="421" t="s">
        <v>165</v>
      </c>
      <c r="S25" s="243">
        <f aca="true" t="shared" si="4" ref="S25:S40">$I$19*IF(R25="SI",1,0.1)*IF(OR(O25="P",O25="RP"),0.1,1)</f>
        <v>60</v>
      </c>
      <c r="T25" s="247" t="str">
        <f aca="true" t="shared" si="5" ref="T25:T40">IF(O25="P",J25*S25*ROUND(N25/60,2),"--")</f>
        <v>--</v>
      </c>
      <c r="U25" s="253" t="str">
        <f aca="true" t="shared" si="6" ref="U25:U40">IF(O25="RP",J25*S25*Q25/100*ROUND(N25/60,2),"--")</f>
        <v>--</v>
      </c>
      <c r="V25" s="200">
        <f aca="true" t="shared" si="7" ref="V25:V40">IF(AND(O25="F",P25="NO"),J25*S25,"--")</f>
        <v>1501.2</v>
      </c>
      <c r="W25" s="261">
        <f aca="true" t="shared" si="8" ref="W25:W40">IF(O25="F",J25*S25*ROUND(N25/60,2),"--")</f>
        <v>870.6959999999999</v>
      </c>
      <c r="X25" s="270" t="str">
        <f aca="true" t="shared" si="9" ref="X25:X40">IF(AND(O25="R",P25="NO"),J25*S25*Q25/100,"--")</f>
        <v>--</v>
      </c>
      <c r="Y25" s="271" t="str">
        <f aca="true" t="shared" si="10" ref="Y25:Y40">IF(O25="R",J25*S25*ROUND(N25/60,2)*Q25/100,"--")</f>
        <v>--</v>
      </c>
      <c r="Z25" s="278" t="str">
        <f aca="true" t="shared" si="11" ref="Z25:Z40">IF(O25="RF",J25*S25*ROUND(N25/60,2),"--")</f>
        <v>--</v>
      </c>
      <c r="AA25" s="284" t="str">
        <f aca="true" t="shared" si="12" ref="AA25:AA40">IF(O25="RR",J25*S25*ROUND(N25/60,2)*Q25/100,"--")</f>
        <v>--</v>
      </c>
      <c r="AB25" s="22" t="s">
        <v>165</v>
      </c>
      <c r="AC25" s="27">
        <f aca="true" t="shared" si="13" ref="AC25:AC40">IF(F25="","",SUM(T25:AA25)*IF(AB25="SI",1,2))</f>
        <v>2371.8959999999997</v>
      </c>
      <c r="AD25" s="288"/>
    </row>
    <row r="26" spans="1:30" s="7" customFormat="1" ht="15">
      <c r="A26" s="118"/>
      <c r="B26" s="123"/>
      <c r="C26" s="411">
        <v>61</v>
      </c>
      <c r="D26" s="411">
        <v>273058</v>
      </c>
      <c r="E26" s="411">
        <v>540</v>
      </c>
      <c r="F26" s="396" t="s">
        <v>201</v>
      </c>
      <c r="G26" s="390" t="s">
        <v>191</v>
      </c>
      <c r="H26" s="416">
        <v>10</v>
      </c>
      <c r="I26" s="397" t="s">
        <v>188</v>
      </c>
      <c r="J26" s="176">
        <f t="shared" si="0"/>
        <v>8.34</v>
      </c>
      <c r="K26" s="420">
        <v>41713.316666666666</v>
      </c>
      <c r="L26" s="420">
        <v>41713.61319444444</v>
      </c>
      <c r="M26" s="23">
        <f t="shared" si="1"/>
        <v>7.116666666639503</v>
      </c>
      <c r="N26" s="24">
        <f t="shared" si="2"/>
        <v>427</v>
      </c>
      <c r="O26" s="421" t="s">
        <v>164</v>
      </c>
      <c r="P26" s="421" t="str">
        <f t="shared" si="3"/>
        <v>--</v>
      </c>
      <c r="Q26" s="421" t="s">
        <v>189</v>
      </c>
      <c r="R26" s="421" t="s">
        <v>209</v>
      </c>
      <c r="S26" s="243">
        <f t="shared" si="4"/>
        <v>0.6000000000000001</v>
      </c>
      <c r="T26" s="247">
        <f t="shared" si="5"/>
        <v>35.62848</v>
      </c>
      <c r="U26" s="253" t="str">
        <f t="shared" si="6"/>
        <v>--</v>
      </c>
      <c r="V26" s="200" t="str">
        <f t="shared" si="7"/>
        <v>--</v>
      </c>
      <c r="W26" s="261" t="str">
        <f t="shared" si="8"/>
        <v>--</v>
      </c>
      <c r="X26" s="270" t="str">
        <f t="shared" si="9"/>
        <v>--</v>
      </c>
      <c r="Y26" s="271" t="str">
        <f t="shared" si="10"/>
        <v>--</v>
      </c>
      <c r="Z26" s="278" t="str">
        <f t="shared" si="11"/>
        <v>--</v>
      </c>
      <c r="AA26" s="284" t="str">
        <f t="shared" si="12"/>
        <v>--</v>
      </c>
      <c r="AB26" s="22" t="s">
        <v>165</v>
      </c>
      <c r="AC26" s="27">
        <f t="shared" si="13"/>
        <v>35.62848</v>
      </c>
      <c r="AD26" s="288"/>
    </row>
    <row r="27" spans="1:30" s="7" customFormat="1" ht="15">
      <c r="A27" s="118"/>
      <c r="B27" s="123"/>
      <c r="C27" s="411">
        <v>62</v>
      </c>
      <c r="D27" s="411">
        <v>273059</v>
      </c>
      <c r="E27" s="411">
        <v>554</v>
      </c>
      <c r="F27" s="396" t="s">
        <v>202</v>
      </c>
      <c r="G27" s="390" t="s">
        <v>191</v>
      </c>
      <c r="H27" s="416">
        <v>15</v>
      </c>
      <c r="I27" s="397" t="s">
        <v>188</v>
      </c>
      <c r="J27" s="176">
        <f t="shared" si="0"/>
        <v>12.51</v>
      </c>
      <c r="K27" s="420">
        <v>41713.34583333333</v>
      </c>
      <c r="L27" s="420">
        <v>41713.65902777778</v>
      </c>
      <c r="M27" s="23">
        <f t="shared" si="1"/>
        <v>7.516666666720994</v>
      </c>
      <c r="N27" s="24">
        <f t="shared" si="2"/>
        <v>451</v>
      </c>
      <c r="O27" s="421" t="s">
        <v>164</v>
      </c>
      <c r="P27" s="421" t="str">
        <f t="shared" si="3"/>
        <v>--</v>
      </c>
      <c r="Q27" s="421" t="s">
        <v>189</v>
      </c>
      <c r="R27" s="421" t="s">
        <v>209</v>
      </c>
      <c r="S27" s="243">
        <f t="shared" si="4"/>
        <v>0.6000000000000001</v>
      </c>
      <c r="T27" s="247">
        <f t="shared" si="5"/>
        <v>56.44512</v>
      </c>
      <c r="U27" s="253" t="str">
        <f t="shared" si="6"/>
        <v>--</v>
      </c>
      <c r="V27" s="200" t="str">
        <f t="shared" si="7"/>
        <v>--</v>
      </c>
      <c r="W27" s="261" t="str">
        <f t="shared" si="8"/>
        <v>--</v>
      </c>
      <c r="X27" s="270" t="str">
        <f t="shared" si="9"/>
        <v>--</v>
      </c>
      <c r="Y27" s="271" t="str">
        <f t="shared" si="10"/>
        <v>--</v>
      </c>
      <c r="Z27" s="278" t="str">
        <f t="shared" si="11"/>
        <v>--</v>
      </c>
      <c r="AA27" s="284" t="str">
        <f t="shared" si="12"/>
        <v>--</v>
      </c>
      <c r="AB27" s="22" t="s">
        <v>165</v>
      </c>
      <c r="AC27" s="27">
        <f t="shared" si="13"/>
        <v>56.44512</v>
      </c>
      <c r="AD27" s="288"/>
    </row>
    <row r="28" spans="1:30" s="7" customFormat="1" ht="15">
      <c r="A28" s="118"/>
      <c r="B28" s="123"/>
      <c r="C28" s="411">
        <v>63</v>
      </c>
      <c r="D28" s="411">
        <v>273060</v>
      </c>
      <c r="E28" s="411">
        <v>568</v>
      </c>
      <c r="F28" s="396" t="s">
        <v>203</v>
      </c>
      <c r="G28" s="390" t="s">
        <v>191</v>
      </c>
      <c r="H28" s="416">
        <v>30</v>
      </c>
      <c r="I28" s="397" t="s">
        <v>192</v>
      </c>
      <c r="J28" s="176">
        <f t="shared" si="0"/>
        <v>25.02</v>
      </c>
      <c r="K28" s="420">
        <v>41714.26180555556</v>
      </c>
      <c r="L28" s="420">
        <v>41714.26458333333</v>
      </c>
      <c r="M28" s="23">
        <f t="shared" si="1"/>
        <v>0.0666666665347293</v>
      </c>
      <c r="N28" s="24">
        <f t="shared" si="2"/>
        <v>4</v>
      </c>
      <c r="O28" s="421" t="s">
        <v>172</v>
      </c>
      <c r="P28" s="421" t="str">
        <f t="shared" si="3"/>
        <v>NO</v>
      </c>
      <c r="Q28" s="421" t="s">
        <v>189</v>
      </c>
      <c r="R28" s="421" t="s">
        <v>165</v>
      </c>
      <c r="S28" s="243">
        <f t="shared" si="4"/>
        <v>60</v>
      </c>
      <c r="T28" s="247" t="str">
        <f t="shared" si="5"/>
        <v>--</v>
      </c>
      <c r="U28" s="253" t="str">
        <f t="shared" si="6"/>
        <v>--</v>
      </c>
      <c r="V28" s="200">
        <f t="shared" si="7"/>
        <v>1501.2</v>
      </c>
      <c r="W28" s="261">
        <f t="shared" si="8"/>
        <v>105.08400000000002</v>
      </c>
      <c r="X28" s="270" t="str">
        <f t="shared" si="9"/>
        <v>--</v>
      </c>
      <c r="Y28" s="271" t="str">
        <f t="shared" si="10"/>
        <v>--</v>
      </c>
      <c r="Z28" s="278" t="str">
        <f t="shared" si="11"/>
        <v>--</v>
      </c>
      <c r="AA28" s="284" t="str">
        <f t="shared" si="12"/>
        <v>--</v>
      </c>
      <c r="AB28" s="22" t="s">
        <v>165</v>
      </c>
      <c r="AC28" s="27">
        <f t="shared" si="13"/>
        <v>1606.284</v>
      </c>
      <c r="AD28" s="288"/>
    </row>
    <row r="29" spans="1:30" s="7" customFormat="1" ht="15">
      <c r="A29" s="118"/>
      <c r="B29" s="123"/>
      <c r="C29" s="411">
        <v>64</v>
      </c>
      <c r="D29" s="411">
        <v>273067</v>
      </c>
      <c r="E29" s="411">
        <v>565</v>
      </c>
      <c r="F29" s="396" t="s">
        <v>204</v>
      </c>
      <c r="G29" s="390" t="s">
        <v>191</v>
      </c>
      <c r="H29" s="416">
        <v>30</v>
      </c>
      <c r="I29" s="397" t="s">
        <v>188</v>
      </c>
      <c r="J29" s="176">
        <f t="shared" si="0"/>
        <v>25.02</v>
      </c>
      <c r="K29" s="420">
        <v>41714.356944444444</v>
      </c>
      <c r="L29" s="420">
        <v>41714.56527777778</v>
      </c>
      <c r="M29" s="23">
        <f t="shared" si="1"/>
        <v>5.000000000058208</v>
      </c>
      <c r="N29" s="24">
        <f t="shared" si="2"/>
        <v>300</v>
      </c>
      <c r="O29" s="421" t="s">
        <v>164</v>
      </c>
      <c r="P29" s="421" t="str">
        <f t="shared" si="3"/>
        <v>--</v>
      </c>
      <c r="Q29" s="421" t="s">
        <v>189</v>
      </c>
      <c r="R29" s="421" t="s">
        <v>209</v>
      </c>
      <c r="S29" s="243">
        <f t="shared" si="4"/>
        <v>0.6000000000000001</v>
      </c>
      <c r="T29" s="247">
        <f t="shared" si="5"/>
        <v>75.06000000000002</v>
      </c>
      <c r="U29" s="253" t="str">
        <f t="shared" si="6"/>
        <v>--</v>
      </c>
      <c r="V29" s="200" t="str">
        <f t="shared" si="7"/>
        <v>--</v>
      </c>
      <c r="W29" s="261" t="str">
        <f t="shared" si="8"/>
        <v>--</v>
      </c>
      <c r="X29" s="270" t="str">
        <f t="shared" si="9"/>
        <v>--</v>
      </c>
      <c r="Y29" s="271" t="str">
        <f t="shared" si="10"/>
        <v>--</v>
      </c>
      <c r="Z29" s="278" t="str">
        <f t="shared" si="11"/>
        <v>--</v>
      </c>
      <c r="AA29" s="284" t="str">
        <f t="shared" si="12"/>
        <v>--</v>
      </c>
      <c r="AB29" s="22" t="s">
        <v>165</v>
      </c>
      <c r="AC29" s="27">
        <f t="shared" si="13"/>
        <v>75.06000000000002</v>
      </c>
      <c r="AD29" s="288"/>
    </row>
    <row r="30" spans="1:30" s="7" customFormat="1" ht="15">
      <c r="A30" s="118"/>
      <c r="B30" s="123"/>
      <c r="C30" s="411">
        <v>65</v>
      </c>
      <c r="D30" s="411">
        <v>273306</v>
      </c>
      <c r="E30" s="411">
        <v>2040</v>
      </c>
      <c r="F30" s="396" t="s">
        <v>198</v>
      </c>
      <c r="G30" s="390" t="s">
        <v>191</v>
      </c>
      <c r="H30" s="416">
        <v>30</v>
      </c>
      <c r="I30" s="397" t="s">
        <v>188</v>
      </c>
      <c r="J30" s="176">
        <f t="shared" si="0"/>
        <v>25.02</v>
      </c>
      <c r="K30" s="420">
        <v>41721.30138888889</v>
      </c>
      <c r="L30" s="420">
        <v>41721.782638888886</v>
      </c>
      <c r="M30" s="23">
        <f t="shared" si="1"/>
        <v>11.54999999993015</v>
      </c>
      <c r="N30" s="24">
        <f t="shared" si="2"/>
        <v>693</v>
      </c>
      <c r="O30" s="421" t="s">
        <v>164</v>
      </c>
      <c r="P30" s="421" t="str">
        <f t="shared" si="3"/>
        <v>--</v>
      </c>
      <c r="Q30" s="421" t="s">
        <v>189</v>
      </c>
      <c r="R30" s="421" t="s">
        <v>209</v>
      </c>
      <c r="S30" s="243">
        <f t="shared" si="4"/>
        <v>0.6000000000000001</v>
      </c>
      <c r="T30" s="247">
        <f t="shared" si="5"/>
        <v>173.38860000000003</v>
      </c>
      <c r="U30" s="253" t="str">
        <f t="shared" si="6"/>
        <v>--</v>
      </c>
      <c r="V30" s="200" t="str">
        <f t="shared" si="7"/>
        <v>--</v>
      </c>
      <c r="W30" s="261" t="str">
        <f t="shared" si="8"/>
        <v>--</v>
      </c>
      <c r="X30" s="270" t="str">
        <f t="shared" si="9"/>
        <v>--</v>
      </c>
      <c r="Y30" s="271" t="str">
        <f t="shared" si="10"/>
        <v>--</v>
      </c>
      <c r="Z30" s="278" t="str">
        <f t="shared" si="11"/>
        <v>--</v>
      </c>
      <c r="AA30" s="284" t="str">
        <f t="shared" si="12"/>
        <v>--</v>
      </c>
      <c r="AB30" s="22" t="s">
        <v>165</v>
      </c>
      <c r="AC30" s="27">
        <f t="shared" si="13"/>
        <v>173.38860000000003</v>
      </c>
      <c r="AD30" s="288"/>
    </row>
    <row r="31" spans="1:30" s="7" customFormat="1" ht="15">
      <c r="A31" s="118"/>
      <c r="B31" s="123"/>
      <c r="C31" s="411">
        <v>66</v>
      </c>
      <c r="D31" s="411">
        <v>273307</v>
      </c>
      <c r="E31" s="411">
        <v>3947</v>
      </c>
      <c r="F31" s="396" t="s">
        <v>198</v>
      </c>
      <c r="G31" s="390" t="s">
        <v>193</v>
      </c>
      <c r="H31" s="416">
        <v>30</v>
      </c>
      <c r="I31" s="397" t="s">
        <v>188</v>
      </c>
      <c r="J31" s="176">
        <f t="shared" si="0"/>
        <v>25.02</v>
      </c>
      <c r="K31" s="420">
        <v>41721.30138888889</v>
      </c>
      <c r="L31" s="420">
        <v>41721.334027777775</v>
      </c>
      <c r="M31" s="23">
        <f t="shared" si="1"/>
        <v>0.7833333332673647</v>
      </c>
      <c r="N31" s="24">
        <f t="shared" si="2"/>
        <v>47</v>
      </c>
      <c r="O31" s="421" t="s">
        <v>164</v>
      </c>
      <c r="P31" s="421" t="str">
        <f t="shared" si="3"/>
        <v>--</v>
      </c>
      <c r="Q31" s="421" t="s">
        <v>189</v>
      </c>
      <c r="R31" s="421" t="s">
        <v>209</v>
      </c>
      <c r="S31" s="243">
        <f t="shared" si="4"/>
        <v>0.6000000000000001</v>
      </c>
      <c r="T31" s="247">
        <f t="shared" si="5"/>
        <v>11.709360000000002</v>
      </c>
      <c r="U31" s="253" t="str">
        <f t="shared" si="6"/>
        <v>--</v>
      </c>
      <c r="V31" s="200" t="str">
        <f t="shared" si="7"/>
        <v>--</v>
      </c>
      <c r="W31" s="261" t="str">
        <f t="shared" si="8"/>
        <v>--</v>
      </c>
      <c r="X31" s="270" t="str">
        <f t="shared" si="9"/>
        <v>--</v>
      </c>
      <c r="Y31" s="271" t="str">
        <f t="shared" si="10"/>
        <v>--</v>
      </c>
      <c r="Z31" s="278" t="str">
        <f t="shared" si="11"/>
        <v>--</v>
      </c>
      <c r="AA31" s="284" t="str">
        <f t="shared" si="12"/>
        <v>--</v>
      </c>
      <c r="AB31" s="22" t="s">
        <v>165</v>
      </c>
      <c r="AC31" s="27">
        <f t="shared" si="13"/>
        <v>11.709360000000002</v>
      </c>
      <c r="AD31" s="288"/>
    </row>
    <row r="32" spans="1:30" s="7" customFormat="1" ht="15">
      <c r="A32" s="118"/>
      <c r="B32" s="123"/>
      <c r="C32" s="411">
        <v>67</v>
      </c>
      <c r="D32" s="411">
        <v>273310</v>
      </c>
      <c r="E32" s="411">
        <v>3947</v>
      </c>
      <c r="F32" s="396" t="s">
        <v>198</v>
      </c>
      <c r="G32" s="390" t="s">
        <v>193</v>
      </c>
      <c r="H32" s="416">
        <v>30</v>
      </c>
      <c r="I32" s="397" t="s">
        <v>188</v>
      </c>
      <c r="J32" s="176">
        <f t="shared" si="0"/>
        <v>25.02</v>
      </c>
      <c r="K32" s="420">
        <v>41721.760416666664</v>
      </c>
      <c r="L32" s="420">
        <v>41721.782638888886</v>
      </c>
      <c r="M32" s="23">
        <f t="shared" si="1"/>
        <v>0.5333333333255723</v>
      </c>
      <c r="N32" s="24">
        <f t="shared" si="2"/>
        <v>32</v>
      </c>
      <c r="O32" s="421" t="s">
        <v>164</v>
      </c>
      <c r="P32" s="421" t="str">
        <f t="shared" si="3"/>
        <v>--</v>
      </c>
      <c r="Q32" s="421" t="s">
        <v>189</v>
      </c>
      <c r="R32" s="421" t="s">
        <v>209</v>
      </c>
      <c r="S32" s="243">
        <f t="shared" si="4"/>
        <v>0.6000000000000001</v>
      </c>
      <c r="T32" s="247">
        <f t="shared" si="5"/>
        <v>7.956360000000002</v>
      </c>
      <c r="U32" s="253" t="str">
        <f t="shared" si="6"/>
        <v>--</v>
      </c>
      <c r="V32" s="200" t="str">
        <f t="shared" si="7"/>
        <v>--</v>
      </c>
      <c r="W32" s="261" t="str">
        <f t="shared" si="8"/>
        <v>--</v>
      </c>
      <c r="X32" s="270" t="str">
        <f t="shared" si="9"/>
        <v>--</v>
      </c>
      <c r="Y32" s="271" t="str">
        <f t="shared" si="10"/>
        <v>--</v>
      </c>
      <c r="Z32" s="278" t="str">
        <f t="shared" si="11"/>
        <v>--</v>
      </c>
      <c r="AA32" s="284" t="str">
        <f t="shared" si="12"/>
        <v>--</v>
      </c>
      <c r="AB32" s="22" t="s">
        <v>165</v>
      </c>
      <c r="AC32" s="27">
        <f t="shared" si="13"/>
        <v>7.956360000000002</v>
      </c>
      <c r="AD32" s="288"/>
    </row>
    <row r="33" spans="1:30" s="7" customFormat="1" ht="15">
      <c r="A33" s="118"/>
      <c r="B33" s="123"/>
      <c r="C33" s="411">
        <v>68</v>
      </c>
      <c r="D33" s="411">
        <v>273708</v>
      </c>
      <c r="E33" s="411">
        <v>579</v>
      </c>
      <c r="F33" s="396" t="s">
        <v>194</v>
      </c>
      <c r="G33" s="390" t="s">
        <v>193</v>
      </c>
      <c r="H33" s="416">
        <v>30</v>
      </c>
      <c r="I33" s="397" t="s">
        <v>192</v>
      </c>
      <c r="J33" s="176">
        <f t="shared" si="0"/>
        <v>25.02</v>
      </c>
      <c r="K33" s="420">
        <v>41722.36388888889</v>
      </c>
      <c r="L33" s="420">
        <v>41722.7</v>
      </c>
      <c r="M33" s="23">
        <f t="shared" si="1"/>
        <v>8.066666666592937</v>
      </c>
      <c r="N33" s="24">
        <f t="shared" si="2"/>
        <v>484</v>
      </c>
      <c r="O33" s="421" t="s">
        <v>164</v>
      </c>
      <c r="P33" s="421" t="str">
        <f t="shared" si="3"/>
        <v>--</v>
      </c>
      <c r="Q33" s="421" t="s">
        <v>189</v>
      </c>
      <c r="R33" s="421" t="s">
        <v>209</v>
      </c>
      <c r="S33" s="243">
        <f t="shared" si="4"/>
        <v>0.6000000000000001</v>
      </c>
      <c r="T33" s="247">
        <f t="shared" si="5"/>
        <v>121.14684000000003</v>
      </c>
      <c r="U33" s="253" t="str">
        <f t="shared" si="6"/>
        <v>--</v>
      </c>
      <c r="V33" s="200" t="str">
        <f t="shared" si="7"/>
        <v>--</v>
      </c>
      <c r="W33" s="261" t="str">
        <f t="shared" si="8"/>
        <v>--</v>
      </c>
      <c r="X33" s="270" t="str">
        <f t="shared" si="9"/>
        <v>--</v>
      </c>
      <c r="Y33" s="271" t="str">
        <f t="shared" si="10"/>
        <v>--</v>
      </c>
      <c r="Z33" s="278" t="str">
        <f t="shared" si="11"/>
        <v>--</v>
      </c>
      <c r="AA33" s="284" t="str">
        <f t="shared" si="12"/>
        <v>--</v>
      </c>
      <c r="AB33" s="22" t="s">
        <v>165</v>
      </c>
      <c r="AC33" s="27">
        <f t="shared" si="13"/>
        <v>121.14684000000003</v>
      </c>
      <c r="AD33" s="288"/>
    </row>
    <row r="34" spans="1:30" s="7" customFormat="1" ht="15">
      <c r="A34" s="118"/>
      <c r="B34" s="123"/>
      <c r="C34" s="411">
        <v>69</v>
      </c>
      <c r="D34" s="411">
        <v>273715</v>
      </c>
      <c r="E34" s="411">
        <v>5264</v>
      </c>
      <c r="F34" s="396" t="s">
        <v>194</v>
      </c>
      <c r="G34" s="390" t="s">
        <v>196</v>
      </c>
      <c r="H34" s="456">
        <v>30</v>
      </c>
      <c r="I34" s="397" t="s">
        <v>192</v>
      </c>
      <c r="J34" s="176">
        <f t="shared" si="0"/>
        <v>25.02</v>
      </c>
      <c r="K34" s="420">
        <v>41722.68194444444</v>
      </c>
      <c r="L34" s="420">
        <v>41722.686111111114</v>
      </c>
      <c r="M34" s="23">
        <f t="shared" si="1"/>
        <v>0.10000000015133992</v>
      </c>
      <c r="N34" s="24">
        <f t="shared" si="2"/>
        <v>6</v>
      </c>
      <c r="O34" s="421" t="s">
        <v>172</v>
      </c>
      <c r="P34" s="421" t="str">
        <f t="shared" si="3"/>
        <v>NO</v>
      </c>
      <c r="Q34" s="421" t="s">
        <v>189</v>
      </c>
      <c r="R34" s="421" t="s">
        <v>165</v>
      </c>
      <c r="S34" s="243">
        <f t="shared" si="4"/>
        <v>60</v>
      </c>
      <c r="T34" s="247" t="str">
        <f t="shared" si="5"/>
        <v>--</v>
      </c>
      <c r="U34" s="253" t="str">
        <f t="shared" si="6"/>
        <v>--</v>
      </c>
      <c r="V34" s="200">
        <f t="shared" si="7"/>
        <v>1501.2</v>
      </c>
      <c r="W34" s="261">
        <f t="shared" si="8"/>
        <v>150.12</v>
      </c>
      <c r="X34" s="270" t="str">
        <f t="shared" si="9"/>
        <v>--</v>
      </c>
      <c r="Y34" s="271" t="str">
        <f t="shared" si="10"/>
        <v>--</v>
      </c>
      <c r="Z34" s="278" t="str">
        <f t="shared" si="11"/>
        <v>--</v>
      </c>
      <c r="AA34" s="284" t="str">
        <f t="shared" si="12"/>
        <v>--</v>
      </c>
      <c r="AB34" s="22" t="s">
        <v>165</v>
      </c>
      <c r="AC34" s="27">
        <f t="shared" si="13"/>
        <v>1651.3200000000002</v>
      </c>
      <c r="AD34" s="288"/>
    </row>
    <row r="35" spans="1:30" s="7" customFormat="1" ht="15">
      <c r="A35" s="118"/>
      <c r="B35" s="123"/>
      <c r="C35" s="411">
        <v>70</v>
      </c>
      <c r="D35" s="411">
        <v>273726</v>
      </c>
      <c r="E35" s="411">
        <v>554</v>
      </c>
      <c r="F35" s="396" t="s">
        <v>202</v>
      </c>
      <c r="G35" s="390" t="s">
        <v>191</v>
      </c>
      <c r="H35" s="416">
        <v>15</v>
      </c>
      <c r="I35" s="397" t="s">
        <v>188</v>
      </c>
      <c r="J35" s="176">
        <f t="shared" si="0"/>
        <v>12.51</v>
      </c>
      <c r="K35" s="420">
        <v>41723.595138888886</v>
      </c>
      <c r="L35" s="420">
        <v>41723.62777777778</v>
      </c>
      <c r="M35" s="23">
        <f t="shared" si="1"/>
        <v>0.7833333334419876</v>
      </c>
      <c r="N35" s="24">
        <f t="shared" si="2"/>
        <v>47</v>
      </c>
      <c r="O35" s="421" t="s">
        <v>172</v>
      </c>
      <c r="P35" s="421" t="str">
        <f t="shared" si="3"/>
        <v>NO</v>
      </c>
      <c r="Q35" s="421" t="s">
        <v>189</v>
      </c>
      <c r="R35" s="421" t="s">
        <v>209</v>
      </c>
      <c r="S35" s="243">
        <f t="shared" si="4"/>
        <v>6</v>
      </c>
      <c r="T35" s="247" t="str">
        <f t="shared" si="5"/>
        <v>--</v>
      </c>
      <c r="U35" s="253" t="str">
        <f t="shared" si="6"/>
        <v>--</v>
      </c>
      <c r="V35" s="200">
        <f t="shared" si="7"/>
        <v>75.06</v>
      </c>
      <c r="W35" s="261">
        <f t="shared" si="8"/>
        <v>58.546800000000005</v>
      </c>
      <c r="X35" s="270" t="str">
        <f t="shared" si="9"/>
        <v>--</v>
      </c>
      <c r="Y35" s="271" t="str">
        <f t="shared" si="10"/>
        <v>--</v>
      </c>
      <c r="Z35" s="278" t="str">
        <f t="shared" si="11"/>
        <v>--</v>
      </c>
      <c r="AA35" s="284" t="str">
        <f t="shared" si="12"/>
        <v>--</v>
      </c>
      <c r="AB35" s="22" t="s">
        <v>165</v>
      </c>
      <c r="AC35" s="27">
        <f t="shared" si="13"/>
        <v>133.60680000000002</v>
      </c>
      <c r="AD35" s="288"/>
    </row>
    <row r="36" spans="1:30" s="7" customFormat="1" ht="15">
      <c r="A36" s="118"/>
      <c r="B36" s="123"/>
      <c r="C36" s="411">
        <v>71</v>
      </c>
      <c r="D36" s="411">
        <v>273729</v>
      </c>
      <c r="E36" s="411">
        <v>5062</v>
      </c>
      <c r="F36" s="396" t="s">
        <v>211</v>
      </c>
      <c r="G36" s="390" t="s">
        <v>191</v>
      </c>
      <c r="H36" s="456">
        <v>15</v>
      </c>
      <c r="I36" s="397" t="s">
        <v>188</v>
      </c>
      <c r="J36" s="176">
        <f t="shared" si="0"/>
        <v>12.51</v>
      </c>
      <c r="K36" s="420">
        <v>41724.56875</v>
      </c>
      <c r="L36" s="420">
        <v>41724.604166666664</v>
      </c>
      <c r="M36" s="23">
        <f t="shared" si="1"/>
        <v>0.8499999999767169</v>
      </c>
      <c r="N36" s="24">
        <f t="shared" si="2"/>
        <v>51</v>
      </c>
      <c r="O36" s="421" t="s">
        <v>172</v>
      </c>
      <c r="P36" s="421" t="str">
        <f t="shared" si="3"/>
        <v>NO</v>
      </c>
      <c r="Q36" s="421" t="s">
        <v>189</v>
      </c>
      <c r="R36" s="421" t="s">
        <v>209</v>
      </c>
      <c r="S36" s="243">
        <f t="shared" si="4"/>
        <v>6</v>
      </c>
      <c r="T36" s="247" t="str">
        <f t="shared" si="5"/>
        <v>--</v>
      </c>
      <c r="U36" s="253" t="str">
        <f t="shared" si="6"/>
        <v>--</v>
      </c>
      <c r="V36" s="200">
        <f t="shared" si="7"/>
        <v>75.06</v>
      </c>
      <c r="W36" s="261">
        <f t="shared" si="8"/>
        <v>63.801</v>
      </c>
      <c r="X36" s="270" t="str">
        <f t="shared" si="9"/>
        <v>--</v>
      </c>
      <c r="Y36" s="271" t="str">
        <f t="shared" si="10"/>
        <v>--</v>
      </c>
      <c r="Z36" s="278" t="str">
        <f t="shared" si="11"/>
        <v>--</v>
      </c>
      <c r="AA36" s="284" t="str">
        <f t="shared" si="12"/>
        <v>--</v>
      </c>
      <c r="AB36" s="22" t="s">
        <v>165</v>
      </c>
      <c r="AC36" s="27">
        <f t="shared" si="13"/>
        <v>138.861</v>
      </c>
      <c r="AD36" s="288"/>
    </row>
    <row r="37" spans="1:30" s="7" customFormat="1" ht="15">
      <c r="A37" s="118"/>
      <c r="B37" s="123"/>
      <c r="C37" s="411">
        <v>72</v>
      </c>
      <c r="D37" s="411">
        <v>273742</v>
      </c>
      <c r="E37" s="411">
        <v>4903</v>
      </c>
      <c r="F37" s="396" t="s">
        <v>212</v>
      </c>
      <c r="G37" s="390" t="s">
        <v>191</v>
      </c>
      <c r="H37" s="456">
        <v>20</v>
      </c>
      <c r="I37" s="397" t="s">
        <v>188</v>
      </c>
      <c r="J37" s="176">
        <f t="shared" si="0"/>
        <v>16.68</v>
      </c>
      <c r="K37" s="420">
        <v>41728.29791666667</v>
      </c>
      <c r="L37" s="420">
        <v>41728.361805555556</v>
      </c>
      <c r="M37" s="23">
        <f t="shared" si="1"/>
        <v>1.5333333332673647</v>
      </c>
      <c r="N37" s="24">
        <f t="shared" si="2"/>
        <v>92</v>
      </c>
      <c r="O37" s="421" t="s">
        <v>164</v>
      </c>
      <c r="P37" s="421" t="str">
        <f t="shared" si="3"/>
        <v>--</v>
      </c>
      <c r="Q37" s="421" t="s">
        <v>189</v>
      </c>
      <c r="R37" s="421" t="s">
        <v>165</v>
      </c>
      <c r="S37" s="243">
        <f t="shared" si="4"/>
        <v>6</v>
      </c>
      <c r="T37" s="247">
        <f t="shared" si="5"/>
        <v>153.1224</v>
      </c>
      <c r="U37" s="253" t="str">
        <f t="shared" si="6"/>
        <v>--</v>
      </c>
      <c r="V37" s="200" t="str">
        <f t="shared" si="7"/>
        <v>--</v>
      </c>
      <c r="W37" s="261" t="str">
        <f t="shared" si="8"/>
        <v>--</v>
      </c>
      <c r="X37" s="270" t="str">
        <f t="shared" si="9"/>
        <v>--</v>
      </c>
      <c r="Y37" s="271" t="str">
        <f t="shared" si="10"/>
        <v>--</v>
      </c>
      <c r="Z37" s="278" t="str">
        <f t="shared" si="11"/>
        <v>--</v>
      </c>
      <c r="AA37" s="284" t="str">
        <f t="shared" si="12"/>
        <v>--</v>
      </c>
      <c r="AB37" s="22" t="s">
        <v>165</v>
      </c>
      <c r="AC37" s="27">
        <f t="shared" si="13"/>
        <v>153.1224</v>
      </c>
      <c r="AD37" s="30"/>
    </row>
    <row r="38" spans="1:30" s="7" customFormat="1" ht="15">
      <c r="A38" s="118"/>
      <c r="B38" s="123"/>
      <c r="C38" s="411"/>
      <c r="D38" s="411"/>
      <c r="E38" s="411"/>
      <c r="F38" s="396"/>
      <c r="G38" s="390"/>
      <c r="H38" s="416"/>
      <c r="I38" s="417"/>
      <c r="J38" s="176">
        <f t="shared" si="0"/>
        <v>0</v>
      </c>
      <c r="K38" s="420"/>
      <c r="L38" s="420"/>
      <c r="M38" s="23">
        <f t="shared" si="1"/>
      </c>
      <c r="N38" s="24">
        <f t="shared" si="2"/>
      </c>
      <c r="O38" s="421"/>
      <c r="P38" s="421">
        <f t="shared" si="3"/>
      </c>
      <c r="Q38" s="422">
        <f aca="true" t="shared" si="14" ref="Q38:Q43">IF(F38="","","--")</f>
      </c>
      <c r="R38" s="421"/>
      <c r="S38" s="243">
        <f t="shared" si="4"/>
        <v>6</v>
      </c>
      <c r="T38" s="247" t="str">
        <f t="shared" si="5"/>
        <v>--</v>
      </c>
      <c r="U38" s="253" t="str">
        <f t="shared" si="6"/>
        <v>--</v>
      </c>
      <c r="V38" s="200" t="str">
        <f t="shared" si="7"/>
        <v>--</v>
      </c>
      <c r="W38" s="261" t="str">
        <f t="shared" si="8"/>
        <v>--</v>
      </c>
      <c r="X38" s="270" t="str">
        <f t="shared" si="9"/>
        <v>--</v>
      </c>
      <c r="Y38" s="271" t="str">
        <f t="shared" si="10"/>
        <v>--</v>
      </c>
      <c r="Z38" s="278" t="str">
        <f t="shared" si="11"/>
        <v>--</v>
      </c>
      <c r="AA38" s="284" t="str">
        <f t="shared" si="12"/>
        <v>--</v>
      </c>
      <c r="AB38" s="22">
        <f aca="true" t="shared" si="15" ref="AB38:AB43">IF(F38="","","SI")</f>
      </c>
      <c r="AC38" s="27">
        <f t="shared" si="13"/>
      </c>
      <c r="AD38" s="30"/>
    </row>
    <row r="39" spans="1:30" s="7" customFormat="1" ht="15">
      <c r="A39" s="118"/>
      <c r="B39" s="123"/>
      <c r="C39" s="411"/>
      <c r="D39" s="411"/>
      <c r="E39" s="411"/>
      <c r="F39" s="396"/>
      <c r="G39" s="390"/>
      <c r="H39" s="416"/>
      <c r="I39" s="417"/>
      <c r="J39" s="176">
        <f t="shared" si="0"/>
        <v>0</v>
      </c>
      <c r="K39" s="420"/>
      <c r="L39" s="420"/>
      <c r="M39" s="23">
        <f t="shared" si="1"/>
      </c>
      <c r="N39" s="24">
        <f t="shared" si="2"/>
      </c>
      <c r="O39" s="421"/>
      <c r="P39" s="421">
        <f t="shared" si="3"/>
      </c>
      <c r="Q39" s="422">
        <f t="shared" si="14"/>
      </c>
      <c r="R39" s="421"/>
      <c r="S39" s="243">
        <f t="shared" si="4"/>
        <v>6</v>
      </c>
      <c r="T39" s="247" t="str">
        <f t="shared" si="5"/>
        <v>--</v>
      </c>
      <c r="U39" s="253" t="str">
        <f t="shared" si="6"/>
        <v>--</v>
      </c>
      <c r="V39" s="200" t="str">
        <f t="shared" si="7"/>
        <v>--</v>
      </c>
      <c r="W39" s="261" t="str">
        <f t="shared" si="8"/>
        <v>--</v>
      </c>
      <c r="X39" s="270" t="str">
        <f t="shared" si="9"/>
        <v>--</v>
      </c>
      <c r="Y39" s="271" t="str">
        <f t="shared" si="10"/>
        <v>--</v>
      </c>
      <c r="Z39" s="278" t="str">
        <f t="shared" si="11"/>
        <v>--</v>
      </c>
      <c r="AA39" s="284" t="str">
        <f t="shared" si="12"/>
        <v>--</v>
      </c>
      <c r="AB39" s="22">
        <f t="shared" si="15"/>
      </c>
      <c r="AC39" s="27">
        <f t="shared" si="13"/>
      </c>
      <c r="AD39" s="30"/>
    </row>
    <row r="40" spans="1:30" s="7" customFormat="1" ht="15">
      <c r="A40" s="118"/>
      <c r="B40" s="123"/>
      <c r="C40" s="411"/>
      <c r="D40" s="411"/>
      <c r="E40" s="411"/>
      <c r="F40" s="396"/>
      <c r="G40" s="390"/>
      <c r="H40" s="416"/>
      <c r="I40" s="417"/>
      <c r="J40" s="176">
        <f t="shared" si="0"/>
        <v>0</v>
      </c>
      <c r="K40" s="420"/>
      <c r="L40" s="420"/>
      <c r="M40" s="23">
        <f t="shared" si="1"/>
      </c>
      <c r="N40" s="24">
        <f t="shared" si="2"/>
      </c>
      <c r="O40" s="421"/>
      <c r="P40" s="421">
        <f t="shared" si="3"/>
      </c>
      <c r="Q40" s="422">
        <f t="shared" si="14"/>
      </c>
      <c r="R40" s="421"/>
      <c r="S40" s="243">
        <f t="shared" si="4"/>
        <v>6</v>
      </c>
      <c r="T40" s="247" t="str">
        <f t="shared" si="5"/>
        <v>--</v>
      </c>
      <c r="U40" s="253" t="str">
        <f t="shared" si="6"/>
        <v>--</v>
      </c>
      <c r="V40" s="200" t="str">
        <f t="shared" si="7"/>
        <v>--</v>
      </c>
      <c r="W40" s="261" t="str">
        <f t="shared" si="8"/>
        <v>--</v>
      </c>
      <c r="X40" s="270" t="str">
        <f t="shared" si="9"/>
        <v>--</v>
      </c>
      <c r="Y40" s="271" t="str">
        <f t="shared" si="10"/>
        <v>--</v>
      </c>
      <c r="Z40" s="278" t="str">
        <f t="shared" si="11"/>
        <v>--</v>
      </c>
      <c r="AA40" s="284" t="str">
        <f t="shared" si="12"/>
        <v>--</v>
      </c>
      <c r="AB40" s="22">
        <f t="shared" si="15"/>
      </c>
      <c r="AC40" s="27">
        <f t="shared" si="13"/>
      </c>
      <c r="AD40" s="30"/>
    </row>
    <row r="41" spans="1:30" s="7" customFormat="1" ht="15">
      <c r="A41" s="118"/>
      <c r="B41" s="123"/>
      <c r="C41" s="411"/>
      <c r="D41" s="411"/>
      <c r="E41" s="411"/>
      <c r="F41" s="396"/>
      <c r="G41" s="390"/>
      <c r="H41" s="416"/>
      <c r="I41" s="417"/>
      <c r="J41" s="176">
        <f t="shared" si="0"/>
        <v>0</v>
      </c>
      <c r="K41" s="420"/>
      <c r="L41" s="420"/>
      <c r="M41" s="23">
        <f>IF(F41="","",(L41-K41)*24)</f>
      </c>
      <c r="N41" s="24">
        <f>IF(F41="","",ROUND((L41-K41)*24*60,0))</f>
      </c>
      <c r="O41" s="421"/>
      <c r="P41" s="421">
        <f t="shared" si="3"/>
      </c>
      <c r="Q41" s="422">
        <f t="shared" si="14"/>
      </c>
      <c r="R41" s="421"/>
      <c r="S41" s="243">
        <f>$I$19*IF(R41="SI",1,0.1)*IF(OR(O41="P",O41="RP"),0.1,1)</f>
        <v>6</v>
      </c>
      <c r="T41" s="247" t="str">
        <f>IF(O41="P",J41*S41*ROUND(N41/60,2),"--")</f>
        <v>--</v>
      </c>
      <c r="U41" s="253" t="str">
        <f>IF(O41="RP",J41*S41*Q41/100*ROUND(N41/60,2),"--")</f>
        <v>--</v>
      </c>
      <c r="V41" s="200" t="str">
        <f>IF(AND(O41="F",P41="NO"),J41*S41,"--")</f>
        <v>--</v>
      </c>
      <c r="W41" s="261" t="str">
        <f>IF(O41="F",J41*S41*ROUND(N41/60,2),"--")</f>
        <v>--</v>
      </c>
      <c r="X41" s="270" t="str">
        <f>IF(AND(O41="R",P41="NO"),J41*S41*Q41/100,"--")</f>
        <v>--</v>
      </c>
      <c r="Y41" s="271" t="str">
        <f>IF(O41="R",J41*S41*ROUND(N41/60,2)*Q41/100,"--")</f>
        <v>--</v>
      </c>
      <c r="Z41" s="278" t="str">
        <f>IF(O41="RF",J41*S41*ROUND(N41/60,2),"--")</f>
        <v>--</v>
      </c>
      <c r="AA41" s="284" t="str">
        <f>IF(O41="RR",J41*S41*ROUND(N41/60,2)*Q41/100,"--")</f>
        <v>--</v>
      </c>
      <c r="AB41" s="22">
        <f t="shared" si="15"/>
      </c>
      <c r="AC41" s="27">
        <f>IF(F41="","",SUM(T41:AA41)*IF(AB41="SI",1,2))</f>
      </c>
      <c r="AD41" s="30"/>
    </row>
    <row r="42" spans="1:30" s="7" customFormat="1" ht="15">
      <c r="A42" s="118"/>
      <c r="B42" s="123"/>
      <c r="C42" s="411"/>
      <c r="D42" s="411"/>
      <c r="E42" s="411"/>
      <c r="F42" s="396"/>
      <c r="G42" s="390"/>
      <c r="H42" s="416"/>
      <c r="I42" s="417"/>
      <c r="J42" s="176">
        <f t="shared" si="0"/>
        <v>0</v>
      </c>
      <c r="K42" s="420"/>
      <c r="L42" s="420"/>
      <c r="M42" s="23">
        <f>IF(F42="","",(L42-K42)*24)</f>
      </c>
      <c r="N42" s="24">
        <f>IF(F42="","",ROUND((L42-K42)*24*60,0))</f>
      </c>
      <c r="O42" s="421"/>
      <c r="P42" s="421">
        <f t="shared" si="3"/>
      </c>
      <c r="Q42" s="422">
        <f t="shared" si="14"/>
      </c>
      <c r="R42" s="421"/>
      <c r="S42" s="243">
        <f>$I$19*IF(R42="SI",1,0.1)*IF(OR(O42="P",O42="RP"),0.1,1)</f>
        <v>6</v>
      </c>
      <c r="T42" s="247" t="str">
        <f>IF(O42="P",J42*S42*ROUND(N42/60,2),"--")</f>
        <v>--</v>
      </c>
      <c r="U42" s="253" t="str">
        <f>IF(O42="RP",J42*S42*Q42/100*ROUND(N42/60,2),"--")</f>
        <v>--</v>
      </c>
      <c r="V42" s="200" t="str">
        <f>IF(AND(O42="F",P42="NO"),J42*S42,"--")</f>
        <v>--</v>
      </c>
      <c r="W42" s="261" t="str">
        <f>IF(O42="F",J42*S42*ROUND(N42/60,2),"--")</f>
        <v>--</v>
      </c>
      <c r="X42" s="270" t="str">
        <f>IF(AND(O42="R",P42="NO"),J42*S42*Q42/100,"--")</f>
        <v>--</v>
      </c>
      <c r="Y42" s="271" t="str">
        <f>IF(O42="R",J42*S42*ROUND(N42/60,2)*Q42/100,"--")</f>
        <v>--</v>
      </c>
      <c r="Z42" s="278" t="str">
        <f>IF(O42="RF",J42*S42*ROUND(N42/60,2),"--")</f>
        <v>--</v>
      </c>
      <c r="AA42" s="284" t="str">
        <f>IF(O42="RR",J42*S42*ROUND(N42/60,2)*Q42/100,"--")</f>
        <v>--</v>
      </c>
      <c r="AB42" s="22">
        <f t="shared" si="15"/>
      </c>
      <c r="AC42" s="27">
        <f>IF(F42="","",SUM(T42:AA42)*IF(AB42="SI",1,2))</f>
      </c>
      <c r="AD42" s="30"/>
    </row>
    <row r="43" spans="1:30" s="7" customFormat="1" ht="15">
      <c r="A43" s="118"/>
      <c r="B43" s="123"/>
      <c r="C43" s="411"/>
      <c r="D43" s="411"/>
      <c r="E43" s="411"/>
      <c r="F43" s="396"/>
      <c r="G43" s="390"/>
      <c r="H43" s="416"/>
      <c r="I43" s="417"/>
      <c r="J43" s="176">
        <f t="shared" si="0"/>
        <v>0</v>
      </c>
      <c r="K43" s="420"/>
      <c r="L43" s="420"/>
      <c r="M43" s="23">
        <f>IF(F43="","",(L43-K43)*24)</f>
      </c>
      <c r="N43" s="24">
        <f>IF(F43="","",ROUND((L43-K43)*24*60,0))</f>
      </c>
      <c r="O43" s="421"/>
      <c r="P43" s="421">
        <f t="shared" si="3"/>
      </c>
      <c r="Q43" s="422">
        <f t="shared" si="14"/>
      </c>
      <c r="R43" s="421"/>
      <c r="S43" s="243">
        <f>$I$19*IF(R43="SI",1,0.1)*IF(OR(O43="P",O43="RP"),0.1,1)</f>
        <v>6</v>
      </c>
      <c r="T43" s="247" t="str">
        <f>IF(O43="P",J43*S43*ROUND(N43/60,2),"--")</f>
        <v>--</v>
      </c>
      <c r="U43" s="253" t="str">
        <f>IF(O43="RP",J43*S43*Q43/100*ROUND(N43/60,2),"--")</f>
        <v>--</v>
      </c>
      <c r="V43" s="200" t="str">
        <f>IF(AND(O43="F",P43="NO"),J43*S43,"--")</f>
        <v>--</v>
      </c>
      <c r="W43" s="261" t="str">
        <f>IF(O43="F",J43*S43*ROUND(N43/60,2),"--")</f>
        <v>--</v>
      </c>
      <c r="X43" s="270" t="str">
        <f>IF(AND(O43="R",P43="NO"),J43*S43*Q43/100,"--")</f>
        <v>--</v>
      </c>
      <c r="Y43" s="271" t="str">
        <f>IF(O43="R",J43*S43*ROUND(N43/60,2)*Q43/100,"--")</f>
        <v>--</v>
      </c>
      <c r="Z43" s="278" t="str">
        <f>IF(O43="RF",J43*S43*ROUND(N43/60,2),"--")</f>
        <v>--</v>
      </c>
      <c r="AA43" s="284" t="str">
        <f>IF(O43="RR",J43*S43*ROUND(N43/60,2)*Q43/100,"--")</f>
        <v>--</v>
      </c>
      <c r="AB43" s="22">
        <f t="shared" si="15"/>
      </c>
      <c r="AC43" s="27">
        <f>IF(F43="","",SUM(T43:AA43)*IF(AB43="SI",1,2))</f>
      </c>
      <c r="AD43" s="30"/>
    </row>
    <row r="44" spans="1:30" s="7" customFormat="1" ht="15.75" thickBot="1">
      <c r="A44" s="118"/>
      <c r="B44" s="123"/>
      <c r="C44" s="418"/>
      <c r="D44" s="418"/>
      <c r="E44" s="418"/>
      <c r="F44" s="418"/>
      <c r="G44" s="418"/>
      <c r="H44" s="418"/>
      <c r="I44" s="418"/>
      <c r="J44" s="180"/>
      <c r="K44" s="418"/>
      <c r="L44" s="418"/>
      <c r="M44" s="25"/>
      <c r="N44" s="25"/>
      <c r="O44" s="418"/>
      <c r="P44" s="418"/>
      <c r="Q44" s="418"/>
      <c r="R44" s="418"/>
      <c r="S44" s="239"/>
      <c r="T44" s="248"/>
      <c r="U44" s="254"/>
      <c r="V44" s="257"/>
      <c r="W44" s="258"/>
      <c r="X44" s="272"/>
      <c r="Y44" s="273"/>
      <c r="Z44" s="279"/>
      <c r="AA44" s="285"/>
      <c r="AB44" s="25"/>
      <c r="AC44" s="181"/>
      <c r="AD44" s="30"/>
    </row>
    <row r="45" spans="1:30" s="7" customFormat="1" ht="17.25" thickBot="1" thickTop="1">
      <c r="A45" s="118"/>
      <c r="B45" s="123"/>
      <c r="C45" s="164" t="s">
        <v>39</v>
      </c>
      <c r="D45" s="459" t="s">
        <v>216</v>
      </c>
      <c r="E45" s="166"/>
      <c r="F45" s="16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9">
        <f aca="true" t="shared" si="16" ref="T45:AA45">SUM(T22:T44)</f>
        <v>673.9387200000001</v>
      </c>
      <c r="U45" s="255">
        <f t="shared" si="16"/>
        <v>0</v>
      </c>
      <c r="V45" s="259">
        <f t="shared" si="16"/>
        <v>4653.720000000001</v>
      </c>
      <c r="W45" s="259">
        <f t="shared" si="16"/>
        <v>1248.2478</v>
      </c>
      <c r="X45" s="274">
        <f t="shared" si="16"/>
        <v>0</v>
      </c>
      <c r="Y45" s="274">
        <f t="shared" si="16"/>
        <v>0</v>
      </c>
      <c r="Z45" s="280">
        <f t="shared" si="16"/>
        <v>0</v>
      </c>
      <c r="AA45" s="286">
        <f t="shared" si="16"/>
        <v>0</v>
      </c>
      <c r="AB45" s="182"/>
      <c r="AC45" s="130">
        <f>ROUND(SUM(AC22:AC44),2)</f>
        <v>148534.1</v>
      </c>
      <c r="AD45" s="30"/>
    </row>
    <row r="46" spans="1:30" s="7" customFormat="1" ht="13.5" thickTop="1">
      <c r="A46" s="118"/>
      <c r="B46" s="123"/>
      <c r="C46" s="166"/>
      <c r="D46" s="166"/>
      <c r="E46" s="166"/>
      <c r="F46" s="16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30"/>
    </row>
    <row r="47" spans="1:30" s="7" customFormat="1" ht="13.5" thickBot="1">
      <c r="A47" s="11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3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45"/>
  <sheetViews>
    <sheetView zoomScale="75" zoomScaleNormal="75" zoomScalePageLayoutView="0" workbookViewId="0" topLeftCell="A1">
      <selection activeCell="H22" sqref="H22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6.4218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32" customFormat="1" ht="26.25">
      <c r="AB1" s="381"/>
    </row>
    <row r="2" spans="2:28" s="32" customFormat="1" ht="26.25">
      <c r="B2" s="441" t="str">
        <f>+'TOT-0314'!B2</f>
        <v>ANEXO VI al Memorandum D.T.E.E. N°          639     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42" t="s">
        <v>219</v>
      </c>
      <c r="B4" s="111"/>
      <c r="C4" s="442"/>
      <c r="AB4" s="40"/>
    </row>
    <row r="5" spans="1:28" s="39" customFormat="1" ht="11.25">
      <c r="A5" s="442" t="s">
        <v>146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16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17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423"/>
      <c r="C12" s="44"/>
      <c r="D12" s="44"/>
      <c r="E12" s="44"/>
      <c r="F12" s="18" t="s">
        <v>222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10" t="str">
        <f>'TOT-0314'!B14</f>
        <v>Desde el 01 al 31 de marzo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19</v>
      </c>
      <c r="G16" s="457">
        <v>62.8386</v>
      </c>
      <c r="H16" s="185"/>
      <c r="I16" s="6"/>
      <c r="J16"/>
      <c r="K16" s="102" t="s">
        <v>20</v>
      </c>
      <c r="L16" s="103">
        <f>30*'TOT-0314'!B13</f>
        <v>60</v>
      </c>
      <c r="M16" s="172" t="str">
        <f>IF(L16=30," ",IF(L16=60,"Coeficiente duplicado por tasa de falla &gt;4 Sal. x año/100 km.","REVISAR COEFICIENTE"))</f>
        <v>Coeficiente duplicado por tasa de falla &gt;4 Sal. x año/100 km.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54">
        <v>3</v>
      </c>
      <c r="D17" s="454">
        <v>4</v>
      </c>
      <c r="E17" s="454">
        <v>5</v>
      </c>
      <c r="F17" s="454">
        <v>6</v>
      </c>
      <c r="G17" s="454">
        <v>7</v>
      </c>
      <c r="H17" s="454">
        <v>8</v>
      </c>
      <c r="I17" s="454">
        <v>9</v>
      </c>
      <c r="J17" s="454">
        <v>10</v>
      </c>
      <c r="K17" s="454">
        <v>11</v>
      </c>
      <c r="L17" s="454">
        <v>12</v>
      </c>
      <c r="M17" s="454">
        <v>13</v>
      </c>
      <c r="N17" s="454">
        <v>14</v>
      </c>
      <c r="O17" s="454">
        <v>15</v>
      </c>
      <c r="P17" s="454">
        <v>16</v>
      </c>
      <c r="Q17" s="454">
        <v>17</v>
      </c>
      <c r="R17" s="454">
        <v>18</v>
      </c>
      <c r="S17" s="454">
        <v>19</v>
      </c>
      <c r="T17" s="454">
        <v>20</v>
      </c>
      <c r="U17" s="454">
        <v>21</v>
      </c>
      <c r="V17" s="454">
        <v>22</v>
      </c>
      <c r="W17" s="454">
        <v>23</v>
      </c>
      <c r="X17" s="454">
        <v>24</v>
      </c>
      <c r="Y17" s="454">
        <v>25</v>
      </c>
      <c r="Z17" s="454">
        <v>26</v>
      </c>
      <c r="AA17" s="454">
        <v>27</v>
      </c>
      <c r="AB17" s="8"/>
    </row>
    <row r="18" spans="1:28" s="7" customFormat="1" ht="33.75" customHeight="1" thickBot="1" thickTop="1">
      <c r="A18" s="6"/>
      <c r="B18" s="65"/>
      <c r="C18" s="112" t="s">
        <v>21</v>
      </c>
      <c r="D18" s="112" t="s">
        <v>144</v>
      </c>
      <c r="E18" s="112" t="s">
        <v>143</v>
      </c>
      <c r="F18" s="113" t="s">
        <v>3</v>
      </c>
      <c r="G18" s="114" t="s">
        <v>22</v>
      </c>
      <c r="H18" s="115" t="s">
        <v>23</v>
      </c>
      <c r="I18" s="174" t="s">
        <v>24</v>
      </c>
      <c r="J18" s="113" t="s">
        <v>25</v>
      </c>
      <c r="K18" s="113" t="s">
        <v>26</v>
      </c>
      <c r="L18" s="114" t="s">
        <v>27</v>
      </c>
      <c r="M18" s="114" t="s">
        <v>28</v>
      </c>
      <c r="N18" s="116" t="s">
        <v>29</v>
      </c>
      <c r="O18" s="114" t="s">
        <v>30</v>
      </c>
      <c r="P18" s="187" t="s">
        <v>31</v>
      </c>
      <c r="Q18" s="192" t="s">
        <v>32</v>
      </c>
      <c r="R18" s="197" t="s">
        <v>33</v>
      </c>
      <c r="S18" s="198"/>
      <c r="T18" s="199"/>
      <c r="U18" s="210" t="s">
        <v>34</v>
      </c>
      <c r="V18" s="211"/>
      <c r="W18" s="212"/>
      <c r="X18" s="225" t="s">
        <v>35</v>
      </c>
      <c r="Y18" s="230" t="s">
        <v>36</v>
      </c>
      <c r="Z18" s="117" t="s">
        <v>37</v>
      </c>
      <c r="AA18" s="183" t="s">
        <v>38</v>
      </c>
      <c r="AB18" s="8"/>
    </row>
    <row r="19" spans="1:28" s="7" customFormat="1" ht="15.75" thickTop="1">
      <c r="A19" s="6"/>
      <c r="B19" s="65"/>
      <c r="C19" s="386"/>
      <c r="D19" s="440"/>
      <c r="E19" s="440"/>
      <c r="F19" s="387"/>
      <c r="G19" s="394"/>
      <c r="H19" s="395"/>
      <c r="I19" s="186"/>
      <c r="J19" s="400"/>
      <c r="K19" s="400"/>
      <c r="L19" s="9"/>
      <c r="M19" s="9"/>
      <c r="N19" s="387"/>
      <c r="O19" s="9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406"/>
      <c r="AA19" s="184"/>
      <c r="AB19" s="8"/>
    </row>
    <row r="20" spans="1:28" s="7" customFormat="1" ht="15">
      <c r="A20" s="6"/>
      <c r="B20" s="65"/>
      <c r="C20" s="388"/>
      <c r="D20" s="389"/>
      <c r="E20" s="389"/>
      <c r="F20" s="389"/>
      <c r="G20" s="388"/>
      <c r="H20" s="388"/>
      <c r="I20" s="175"/>
      <c r="J20" s="388"/>
      <c r="K20" s="396"/>
      <c r="L20" s="11"/>
      <c r="M20" s="11"/>
      <c r="N20" s="389"/>
      <c r="O20" s="10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407"/>
      <c r="AA20" s="104"/>
      <c r="AB20" s="8"/>
    </row>
    <row r="21" spans="1:28" s="7" customFormat="1" ht="15">
      <c r="A21" s="6"/>
      <c r="B21" s="65"/>
      <c r="C21" s="390">
        <v>73</v>
      </c>
      <c r="D21" s="387">
        <v>272749</v>
      </c>
      <c r="E21" s="387">
        <v>4942</v>
      </c>
      <c r="F21" s="391" t="s">
        <v>160</v>
      </c>
      <c r="G21" s="396">
        <v>132</v>
      </c>
      <c r="H21" s="397">
        <v>40</v>
      </c>
      <c r="I21" s="176">
        <f aca="true" t="shared" si="0" ref="I21:I40">$G$16/100*IF(H21&gt;25,H21,25)</f>
        <v>25.13544</v>
      </c>
      <c r="J21" s="401">
        <v>41705.86388888889</v>
      </c>
      <c r="K21" s="401">
        <v>41705.88055555556</v>
      </c>
      <c r="L21" s="12">
        <f aca="true" t="shared" si="1" ref="L21:L40">IF(F21="","",(K21-J21)*24)</f>
        <v>0.4000000000814907</v>
      </c>
      <c r="M21" s="13">
        <f aca="true" t="shared" si="2" ref="M21:M40">IF(F21="","",ROUND((K21-J21)*24*60,0))</f>
        <v>24</v>
      </c>
      <c r="N21" s="403" t="s">
        <v>172</v>
      </c>
      <c r="O21" s="14" t="str">
        <f aca="true" t="shared" si="3" ref="O21:O40">IF(F21="","","--")</f>
        <v>--</v>
      </c>
      <c r="P21" s="190" t="str">
        <f aca="true" t="shared" si="4" ref="P21:P40">IF(N21="P",ROUND(M21/60,2)*I21*$L$16*0.01,"--")</f>
        <v>--</v>
      </c>
      <c r="Q21" s="195" t="str">
        <f aca="true" t="shared" si="5" ref="Q21:Q40">IF(N21="RP",I21*O21*ROUND(L21/60,2)*0.01*M21/100,"--")</f>
        <v>--</v>
      </c>
      <c r="R21" s="200">
        <f aca="true" t="shared" si="6" ref="R21:R40">IF(N21="F",I21*$L$16,"--")</f>
        <v>1508.1263999999999</v>
      </c>
      <c r="S21" s="201">
        <f aca="true" t="shared" si="7" ref="S21:S40">IF(AND(M21&gt;10,N21="F"),I21*$L$16*IF(M21&gt;180,3,ROUND((M21)/60,2)),"--")</f>
        <v>603.25056</v>
      </c>
      <c r="T21" s="202" t="str">
        <f aca="true" t="shared" si="8" ref="T21:T40">IF(AND(M21&gt;180,N21="F"),(ROUND(M21/60,2)-3)*I21*$L$16*0.1,"--")</f>
        <v>--</v>
      </c>
      <c r="U21" s="215" t="str">
        <f aca="true" t="shared" si="9" ref="U21:U40">IF(N21="R",I21*$L$16*O21/100,"--")</f>
        <v>--</v>
      </c>
      <c r="V21" s="219" t="str">
        <f aca="true" t="shared" si="10" ref="V21:V40">IF(AND(M21&gt;10,N21="R"),I21*$L$16*O21/100*IF(M21&gt;180,3,ROUND(M21/60,2)),"--")</f>
        <v>--</v>
      </c>
      <c r="W21" s="223" t="str">
        <f aca="true" t="shared" si="11" ref="W21:W40">IF(AND(M21&gt;180,N21="R"),(ROUND(M21/60,2)-3)*I21*$L$16*0.1*O21/100,"--")</f>
        <v>--</v>
      </c>
      <c r="X21" s="228" t="str">
        <f aca="true" t="shared" si="12" ref="X21:X40">IF(N21="RF",ROUND(M21/60,2)*I21*$L$16*0.1,"--")</f>
        <v>--</v>
      </c>
      <c r="Y21" s="233" t="str">
        <f aca="true" t="shared" si="13" ref="Y21:Y40">IF(N21="RR",ROUND(M21/60,2)*I21*$L$16*0.1*O21/100,"--")</f>
        <v>--</v>
      </c>
      <c r="Z21" s="408" t="s">
        <v>165</v>
      </c>
      <c r="AA21" s="28">
        <f aca="true" t="shared" si="14" ref="AA21:AA40">IF(F21="","",SUM(P21:Y21)*IF(Z21="SI",1,2))</f>
        <v>2111.3769599999996</v>
      </c>
      <c r="AB21" s="287"/>
    </row>
    <row r="22" spans="1:28" s="7" customFormat="1" ht="15">
      <c r="A22" s="6"/>
      <c r="B22" s="65"/>
      <c r="C22" s="390">
        <v>74</v>
      </c>
      <c r="D22" s="387">
        <v>273305</v>
      </c>
      <c r="E22" s="387">
        <v>4942</v>
      </c>
      <c r="F22" s="391" t="s">
        <v>160</v>
      </c>
      <c r="G22" s="396">
        <v>132</v>
      </c>
      <c r="H22" s="397">
        <v>40</v>
      </c>
      <c r="I22" s="176">
        <f t="shared" si="0"/>
        <v>25.13544</v>
      </c>
      <c r="J22" s="401">
        <v>41720.01111111111</v>
      </c>
      <c r="K22" s="401">
        <v>41720.02569444444</v>
      </c>
      <c r="L22" s="12">
        <f t="shared" si="1"/>
        <v>0.3499999999185093</v>
      </c>
      <c r="M22" s="13">
        <f t="shared" si="2"/>
        <v>21</v>
      </c>
      <c r="N22" s="403" t="s">
        <v>172</v>
      </c>
      <c r="O22" s="14" t="str">
        <f t="shared" si="3"/>
        <v>--</v>
      </c>
      <c r="P22" s="190" t="str">
        <f t="shared" si="4"/>
        <v>--</v>
      </c>
      <c r="Q22" s="195" t="str">
        <f t="shared" si="5"/>
        <v>--</v>
      </c>
      <c r="R22" s="200">
        <f t="shared" si="6"/>
        <v>1508.1263999999999</v>
      </c>
      <c r="S22" s="201">
        <f t="shared" si="7"/>
        <v>527.8442399999999</v>
      </c>
      <c r="T22" s="202" t="str">
        <f t="shared" si="8"/>
        <v>--</v>
      </c>
      <c r="U22" s="215" t="str">
        <f t="shared" si="9"/>
        <v>--</v>
      </c>
      <c r="V22" s="219" t="str">
        <f t="shared" si="10"/>
        <v>--</v>
      </c>
      <c r="W22" s="223" t="str">
        <f t="shared" si="11"/>
        <v>--</v>
      </c>
      <c r="X22" s="228" t="str">
        <f t="shared" si="12"/>
        <v>--</v>
      </c>
      <c r="Y22" s="233" t="str">
        <f t="shared" si="13"/>
        <v>--</v>
      </c>
      <c r="Z22" s="408" t="s">
        <v>165</v>
      </c>
      <c r="AA22" s="28">
        <f t="shared" si="14"/>
        <v>2035.9706399999998</v>
      </c>
      <c r="AB22" s="287"/>
    </row>
    <row r="23" spans="1:28" s="7" customFormat="1" ht="15">
      <c r="A23" s="6"/>
      <c r="B23" s="65"/>
      <c r="C23" s="390"/>
      <c r="D23" s="387"/>
      <c r="E23" s="387"/>
      <c r="F23" s="391"/>
      <c r="G23" s="396"/>
      <c r="H23" s="397"/>
      <c r="I23" s="176">
        <f t="shared" si="0"/>
        <v>15.70965</v>
      </c>
      <c r="J23" s="401"/>
      <c r="K23" s="401"/>
      <c r="L23" s="12">
        <f t="shared" si="1"/>
      </c>
      <c r="M23" s="13">
        <f t="shared" si="2"/>
      </c>
      <c r="N23" s="403"/>
      <c r="O23" s="14">
        <f t="shared" si="3"/>
      </c>
      <c r="P23" s="190" t="str">
        <f t="shared" si="4"/>
        <v>--</v>
      </c>
      <c r="Q23" s="195" t="str">
        <f t="shared" si="5"/>
        <v>--</v>
      </c>
      <c r="R23" s="200" t="str">
        <f t="shared" si="6"/>
        <v>--</v>
      </c>
      <c r="S23" s="201" t="str">
        <f t="shared" si="7"/>
        <v>--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408">
        <f aca="true" t="shared" si="15" ref="Z23:Z40">IF(F23="","","SI")</f>
      </c>
      <c r="AA23" s="28">
        <f t="shared" si="14"/>
      </c>
      <c r="AB23" s="287"/>
    </row>
    <row r="24" spans="1:28" s="7" customFormat="1" ht="15">
      <c r="A24" s="6"/>
      <c r="B24" s="65"/>
      <c r="C24" s="390"/>
      <c r="D24" s="387"/>
      <c r="E24" s="387"/>
      <c r="F24" s="391"/>
      <c r="G24" s="396"/>
      <c r="H24" s="397"/>
      <c r="I24" s="176">
        <f t="shared" si="0"/>
        <v>15.70965</v>
      </c>
      <c r="J24" s="401"/>
      <c r="K24" s="401"/>
      <c r="L24" s="12">
        <f t="shared" si="1"/>
      </c>
      <c r="M24" s="13">
        <f t="shared" si="2"/>
      </c>
      <c r="N24" s="403"/>
      <c r="O24" s="14">
        <f t="shared" si="3"/>
      </c>
      <c r="P24" s="190" t="str">
        <f t="shared" si="4"/>
        <v>--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408">
        <f t="shared" si="15"/>
      </c>
      <c r="AA24" s="28">
        <f t="shared" si="14"/>
      </c>
      <c r="AB24" s="287"/>
    </row>
    <row r="25" spans="1:28" s="7" customFormat="1" ht="15">
      <c r="A25" s="6"/>
      <c r="B25" s="65"/>
      <c r="C25" s="390"/>
      <c r="D25" s="387"/>
      <c r="E25" s="387"/>
      <c r="F25" s="391"/>
      <c r="G25" s="396"/>
      <c r="H25" s="397"/>
      <c r="I25" s="176">
        <f t="shared" si="0"/>
        <v>15.70965</v>
      </c>
      <c r="J25" s="401"/>
      <c r="K25" s="401"/>
      <c r="L25" s="12">
        <f t="shared" si="1"/>
      </c>
      <c r="M25" s="13">
        <f t="shared" si="2"/>
      </c>
      <c r="N25" s="403"/>
      <c r="O25" s="14">
        <f t="shared" si="3"/>
      </c>
      <c r="P25" s="190" t="str">
        <f t="shared" si="4"/>
        <v>--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408">
        <f t="shared" si="15"/>
      </c>
      <c r="AA25" s="28">
        <f t="shared" si="14"/>
      </c>
      <c r="AB25" s="287"/>
    </row>
    <row r="26" spans="1:28" s="7" customFormat="1" ht="15">
      <c r="A26" s="6"/>
      <c r="B26" s="65"/>
      <c r="C26" s="390"/>
      <c r="D26" s="387"/>
      <c r="E26" s="387"/>
      <c r="F26" s="391"/>
      <c r="G26" s="396"/>
      <c r="H26" s="397"/>
      <c r="I26" s="176">
        <f t="shared" si="0"/>
        <v>15.70965</v>
      </c>
      <c r="J26" s="401"/>
      <c r="K26" s="401"/>
      <c r="L26" s="12">
        <f t="shared" si="1"/>
      </c>
      <c r="M26" s="13">
        <f t="shared" si="2"/>
      </c>
      <c r="N26" s="403"/>
      <c r="O26" s="14">
        <f t="shared" si="3"/>
      </c>
      <c r="P26" s="190" t="str">
        <f t="shared" si="4"/>
        <v>--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408">
        <f t="shared" si="15"/>
      </c>
      <c r="AA26" s="28">
        <f t="shared" si="14"/>
      </c>
      <c r="AB26" s="287"/>
    </row>
    <row r="27" spans="1:28" s="7" customFormat="1" ht="15">
      <c r="A27" s="6"/>
      <c r="B27" s="65"/>
      <c r="C27" s="390"/>
      <c r="D27" s="387"/>
      <c r="E27" s="387"/>
      <c r="F27" s="391"/>
      <c r="G27" s="396"/>
      <c r="H27" s="397"/>
      <c r="I27" s="176">
        <f t="shared" si="0"/>
        <v>15.70965</v>
      </c>
      <c r="J27" s="401"/>
      <c r="K27" s="401"/>
      <c r="L27" s="12">
        <f t="shared" si="1"/>
      </c>
      <c r="M27" s="13">
        <f t="shared" si="2"/>
      </c>
      <c r="N27" s="403"/>
      <c r="O27" s="14">
        <f t="shared" si="3"/>
      </c>
      <c r="P27" s="190" t="str">
        <f t="shared" si="4"/>
        <v>--</v>
      </c>
      <c r="Q27" s="195" t="str">
        <f t="shared" si="5"/>
        <v>--</v>
      </c>
      <c r="R27" s="200" t="str">
        <f t="shared" si="6"/>
        <v>--</v>
      </c>
      <c r="S27" s="201" t="str">
        <f t="shared" si="7"/>
        <v>--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408">
        <f t="shared" si="15"/>
      </c>
      <c r="AA27" s="28">
        <f t="shared" si="14"/>
      </c>
      <c r="AB27" s="287"/>
    </row>
    <row r="28" spans="1:28" s="7" customFormat="1" ht="15">
      <c r="A28" s="6"/>
      <c r="B28" s="65"/>
      <c r="C28" s="390"/>
      <c r="D28" s="387"/>
      <c r="E28" s="387"/>
      <c r="F28" s="391"/>
      <c r="G28" s="396"/>
      <c r="H28" s="397"/>
      <c r="I28" s="176">
        <f t="shared" si="0"/>
        <v>15.70965</v>
      </c>
      <c r="J28" s="401"/>
      <c r="K28" s="401"/>
      <c r="L28" s="12">
        <f t="shared" si="1"/>
      </c>
      <c r="M28" s="13">
        <f t="shared" si="2"/>
      </c>
      <c r="N28" s="403"/>
      <c r="O28" s="14">
        <f t="shared" si="3"/>
      </c>
      <c r="P28" s="190" t="str">
        <f t="shared" si="4"/>
        <v>--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408">
        <f t="shared" si="15"/>
      </c>
      <c r="AA28" s="28">
        <f t="shared" si="14"/>
      </c>
      <c r="AB28" s="8"/>
    </row>
    <row r="29" spans="1:28" s="7" customFormat="1" ht="15">
      <c r="A29" s="6"/>
      <c r="B29" s="65"/>
      <c r="C29" s="390"/>
      <c r="D29" s="387"/>
      <c r="E29" s="387"/>
      <c r="F29" s="391"/>
      <c r="G29" s="396"/>
      <c r="H29" s="397"/>
      <c r="I29" s="176">
        <f t="shared" si="0"/>
        <v>15.70965</v>
      </c>
      <c r="J29" s="401"/>
      <c r="K29" s="401"/>
      <c r="L29" s="12">
        <f t="shared" si="1"/>
      </c>
      <c r="M29" s="13">
        <f t="shared" si="2"/>
      </c>
      <c r="N29" s="403"/>
      <c r="O29" s="14">
        <f t="shared" si="3"/>
      </c>
      <c r="P29" s="190" t="str">
        <f t="shared" si="4"/>
        <v>--</v>
      </c>
      <c r="Q29" s="195" t="str">
        <f t="shared" si="5"/>
        <v>--</v>
      </c>
      <c r="R29" s="200" t="str">
        <f t="shared" si="6"/>
        <v>--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408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390"/>
      <c r="D30" s="387"/>
      <c r="E30" s="387"/>
      <c r="F30" s="391"/>
      <c r="G30" s="396"/>
      <c r="H30" s="397"/>
      <c r="I30" s="176">
        <f t="shared" si="0"/>
        <v>15.70965</v>
      </c>
      <c r="J30" s="401"/>
      <c r="K30" s="401"/>
      <c r="L30" s="12">
        <f t="shared" si="1"/>
      </c>
      <c r="M30" s="13">
        <f t="shared" si="2"/>
      </c>
      <c r="N30" s="403"/>
      <c r="O30" s="14">
        <f t="shared" si="3"/>
      </c>
      <c r="P30" s="190" t="str">
        <f t="shared" si="4"/>
        <v>--</v>
      </c>
      <c r="Q30" s="195" t="str">
        <f t="shared" si="5"/>
        <v>--</v>
      </c>
      <c r="R30" s="200" t="str">
        <f t="shared" si="6"/>
        <v>--</v>
      </c>
      <c r="S30" s="201" t="str">
        <f t="shared" si="7"/>
        <v>--</v>
      </c>
      <c r="T30" s="202" t="str">
        <f t="shared" si="8"/>
        <v>--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408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390"/>
      <c r="D31" s="387"/>
      <c r="E31" s="387"/>
      <c r="F31" s="391"/>
      <c r="G31" s="396"/>
      <c r="H31" s="397"/>
      <c r="I31" s="176">
        <f t="shared" si="0"/>
        <v>15.70965</v>
      </c>
      <c r="J31" s="401"/>
      <c r="K31" s="401"/>
      <c r="L31" s="12">
        <f t="shared" si="1"/>
      </c>
      <c r="M31" s="13">
        <f t="shared" si="2"/>
      </c>
      <c r="N31" s="403"/>
      <c r="O31" s="14">
        <f t="shared" si="3"/>
      </c>
      <c r="P31" s="190" t="str">
        <f t="shared" si="4"/>
        <v>--</v>
      </c>
      <c r="Q31" s="195" t="str">
        <f t="shared" si="5"/>
        <v>--</v>
      </c>
      <c r="R31" s="200" t="str">
        <f t="shared" si="6"/>
        <v>--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408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390"/>
      <c r="D32" s="387"/>
      <c r="E32" s="387"/>
      <c r="F32" s="391"/>
      <c r="G32" s="396"/>
      <c r="H32" s="397"/>
      <c r="I32" s="176">
        <f t="shared" si="0"/>
        <v>15.70965</v>
      </c>
      <c r="J32" s="401"/>
      <c r="K32" s="401"/>
      <c r="L32" s="12">
        <f t="shared" si="1"/>
      </c>
      <c r="M32" s="13">
        <f t="shared" si="2"/>
      </c>
      <c r="N32" s="403"/>
      <c r="O32" s="14">
        <f t="shared" si="3"/>
      </c>
      <c r="P32" s="190" t="str">
        <f t="shared" si="4"/>
        <v>--</v>
      </c>
      <c r="Q32" s="195" t="str">
        <f t="shared" si="5"/>
        <v>--</v>
      </c>
      <c r="R32" s="200" t="str">
        <f t="shared" si="6"/>
        <v>--</v>
      </c>
      <c r="S32" s="201" t="str">
        <f t="shared" si="7"/>
        <v>--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408">
        <f t="shared" si="15"/>
      </c>
      <c r="AA32" s="28">
        <f t="shared" si="14"/>
      </c>
      <c r="AB32" s="8"/>
    </row>
    <row r="33" spans="1:28" s="7" customFormat="1" ht="15">
      <c r="A33" s="6"/>
      <c r="B33" s="65"/>
      <c r="C33" s="390"/>
      <c r="D33" s="387"/>
      <c r="E33" s="387"/>
      <c r="F33" s="391"/>
      <c r="G33" s="396"/>
      <c r="H33" s="397"/>
      <c r="I33" s="176">
        <f t="shared" si="0"/>
        <v>15.70965</v>
      </c>
      <c r="J33" s="401"/>
      <c r="K33" s="401"/>
      <c r="L33" s="12">
        <f t="shared" si="1"/>
      </c>
      <c r="M33" s="13">
        <f t="shared" si="2"/>
      </c>
      <c r="N33" s="403"/>
      <c r="O33" s="14">
        <f t="shared" si="3"/>
      </c>
      <c r="P33" s="190" t="str">
        <f t="shared" si="4"/>
        <v>--</v>
      </c>
      <c r="Q33" s="195" t="str">
        <f t="shared" si="5"/>
        <v>--</v>
      </c>
      <c r="R33" s="200" t="str">
        <f t="shared" si="6"/>
        <v>--</v>
      </c>
      <c r="S33" s="201" t="str">
        <f t="shared" si="7"/>
        <v>--</v>
      </c>
      <c r="T33" s="202" t="str">
        <f t="shared" si="8"/>
        <v>--</v>
      </c>
      <c r="U33" s="215" t="str">
        <f t="shared" si="9"/>
        <v>--</v>
      </c>
      <c r="V33" s="219" t="str">
        <f t="shared" si="10"/>
        <v>--</v>
      </c>
      <c r="W33" s="223" t="str">
        <f t="shared" si="11"/>
        <v>--</v>
      </c>
      <c r="X33" s="228" t="str">
        <f t="shared" si="12"/>
        <v>--</v>
      </c>
      <c r="Y33" s="233" t="str">
        <f t="shared" si="13"/>
        <v>--</v>
      </c>
      <c r="Z33" s="408">
        <f t="shared" si="15"/>
      </c>
      <c r="AA33" s="28">
        <f t="shared" si="14"/>
      </c>
      <c r="AB33" s="8"/>
    </row>
    <row r="34" spans="1:28" s="7" customFormat="1" ht="15">
      <c r="A34" s="6"/>
      <c r="B34" s="65"/>
      <c r="C34" s="390"/>
      <c r="D34" s="387"/>
      <c r="E34" s="387"/>
      <c r="F34" s="391"/>
      <c r="G34" s="396"/>
      <c r="H34" s="397"/>
      <c r="I34" s="176">
        <f t="shared" si="0"/>
        <v>15.70965</v>
      </c>
      <c r="J34" s="401"/>
      <c r="K34" s="401"/>
      <c r="L34" s="12">
        <f t="shared" si="1"/>
      </c>
      <c r="M34" s="13">
        <f t="shared" si="2"/>
      </c>
      <c r="N34" s="403"/>
      <c r="O34" s="14">
        <f t="shared" si="3"/>
      </c>
      <c r="P34" s="190" t="str">
        <f t="shared" si="4"/>
        <v>--</v>
      </c>
      <c r="Q34" s="195" t="str">
        <f t="shared" si="5"/>
        <v>--</v>
      </c>
      <c r="R34" s="200" t="str">
        <f t="shared" si="6"/>
        <v>--</v>
      </c>
      <c r="S34" s="201" t="str">
        <f t="shared" si="7"/>
        <v>--</v>
      </c>
      <c r="T34" s="202" t="str">
        <f t="shared" si="8"/>
        <v>--</v>
      </c>
      <c r="U34" s="215" t="str">
        <f t="shared" si="9"/>
        <v>--</v>
      </c>
      <c r="V34" s="219" t="str">
        <f t="shared" si="10"/>
        <v>--</v>
      </c>
      <c r="W34" s="223" t="str">
        <f t="shared" si="11"/>
        <v>--</v>
      </c>
      <c r="X34" s="228" t="str">
        <f t="shared" si="12"/>
        <v>--</v>
      </c>
      <c r="Y34" s="233" t="str">
        <f t="shared" si="13"/>
        <v>--</v>
      </c>
      <c r="Z34" s="408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390"/>
      <c r="D35" s="387"/>
      <c r="E35" s="387"/>
      <c r="F35" s="391"/>
      <c r="G35" s="396"/>
      <c r="H35" s="397"/>
      <c r="I35" s="176">
        <f t="shared" si="0"/>
        <v>15.70965</v>
      </c>
      <c r="J35" s="401"/>
      <c r="K35" s="401"/>
      <c r="L35" s="12">
        <f t="shared" si="1"/>
      </c>
      <c r="M35" s="13">
        <f t="shared" si="2"/>
      </c>
      <c r="N35" s="403"/>
      <c r="O35" s="14">
        <f t="shared" si="3"/>
      </c>
      <c r="P35" s="190" t="str">
        <f t="shared" si="4"/>
        <v>--</v>
      </c>
      <c r="Q35" s="195" t="str">
        <f t="shared" si="5"/>
        <v>--</v>
      </c>
      <c r="R35" s="200" t="str">
        <f t="shared" si="6"/>
        <v>--</v>
      </c>
      <c r="S35" s="201" t="str">
        <f t="shared" si="7"/>
        <v>--</v>
      </c>
      <c r="T35" s="202" t="str">
        <f t="shared" si="8"/>
        <v>--</v>
      </c>
      <c r="U35" s="215" t="str">
        <f t="shared" si="9"/>
        <v>--</v>
      </c>
      <c r="V35" s="219" t="str">
        <f t="shared" si="10"/>
        <v>--</v>
      </c>
      <c r="W35" s="223" t="str">
        <f t="shared" si="11"/>
        <v>--</v>
      </c>
      <c r="X35" s="228" t="str">
        <f t="shared" si="12"/>
        <v>--</v>
      </c>
      <c r="Y35" s="233" t="str">
        <f t="shared" si="13"/>
        <v>--</v>
      </c>
      <c r="Z35" s="408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390"/>
      <c r="D36" s="387"/>
      <c r="E36" s="387"/>
      <c r="F36" s="391"/>
      <c r="G36" s="396"/>
      <c r="H36" s="397"/>
      <c r="I36" s="176">
        <f t="shared" si="0"/>
        <v>15.70965</v>
      </c>
      <c r="J36" s="401"/>
      <c r="K36" s="401"/>
      <c r="L36" s="12">
        <f t="shared" si="1"/>
      </c>
      <c r="M36" s="13">
        <f t="shared" si="2"/>
      </c>
      <c r="N36" s="403"/>
      <c r="O36" s="14">
        <f t="shared" si="3"/>
      </c>
      <c r="P36" s="190" t="str">
        <f t="shared" si="4"/>
        <v>--</v>
      </c>
      <c r="Q36" s="195" t="str">
        <f t="shared" si="5"/>
        <v>--</v>
      </c>
      <c r="R36" s="200" t="str">
        <f t="shared" si="6"/>
        <v>--</v>
      </c>
      <c r="S36" s="201" t="str">
        <f t="shared" si="7"/>
        <v>--</v>
      </c>
      <c r="T36" s="202" t="str">
        <f t="shared" si="8"/>
        <v>--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408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390"/>
      <c r="D37" s="387"/>
      <c r="E37" s="387"/>
      <c r="F37" s="391"/>
      <c r="G37" s="396"/>
      <c r="H37" s="397"/>
      <c r="I37" s="176">
        <f t="shared" si="0"/>
        <v>15.70965</v>
      </c>
      <c r="J37" s="401"/>
      <c r="K37" s="401"/>
      <c r="L37" s="12">
        <f t="shared" si="1"/>
      </c>
      <c r="M37" s="13">
        <f t="shared" si="2"/>
      </c>
      <c r="N37" s="403"/>
      <c r="O37" s="14">
        <f t="shared" si="3"/>
      </c>
      <c r="P37" s="190" t="str">
        <f t="shared" si="4"/>
        <v>--</v>
      </c>
      <c r="Q37" s="195" t="str">
        <f t="shared" si="5"/>
        <v>--</v>
      </c>
      <c r="R37" s="200" t="str">
        <f t="shared" si="6"/>
        <v>--</v>
      </c>
      <c r="S37" s="201" t="str">
        <f t="shared" si="7"/>
        <v>--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408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390"/>
      <c r="D38" s="387"/>
      <c r="E38" s="387"/>
      <c r="F38" s="391"/>
      <c r="G38" s="396"/>
      <c r="H38" s="397"/>
      <c r="I38" s="176">
        <f t="shared" si="0"/>
        <v>15.70965</v>
      </c>
      <c r="J38" s="401"/>
      <c r="K38" s="401"/>
      <c r="L38" s="12">
        <f t="shared" si="1"/>
      </c>
      <c r="M38" s="13">
        <f t="shared" si="2"/>
      </c>
      <c r="N38" s="403"/>
      <c r="O38" s="14">
        <f t="shared" si="3"/>
      </c>
      <c r="P38" s="190" t="str">
        <f t="shared" si="4"/>
        <v>--</v>
      </c>
      <c r="Q38" s="195" t="str">
        <f t="shared" si="5"/>
        <v>--</v>
      </c>
      <c r="R38" s="200" t="str">
        <f t="shared" si="6"/>
        <v>--</v>
      </c>
      <c r="S38" s="201" t="str">
        <f t="shared" si="7"/>
        <v>--</v>
      </c>
      <c r="T38" s="202" t="str">
        <f t="shared" si="8"/>
        <v>--</v>
      </c>
      <c r="U38" s="215" t="str">
        <f t="shared" si="9"/>
        <v>--</v>
      </c>
      <c r="V38" s="219" t="str">
        <f t="shared" si="10"/>
        <v>--</v>
      </c>
      <c r="W38" s="223" t="str">
        <f t="shared" si="11"/>
        <v>--</v>
      </c>
      <c r="X38" s="228" t="str">
        <f t="shared" si="12"/>
        <v>--</v>
      </c>
      <c r="Y38" s="233" t="str">
        <f t="shared" si="13"/>
        <v>--</v>
      </c>
      <c r="Z38" s="408">
        <f t="shared" si="15"/>
      </c>
      <c r="AA38" s="28">
        <f t="shared" si="14"/>
      </c>
      <c r="AB38" s="8"/>
    </row>
    <row r="39" spans="1:28" s="7" customFormat="1" ht="15">
      <c r="A39" s="6"/>
      <c r="B39" s="65"/>
      <c r="C39" s="390"/>
      <c r="D39" s="387"/>
      <c r="E39" s="387"/>
      <c r="F39" s="391"/>
      <c r="G39" s="396"/>
      <c r="H39" s="397"/>
      <c r="I39" s="176">
        <f t="shared" si="0"/>
        <v>15.70965</v>
      </c>
      <c r="J39" s="401"/>
      <c r="K39" s="401"/>
      <c r="L39" s="12">
        <f t="shared" si="1"/>
      </c>
      <c r="M39" s="13">
        <f t="shared" si="2"/>
      </c>
      <c r="N39" s="403"/>
      <c r="O39" s="14">
        <f t="shared" si="3"/>
      </c>
      <c r="P39" s="190" t="str">
        <f t="shared" si="4"/>
        <v>--</v>
      </c>
      <c r="Q39" s="195" t="str">
        <f t="shared" si="5"/>
        <v>--</v>
      </c>
      <c r="R39" s="200" t="str">
        <f t="shared" si="6"/>
        <v>--</v>
      </c>
      <c r="S39" s="201" t="str">
        <f t="shared" si="7"/>
        <v>--</v>
      </c>
      <c r="T39" s="202" t="str">
        <f t="shared" si="8"/>
        <v>--</v>
      </c>
      <c r="U39" s="215" t="str">
        <f t="shared" si="9"/>
        <v>--</v>
      </c>
      <c r="V39" s="219" t="str">
        <f t="shared" si="10"/>
        <v>--</v>
      </c>
      <c r="W39" s="223" t="str">
        <f t="shared" si="11"/>
        <v>--</v>
      </c>
      <c r="X39" s="228" t="str">
        <f t="shared" si="12"/>
        <v>--</v>
      </c>
      <c r="Y39" s="233" t="str">
        <f t="shared" si="13"/>
        <v>--</v>
      </c>
      <c r="Z39" s="408">
        <f t="shared" si="15"/>
      </c>
      <c r="AA39" s="28">
        <f t="shared" si="14"/>
      </c>
      <c r="AB39" s="8"/>
    </row>
    <row r="40" spans="1:28" s="7" customFormat="1" ht="15">
      <c r="A40" s="6"/>
      <c r="B40" s="65"/>
      <c r="C40" s="390"/>
      <c r="D40" s="387"/>
      <c r="E40" s="387"/>
      <c r="F40" s="391"/>
      <c r="G40" s="396"/>
      <c r="H40" s="397"/>
      <c r="I40" s="176">
        <f t="shared" si="0"/>
        <v>15.70965</v>
      </c>
      <c r="J40" s="401"/>
      <c r="K40" s="401"/>
      <c r="L40" s="12">
        <f t="shared" si="1"/>
      </c>
      <c r="M40" s="13">
        <f t="shared" si="2"/>
      </c>
      <c r="N40" s="403"/>
      <c r="O40" s="14">
        <f t="shared" si="3"/>
      </c>
      <c r="P40" s="190" t="str">
        <f t="shared" si="4"/>
        <v>--</v>
      </c>
      <c r="Q40" s="195" t="str">
        <f t="shared" si="5"/>
        <v>--</v>
      </c>
      <c r="R40" s="200" t="str">
        <f t="shared" si="6"/>
        <v>--</v>
      </c>
      <c r="S40" s="201" t="str">
        <f t="shared" si="7"/>
        <v>--</v>
      </c>
      <c r="T40" s="202" t="str">
        <f t="shared" si="8"/>
        <v>--</v>
      </c>
      <c r="U40" s="215" t="str">
        <f t="shared" si="9"/>
        <v>--</v>
      </c>
      <c r="V40" s="219" t="str">
        <f t="shared" si="10"/>
        <v>--</v>
      </c>
      <c r="W40" s="223" t="str">
        <f t="shared" si="11"/>
        <v>--</v>
      </c>
      <c r="X40" s="228" t="str">
        <f t="shared" si="12"/>
        <v>--</v>
      </c>
      <c r="Y40" s="233" t="str">
        <f t="shared" si="13"/>
        <v>--</v>
      </c>
      <c r="Z40" s="408">
        <f t="shared" si="15"/>
      </c>
      <c r="AA40" s="28">
        <f t="shared" si="14"/>
      </c>
      <c r="AB40" s="8"/>
    </row>
    <row r="41" spans="1:28" s="7" customFormat="1" ht="15.75" thickBot="1">
      <c r="A41" s="6"/>
      <c r="B41" s="65"/>
      <c r="C41" s="392"/>
      <c r="D41" s="392"/>
      <c r="E41" s="392"/>
      <c r="F41" s="393"/>
      <c r="G41" s="398"/>
      <c r="H41" s="399"/>
      <c r="I41" s="177"/>
      <c r="J41" s="402"/>
      <c r="K41" s="402"/>
      <c r="L41" s="15"/>
      <c r="M41" s="15"/>
      <c r="N41" s="402"/>
      <c r="O41" s="29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409"/>
      <c r="AA41" s="105"/>
      <c r="AB41" s="8"/>
    </row>
    <row r="42" spans="1:28" s="7" customFormat="1" ht="17.25" thickBot="1" thickTop="1">
      <c r="A42" s="6"/>
      <c r="B42" s="65"/>
      <c r="C42" s="164" t="s">
        <v>39</v>
      </c>
      <c r="D42" s="459" t="s">
        <v>218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16" ref="P42:Y42">SUM(P19:P41)</f>
        <v>0</v>
      </c>
      <c r="Q42" s="209">
        <f t="shared" si="16"/>
        <v>0</v>
      </c>
      <c r="R42" s="235">
        <f t="shared" si="16"/>
        <v>3016.2527999999998</v>
      </c>
      <c r="S42" s="235">
        <f t="shared" si="16"/>
        <v>1131.0947999999999</v>
      </c>
      <c r="T42" s="235">
        <f t="shared" si="16"/>
        <v>0</v>
      </c>
      <c r="U42" s="236">
        <f t="shared" si="16"/>
        <v>0</v>
      </c>
      <c r="V42" s="236">
        <f t="shared" si="16"/>
        <v>0</v>
      </c>
      <c r="W42" s="236">
        <f t="shared" si="16"/>
        <v>0</v>
      </c>
      <c r="X42" s="237">
        <f t="shared" si="16"/>
        <v>0</v>
      </c>
      <c r="Y42" s="238">
        <f t="shared" si="16"/>
        <v>0</v>
      </c>
      <c r="Z42" s="6"/>
      <c r="AA42" s="173">
        <f>ROUND(SUM(AA19:AA41),2)</f>
        <v>4147.35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S97"/>
  <sheetViews>
    <sheetView zoomScale="75" zoomScaleNormal="75" zoomScalePageLayoutView="0" workbookViewId="0" topLeftCell="A1">
      <selection activeCell="L16" sqref="L16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15.00390625" style="0" customWidth="1"/>
    <col min="12" max="12" width="25.140625" style="0" customWidth="1"/>
    <col min="13" max="13" width="8.8515625" style="0" customWidth="1"/>
    <col min="14" max="15" width="3.57421875" style="0" customWidth="1"/>
    <col min="16" max="16" width="3.7109375" style="0" customWidth="1"/>
  </cols>
  <sheetData>
    <row r="1" s="32" customFormat="1" ht="39.75" customHeight="1">
      <c r="P1" s="347"/>
    </row>
    <row r="2" spans="2:16" s="32" customFormat="1" ht="26.25">
      <c r="B2" s="33" t="str">
        <f>+'TOT-0314'!B2</f>
        <v>ANEXO VI al Memorandum D.T.E.E. N°          639     / 2014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" s="39" customFormat="1" ht="11.25">
      <c r="A3" s="111" t="s">
        <v>4</v>
      </c>
      <c r="B3" s="353"/>
    </row>
    <row r="4" spans="1:2" s="39" customFormat="1" ht="11.25">
      <c r="A4" s="111" t="s">
        <v>5</v>
      </c>
      <c r="B4" s="353"/>
    </row>
    <row r="5" s="7" customFormat="1" ht="13.5" thickBot="1"/>
    <row r="6" spans="1:16" s="7" customFormat="1" ht="13.5" thickTop="1">
      <c r="A6" s="6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16" s="43" customFormat="1" ht="20.25">
      <c r="A7" s="44"/>
      <c r="B7" s="98"/>
      <c r="C7" s="44"/>
      <c r="D7" s="18" t="s">
        <v>16</v>
      </c>
      <c r="G7" s="44"/>
      <c r="H7" s="44"/>
      <c r="I7" s="44"/>
      <c r="J7" s="44"/>
      <c r="K7" s="44"/>
      <c r="L7" s="44"/>
      <c r="M7" s="44"/>
      <c r="N7" s="44"/>
      <c r="O7" s="44"/>
      <c r="P7" s="99"/>
    </row>
    <row r="8" spans="1:16" ht="15">
      <c r="A8" s="1"/>
      <c r="B8" s="290"/>
      <c r="C8" s="291"/>
      <c r="D8" s="292"/>
      <c r="E8" s="291"/>
      <c r="F8" s="293"/>
      <c r="G8" s="291"/>
      <c r="H8" s="291"/>
      <c r="I8" s="291"/>
      <c r="J8" s="291"/>
      <c r="K8" s="291"/>
      <c r="L8" s="291"/>
      <c r="M8" s="291"/>
      <c r="N8" s="291"/>
      <c r="O8" s="291"/>
      <c r="P8" s="294"/>
    </row>
    <row r="9" spans="1:19" s="43" customFormat="1" ht="20.25">
      <c r="A9" s="44"/>
      <c r="B9" s="295"/>
      <c r="C9"/>
      <c r="D9" s="19" t="s">
        <v>223</v>
      </c>
      <c r="E9" s="296"/>
      <c r="F9" s="296"/>
      <c r="G9" s="296"/>
      <c r="H9" s="297"/>
      <c r="I9" s="296"/>
      <c r="J9" s="296"/>
      <c r="K9" s="296"/>
      <c r="L9" s="296"/>
      <c r="M9" s="296"/>
      <c r="N9" s="296"/>
      <c r="O9" s="296"/>
      <c r="P9" s="298"/>
      <c r="Q9" s="299"/>
      <c r="R9" s="124"/>
      <c r="S9" s="124"/>
    </row>
    <row r="10" spans="1:19" s="7" customFormat="1" ht="12.75">
      <c r="A10" s="6"/>
      <c r="B10" s="65"/>
      <c r="C10" s="6"/>
      <c r="D10" s="300"/>
      <c r="E10" s="26"/>
      <c r="F10" s="26"/>
      <c r="G10" s="26"/>
      <c r="H10" s="118"/>
      <c r="I10" s="26"/>
      <c r="J10" s="26"/>
      <c r="K10" s="26"/>
      <c r="L10" s="26"/>
      <c r="M10" s="26"/>
      <c r="N10" s="26"/>
      <c r="O10" s="26"/>
      <c r="P10" s="30"/>
      <c r="Q10" s="26"/>
      <c r="R10" s="26"/>
      <c r="S10" s="301"/>
    </row>
    <row r="11" spans="1:19" s="50" customFormat="1" ht="19.5">
      <c r="A11" s="57"/>
      <c r="B11" s="51" t="str">
        <f>'TOT-0314'!B14</f>
        <v>Desde el 01 al 31 de marzo de 2014</v>
      </c>
      <c r="C11" s="54"/>
      <c r="D11" s="151"/>
      <c r="E11" s="151"/>
      <c r="F11" s="151"/>
      <c r="G11" s="151"/>
      <c r="H11" s="151"/>
      <c r="I11" s="54"/>
      <c r="J11" s="151"/>
      <c r="K11" s="151"/>
      <c r="L11" s="151"/>
      <c r="M11" s="151"/>
      <c r="N11" s="151"/>
      <c r="O11" s="151"/>
      <c r="P11" s="302"/>
      <c r="Q11" s="303"/>
      <c r="R11" s="303"/>
      <c r="S11" s="303"/>
    </row>
    <row r="12" spans="1:19" ht="15">
      <c r="A12" s="1"/>
      <c r="B12" s="290"/>
      <c r="C12" s="291"/>
      <c r="D12" s="304"/>
      <c r="E12" s="304"/>
      <c r="F12" s="304"/>
      <c r="G12" s="304"/>
      <c r="H12" s="305"/>
      <c r="I12" s="291"/>
      <c r="J12" s="304"/>
      <c r="K12" s="304"/>
      <c r="L12" s="304"/>
      <c r="M12" s="304"/>
      <c r="N12" s="304"/>
      <c r="O12" s="304"/>
      <c r="P12" s="306"/>
      <c r="Q12" s="2"/>
      <c r="R12" s="2"/>
      <c r="S12" s="307"/>
    </row>
    <row r="13" spans="1:19" ht="18" customHeight="1">
      <c r="A13" s="1"/>
      <c r="B13" s="290"/>
      <c r="C13" s="291"/>
      <c r="D13" s="304"/>
      <c r="E13" s="304"/>
      <c r="F13" s="304"/>
      <c r="G13" s="304"/>
      <c r="H13" s="308"/>
      <c r="I13" s="308"/>
      <c r="J13" s="304"/>
      <c r="K13" s="304"/>
      <c r="P13" s="306"/>
      <c r="Q13" s="2"/>
      <c r="R13" s="2"/>
      <c r="S13" s="307"/>
    </row>
    <row r="14" spans="1:19" ht="18" customHeight="1">
      <c r="A14" s="1"/>
      <c r="B14" s="290"/>
      <c r="C14" s="291"/>
      <c r="D14" s="309"/>
      <c r="E14" s="310"/>
      <c r="F14" s="304"/>
      <c r="G14" s="304"/>
      <c r="H14" s="308"/>
      <c r="I14" s="308"/>
      <c r="J14" s="304"/>
      <c r="K14" s="304"/>
      <c r="P14" s="306"/>
      <c r="Q14" s="2"/>
      <c r="R14" s="2"/>
      <c r="S14" s="307"/>
    </row>
    <row r="15" spans="1:16" ht="15.75">
      <c r="A15" s="1"/>
      <c r="B15" s="290"/>
      <c r="C15" s="349" t="s">
        <v>58</v>
      </c>
      <c r="D15" s="293"/>
      <c r="E15" s="312"/>
      <c r="F15" s="313"/>
      <c r="G15" s="291"/>
      <c r="H15" s="291"/>
      <c r="I15" s="291"/>
      <c r="J15" s="314"/>
      <c r="K15" s="314"/>
      <c r="L15" s="315"/>
      <c r="M15" s="291"/>
      <c r="N15" s="291"/>
      <c r="O15" s="291"/>
      <c r="P15" s="294"/>
    </row>
    <row r="16" spans="1:16" ht="16.5" thickBot="1">
      <c r="A16" s="1"/>
      <c r="B16" s="290"/>
      <c r="C16" s="311"/>
      <c r="D16" s="293"/>
      <c r="E16" s="312"/>
      <c r="F16" s="313"/>
      <c r="G16" s="291"/>
      <c r="L16" s="446" t="s">
        <v>55</v>
      </c>
      <c r="M16" s="447">
        <v>2.414</v>
      </c>
      <c r="N16" s="448"/>
      <c r="O16" s="291"/>
      <c r="P16" s="294"/>
    </row>
    <row r="17" spans="1:16" ht="16.5" thickBot="1">
      <c r="A17" s="1"/>
      <c r="B17" s="290"/>
      <c r="C17" s="311"/>
      <c r="D17" s="314" t="s">
        <v>59</v>
      </c>
      <c r="E17" s="316">
        <f>MID(B11,16,2)*24</f>
        <v>744</v>
      </c>
      <c r="F17" s="291" t="s">
        <v>60</v>
      </c>
      <c r="G17" s="304"/>
      <c r="H17" s="351"/>
      <c r="I17" s="352" t="s">
        <v>61</v>
      </c>
      <c r="J17" s="458">
        <v>239.46</v>
      </c>
      <c r="K17" s="318"/>
      <c r="L17" s="449" t="s">
        <v>56</v>
      </c>
      <c r="M17" s="450">
        <v>1.811</v>
      </c>
      <c r="N17" s="448"/>
      <c r="O17" s="291"/>
      <c r="P17" s="294"/>
    </row>
    <row r="18" spans="1:16" ht="15.75">
      <c r="A18" s="1"/>
      <c r="B18" s="290"/>
      <c r="C18" s="311"/>
      <c r="D18" s="314" t="s">
        <v>62</v>
      </c>
      <c r="E18" s="319">
        <v>0.025</v>
      </c>
      <c r="F18" s="304"/>
      <c r="G18" s="304"/>
      <c r="H18" s="384"/>
      <c r="I18" s="384"/>
      <c r="J18" s="385"/>
      <c r="K18" s="348"/>
      <c r="L18" s="451" t="s">
        <v>57</v>
      </c>
      <c r="M18" s="450">
        <v>1.811</v>
      </c>
      <c r="N18" s="448"/>
      <c r="O18" s="291"/>
      <c r="P18" s="294"/>
    </row>
    <row r="19" spans="1:16" ht="15.75">
      <c r="A19" s="1"/>
      <c r="B19" s="290"/>
      <c r="C19" s="311"/>
      <c r="D19" s="314"/>
      <c r="E19" s="319"/>
      <c r="F19" s="304"/>
      <c r="G19" s="304"/>
      <c r="H19" s="304"/>
      <c r="I19" s="304"/>
      <c r="L19" s="315"/>
      <c r="M19" s="291"/>
      <c r="N19" s="291"/>
      <c r="O19" s="291"/>
      <c r="P19" s="294"/>
    </row>
    <row r="20" spans="1:16" ht="15">
      <c r="A20" s="1"/>
      <c r="B20" s="290"/>
      <c r="C20" s="309" t="s">
        <v>63</v>
      </c>
      <c r="D20" s="320"/>
      <c r="E20" s="312"/>
      <c r="F20" s="313"/>
      <c r="G20" s="291"/>
      <c r="H20" s="291"/>
      <c r="I20" s="291"/>
      <c r="J20" s="314"/>
      <c r="K20" s="314"/>
      <c r="L20" s="315"/>
      <c r="M20" s="291"/>
      <c r="N20" s="291"/>
      <c r="O20" s="291"/>
      <c r="P20" s="294"/>
    </row>
    <row r="21" spans="1:16" ht="15">
      <c r="A21" s="1"/>
      <c r="B21" s="290"/>
      <c r="C21" s="291"/>
      <c r="D21" s="291"/>
      <c r="E21" s="291"/>
      <c r="F21" s="291"/>
      <c r="G21" s="291"/>
      <c r="H21" s="321"/>
      <c r="I21" s="291"/>
      <c r="J21" s="291"/>
      <c r="K21" s="291"/>
      <c r="L21" s="291"/>
      <c r="M21" s="291"/>
      <c r="N21" s="291"/>
      <c r="O21" s="291"/>
      <c r="P21" s="294"/>
    </row>
    <row r="22" spans="1:16" ht="15.75" thickBot="1">
      <c r="A22" s="1"/>
      <c r="B22" s="290"/>
      <c r="C22" s="291"/>
      <c r="D22" s="291"/>
      <c r="E22" s="291"/>
      <c r="F22" s="291"/>
      <c r="G22" s="291"/>
      <c r="H22" s="321"/>
      <c r="I22" s="445"/>
      <c r="J22" s="291"/>
      <c r="K22" s="291"/>
      <c r="L22" s="291"/>
      <c r="M22" s="291"/>
      <c r="N22" s="291"/>
      <c r="O22" s="291"/>
      <c r="P22" s="294"/>
    </row>
    <row r="23" spans="2:16" ht="20.25" thickBot="1" thickTop="1">
      <c r="B23" s="290"/>
      <c r="C23" s="322"/>
      <c r="D23" s="314" t="s">
        <v>64</v>
      </c>
      <c r="E23" s="291"/>
      <c r="F23" s="321" t="s">
        <v>3</v>
      </c>
      <c r="H23" s="323" t="s">
        <v>65</v>
      </c>
      <c r="I23" s="73">
        <v>7902.18</v>
      </c>
      <c r="L23" s="380" t="s">
        <v>158</v>
      </c>
      <c r="M23" s="324"/>
      <c r="N23" s="325"/>
      <c r="O23" s="326"/>
      <c r="P23" s="327"/>
    </row>
    <row r="24" spans="2:16" ht="15.75" thickTop="1">
      <c r="B24" s="290"/>
      <c r="C24" s="322"/>
      <c r="D24" s="320"/>
      <c r="E24" s="320"/>
      <c r="F24" s="328"/>
      <c r="G24" s="324"/>
      <c r="H24" s="324"/>
      <c r="I24" s="324"/>
      <c r="J24" s="324"/>
      <c r="K24" s="324"/>
      <c r="L24" s="324"/>
      <c r="M24" s="324"/>
      <c r="N24" s="325"/>
      <c r="O24" s="326"/>
      <c r="P24" s="327"/>
    </row>
    <row r="25" spans="2:16" ht="15">
      <c r="B25" s="290"/>
      <c r="C25" s="309" t="s">
        <v>66</v>
      </c>
      <c r="D25" s="320"/>
      <c r="E25" s="320"/>
      <c r="F25" s="328"/>
      <c r="G25" s="324"/>
      <c r="H25" s="324"/>
      <c r="I25" s="324"/>
      <c r="J25" s="324"/>
      <c r="K25" s="324"/>
      <c r="L25" s="324"/>
      <c r="M25" s="324"/>
      <c r="N25" s="325"/>
      <c r="O25" s="326"/>
      <c r="P25" s="327"/>
    </row>
    <row r="26" spans="2:16" ht="15">
      <c r="B26" s="290"/>
      <c r="C26" s="322"/>
      <c r="D26" s="320"/>
      <c r="E26" s="320"/>
      <c r="F26" s="328"/>
      <c r="G26" s="324"/>
      <c r="H26" s="324"/>
      <c r="I26" s="324"/>
      <c r="J26" s="324"/>
      <c r="K26" s="324"/>
      <c r="L26" s="324"/>
      <c r="M26" s="324"/>
      <c r="N26" s="325"/>
      <c r="O26" s="326"/>
      <c r="P26" s="327"/>
    </row>
    <row r="27" spans="2:16" ht="15.75">
      <c r="B27" s="290"/>
      <c r="C27" s="322"/>
      <c r="D27" s="354" t="s">
        <v>67</v>
      </c>
      <c r="E27" s="355" t="s">
        <v>68</v>
      </c>
      <c r="F27" s="356" t="s">
        <v>69</v>
      </c>
      <c r="G27" s="357"/>
      <c r="H27" s="357" t="s">
        <v>70</v>
      </c>
      <c r="I27" s="358" t="str">
        <f>"Cargo por E.E.T."</f>
        <v>Cargo por E.E.T.</v>
      </c>
      <c r="J27" s="359"/>
      <c r="K27" s="360"/>
      <c r="L27" s="361" t="s">
        <v>2</v>
      </c>
      <c r="N27" s="325"/>
      <c r="O27" s="326"/>
      <c r="P27" s="327"/>
    </row>
    <row r="28" spans="2:16" ht="15">
      <c r="B28" s="290"/>
      <c r="C28" s="322"/>
      <c r="D28" s="362" t="s">
        <v>159</v>
      </c>
      <c r="E28" s="363">
        <v>132</v>
      </c>
      <c r="F28" s="364">
        <v>40</v>
      </c>
      <c r="G28" s="365"/>
      <c r="H28" s="366">
        <f>F28*$J$17*$E$17/100</f>
        <v>71263.296</v>
      </c>
      <c r="I28" s="367">
        <v>0</v>
      </c>
      <c r="J28" s="368" t="str">
        <f>"(DTE "&amp;DATO!$G$14&amp;DATO!$H$14&amp;")"</f>
        <v>(DTE 0314)</v>
      </c>
      <c r="K28" s="369"/>
      <c r="L28" s="370">
        <f>SUM(H28:K28)</f>
        <v>71263.296</v>
      </c>
      <c r="M28" s="324"/>
      <c r="N28" s="325"/>
      <c r="O28" s="326"/>
      <c r="P28" s="327"/>
    </row>
    <row r="29" spans="2:16" ht="15">
      <c r="B29" s="290"/>
      <c r="C29" s="322"/>
      <c r="D29" s="371" t="s">
        <v>160</v>
      </c>
      <c r="E29" s="372">
        <v>132</v>
      </c>
      <c r="F29" s="373">
        <v>40</v>
      </c>
      <c r="G29" s="374"/>
      <c r="H29" s="346">
        <f>F29*$J$17*$E$17/100</f>
        <v>71263.296</v>
      </c>
      <c r="I29" s="375">
        <v>0</v>
      </c>
      <c r="J29" s="376" t="str">
        <f>"(DTE "&amp;DATO!$G$14&amp;DATO!$H$14&amp;")"</f>
        <v>(DTE 0314)</v>
      </c>
      <c r="K29" s="377"/>
      <c r="L29" s="378">
        <f>SUM(H29:K29)</f>
        <v>71263.296</v>
      </c>
      <c r="M29" s="324"/>
      <c r="N29" s="325"/>
      <c r="O29" s="326"/>
      <c r="P29" s="327"/>
    </row>
    <row r="30" spans="2:16" ht="15">
      <c r="B30" s="290"/>
      <c r="C30" s="322"/>
      <c r="D30" s="320"/>
      <c r="E30" s="320"/>
      <c r="F30" s="329"/>
      <c r="G30" s="324"/>
      <c r="I30" s="330"/>
      <c r="J30" s="317"/>
      <c r="K30" s="317"/>
      <c r="L30" s="379">
        <f>SUM(L28:L29)</f>
        <v>142526.592</v>
      </c>
      <c r="M30" s="324"/>
      <c r="N30" s="325"/>
      <c r="O30" s="326"/>
      <c r="P30" s="327"/>
    </row>
    <row r="31" spans="2:16" ht="15">
      <c r="B31" s="290"/>
      <c r="C31" s="322"/>
      <c r="D31" s="320"/>
      <c r="E31" s="320"/>
      <c r="F31" s="329"/>
      <c r="G31" s="324"/>
      <c r="H31" s="452"/>
      <c r="I31" s="330"/>
      <c r="J31" s="317"/>
      <c r="K31" s="317"/>
      <c r="L31" s="331"/>
      <c r="M31" s="324"/>
      <c r="N31" s="325"/>
      <c r="O31" s="453"/>
      <c r="P31" s="327"/>
    </row>
    <row r="32" spans="2:16" ht="12.75" customHeight="1" thickBot="1">
      <c r="B32" s="290"/>
      <c r="C32" s="322"/>
      <c r="D32" s="320"/>
      <c r="E32" s="320"/>
      <c r="F32" s="328"/>
      <c r="G32" s="324"/>
      <c r="H32" s="330"/>
      <c r="I32" s="320"/>
      <c r="J32" s="320"/>
      <c r="K32" s="320"/>
      <c r="L32" s="324"/>
      <c r="M32" s="324"/>
      <c r="N32" s="325"/>
      <c r="O32" s="326"/>
      <c r="P32" s="327"/>
    </row>
    <row r="33" spans="2:16" ht="20.25" thickBot="1" thickTop="1">
      <c r="B33" s="290"/>
      <c r="C33" s="322"/>
      <c r="D33" s="320"/>
      <c r="E33" s="320"/>
      <c r="F33" s="328"/>
      <c r="G33" s="324"/>
      <c r="H33" s="332" t="s">
        <v>71</v>
      </c>
      <c r="I33" s="333">
        <f>+L30</f>
        <v>142526.592</v>
      </c>
      <c r="J33" s="320"/>
      <c r="K33" s="332" t="s">
        <v>214</v>
      </c>
      <c r="L33" s="333">
        <v>37401.534719999996</v>
      </c>
      <c r="M33" s="324"/>
      <c r="N33" s="325"/>
      <c r="O33" s="326"/>
      <c r="P33" s="327"/>
    </row>
    <row r="34" spans="2:16" ht="15.75" thickTop="1">
      <c r="B34" s="290"/>
      <c r="C34" s="322"/>
      <c r="D34" s="320"/>
      <c r="E34" s="320"/>
      <c r="F34" s="328"/>
      <c r="G34" s="324"/>
      <c r="H34" s="330"/>
      <c r="I34" s="320"/>
      <c r="J34" s="320"/>
      <c r="K34" s="320"/>
      <c r="L34" s="324"/>
      <c r="M34" s="324"/>
      <c r="N34" s="325"/>
      <c r="O34" s="326"/>
      <c r="P34" s="327"/>
    </row>
    <row r="35" spans="2:16" ht="15.75">
      <c r="B35" s="290"/>
      <c r="C35" s="350" t="s">
        <v>72</v>
      </c>
      <c r="D35" s="320"/>
      <c r="E35" s="320"/>
      <c r="F35" s="328"/>
      <c r="G35" s="324"/>
      <c r="H35" s="330"/>
      <c r="I35" s="320"/>
      <c r="J35" s="320"/>
      <c r="K35" s="320"/>
      <c r="L35" s="324"/>
      <c r="M35" s="324"/>
      <c r="N35" s="325"/>
      <c r="O35" s="326"/>
      <c r="P35" s="327"/>
    </row>
    <row r="36" spans="2:16" ht="15.75" thickBot="1">
      <c r="B36" s="290"/>
      <c r="C36" s="322"/>
      <c r="D36" s="320"/>
      <c r="E36" s="320"/>
      <c r="F36" s="328"/>
      <c r="G36" s="324"/>
      <c r="H36" s="330"/>
      <c r="I36" s="320"/>
      <c r="J36" s="304"/>
      <c r="K36" s="304"/>
      <c r="O36" s="304"/>
      <c r="P36" s="327"/>
    </row>
    <row r="37" spans="2:16" ht="20.25" thickBot="1" thickTop="1">
      <c r="B37" s="290"/>
      <c r="C37" s="322"/>
      <c r="D37" s="334" t="s">
        <v>73</v>
      </c>
      <c r="F37" s="335"/>
      <c r="G37" s="291"/>
      <c r="H37" s="72" t="s">
        <v>74</v>
      </c>
      <c r="I37" s="336">
        <f>E18*L33</f>
        <v>935.038368</v>
      </c>
      <c r="J37" s="304"/>
      <c r="K37" s="304"/>
      <c r="O37" s="304"/>
      <c r="P37" s="327"/>
    </row>
    <row r="38" spans="2:16" ht="21.75" thickTop="1">
      <c r="B38" s="290"/>
      <c r="C38" s="322"/>
      <c r="F38" s="337"/>
      <c r="G38" s="44"/>
      <c r="I38" s="304"/>
      <c r="J38" s="324"/>
      <c r="K38" s="324"/>
      <c r="L38" s="324"/>
      <c r="M38" s="324"/>
      <c r="N38" s="325"/>
      <c r="O38" s="326"/>
      <c r="P38" s="327"/>
    </row>
    <row r="39" spans="2:16" ht="15">
      <c r="B39" s="290"/>
      <c r="C39" s="309" t="s">
        <v>75</v>
      </c>
      <c r="E39" s="304"/>
      <c r="F39" s="304"/>
      <c r="G39" s="304"/>
      <c r="H39" s="304"/>
      <c r="I39" s="324"/>
      <c r="J39" s="324"/>
      <c r="K39" s="324"/>
      <c r="L39" s="324"/>
      <c r="M39" s="324"/>
      <c r="N39" s="325"/>
      <c r="O39" s="326"/>
      <c r="P39" s="327"/>
    </row>
    <row r="40" spans="2:16" ht="15">
      <c r="B40" s="290"/>
      <c r="C40" s="322"/>
      <c r="D40" s="338" t="s">
        <v>76</v>
      </c>
      <c r="E40" s="339">
        <f>10*I23*I37/I33</f>
        <v>518.41845</v>
      </c>
      <c r="F40" s="340"/>
      <c r="H40" s="304"/>
      <c r="I40" s="324"/>
      <c r="J40" s="324"/>
      <c r="K40" s="324"/>
      <c r="L40" s="324"/>
      <c r="M40" s="324"/>
      <c r="N40" s="325"/>
      <c r="O40" s="326"/>
      <c r="P40" s="327"/>
    </row>
    <row r="41" spans="2:16" ht="15">
      <c r="B41" s="290"/>
      <c r="C41" s="322"/>
      <c r="D41" s="304"/>
      <c r="E41" s="304"/>
      <c r="M41" s="324"/>
      <c r="N41" s="325"/>
      <c r="O41" s="326"/>
      <c r="P41" s="327"/>
    </row>
    <row r="42" spans="2:16" ht="15">
      <c r="B42" s="290"/>
      <c r="C42" s="322"/>
      <c r="D42" s="304" t="s">
        <v>77</v>
      </c>
      <c r="E42" s="304"/>
      <c r="F42" s="304"/>
      <c r="G42" s="304"/>
      <c r="H42" s="304"/>
      <c r="M42" s="324"/>
      <c r="N42" s="325"/>
      <c r="O42" s="326"/>
      <c r="P42" s="327"/>
    </row>
    <row r="43" spans="2:16" ht="15.75" thickBot="1">
      <c r="B43" s="290"/>
      <c r="C43" s="322"/>
      <c r="D43" s="304"/>
      <c r="E43" s="304"/>
      <c r="F43" s="304"/>
      <c r="G43" s="304"/>
      <c r="H43" s="304"/>
      <c r="J43" s="324"/>
      <c r="K43" s="324"/>
      <c r="L43" s="324"/>
      <c r="M43" s="324"/>
      <c r="N43" s="325"/>
      <c r="O43" s="326"/>
      <c r="P43" s="327"/>
    </row>
    <row r="44" spans="2:16" ht="20.25" thickBot="1" thickTop="1">
      <c r="B44" s="290"/>
      <c r="C44" s="322"/>
      <c r="D44" s="320"/>
      <c r="E44" s="320"/>
      <c r="F44" s="328"/>
      <c r="G44" s="324"/>
      <c r="H44" s="341" t="s">
        <v>78</v>
      </c>
      <c r="I44" s="342">
        <f>IF($E$40&gt;3*I37,3*I37,$E$40)</f>
        <v>518.41845</v>
      </c>
      <c r="J44" s="324"/>
      <c r="K44" s="308" t="s">
        <v>215</v>
      </c>
      <c r="L44" s="324"/>
      <c r="M44" s="324"/>
      <c r="N44" s="325"/>
      <c r="O44" s="326"/>
      <c r="P44" s="327"/>
    </row>
    <row r="45" spans="2:16" ht="16.5" thickBot="1" thickTop="1">
      <c r="B45" s="343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5"/>
    </row>
    <row r="46" spans="2:16" ht="13.5" thickTop="1">
      <c r="B46" s="1"/>
      <c r="P46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5" ht="12" customHeight="1"/>
    <row r="91" ht="12.75">
      <c r="B91" s="1"/>
    </row>
    <row r="97" ht="12.75">
      <c r="A97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Roman,Normal"&amp;8&amp;Z&amp;F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8"/>
  <sheetViews>
    <sheetView zoomScale="64" zoomScaleNormal="64" zoomScalePageLayoutView="0" workbookViewId="0" topLeftCell="A118">
      <selection activeCell="G127" sqref="G127:S127"/>
    </sheetView>
  </sheetViews>
  <sheetFormatPr defaultColWidth="11.421875" defaultRowHeight="12.75"/>
  <cols>
    <col min="1" max="1" width="30.28125" style="0" customWidth="1"/>
    <col min="2" max="2" width="8.7109375" style="0" customWidth="1"/>
    <col min="3" max="3" width="7.28125" style="0" customWidth="1"/>
    <col min="4" max="4" width="53.140625" style="0" bestFit="1" customWidth="1"/>
    <col min="5" max="5" width="8.57421875" style="0" customWidth="1"/>
    <col min="6" max="6" width="12.8515625" style="0" customWidth="1"/>
    <col min="7" max="12" width="7.7109375" style="0" customWidth="1"/>
    <col min="13" max="13" width="10.28125" style="0" bestFit="1" customWidth="1"/>
    <col min="14" max="19" width="7.7109375" style="0" customWidth="1"/>
    <col min="20" max="20" width="8.7109375" style="0" customWidth="1"/>
  </cols>
  <sheetData>
    <row r="1" ht="40.5" customHeight="1">
      <c r="T1" s="461"/>
    </row>
    <row r="2" spans="2:20" s="462" customFormat="1" ht="31.5" customHeight="1">
      <c r="B2" s="463" t="str">
        <f>'TOT-0314'!B2</f>
        <v>ANEXO VI al Memorandum D.T.E.E. N°          639     / 2014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</row>
    <row r="3" spans="1:3" ht="12.75" customHeight="1">
      <c r="A3" s="543" t="s">
        <v>4</v>
      </c>
      <c r="B3" s="543"/>
      <c r="C3" s="543"/>
    </row>
    <row r="4" spans="1:4" ht="12.75" customHeight="1">
      <c r="A4" s="543" t="s">
        <v>5</v>
      </c>
      <c r="B4" s="543"/>
      <c r="C4" s="543"/>
      <c r="D4" s="465"/>
    </row>
    <row r="5" spans="1:4" ht="12" customHeight="1">
      <c r="A5" s="466"/>
      <c r="D5" s="465"/>
    </row>
    <row r="6" spans="1:20" ht="26.25">
      <c r="A6" s="466"/>
      <c r="B6" s="467" t="s">
        <v>228</v>
      </c>
      <c r="C6" s="468"/>
      <c r="D6" s="465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</row>
    <row r="7" spans="1:4" ht="18.75" customHeight="1">
      <c r="A7" s="466"/>
      <c r="D7" s="465"/>
    </row>
    <row r="8" spans="1:20" ht="26.25">
      <c r="A8" s="466"/>
      <c r="B8" s="469" t="s">
        <v>1</v>
      </c>
      <c r="C8" s="468"/>
      <c r="D8" s="465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</row>
    <row r="9" spans="1:4" ht="18.75" customHeight="1">
      <c r="A9" s="466"/>
      <c r="D9" s="465"/>
    </row>
    <row r="10" spans="1:20" ht="26.25">
      <c r="A10" s="466"/>
      <c r="B10" s="469" t="s">
        <v>229</v>
      </c>
      <c r="C10" s="468"/>
      <c r="D10" s="465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</row>
    <row r="11" ht="18.75" customHeight="1" thickBot="1"/>
    <row r="12" spans="2:20" ht="18.75" customHeight="1" thickTop="1">
      <c r="B12" s="470"/>
      <c r="C12" s="471"/>
      <c r="D12" s="472"/>
      <c r="E12" s="472"/>
      <c r="F12" s="472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3"/>
    </row>
    <row r="13" spans="1:20" ht="19.5">
      <c r="A13" s="474"/>
      <c r="B13" s="475" t="s">
        <v>230</v>
      </c>
      <c r="C13" s="476"/>
      <c r="D13" s="54" t="s">
        <v>238</v>
      </c>
      <c r="E13" s="477"/>
      <c r="F13" s="477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9"/>
    </row>
    <row r="14" spans="2:20" ht="18.75" customHeight="1" thickBot="1">
      <c r="B14" s="480"/>
      <c r="C14" s="481"/>
      <c r="D14" s="482"/>
      <c r="E14" s="482"/>
      <c r="F14" s="48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74"/>
    </row>
    <row r="15" spans="1:20" s="491" customFormat="1" ht="34.5" customHeight="1" thickBot="1" thickTop="1">
      <c r="A15" s="484"/>
      <c r="B15" s="485"/>
      <c r="C15" s="112" t="s">
        <v>21</v>
      </c>
      <c r="D15" s="486" t="s">
        <v>3</v>
      </c>
      <c r="E15" s="487" t="s">
        <v>22</v>
      </c>
      <c r="F15" s="488" t="s">
        <v>23</v>
      </c>
      <c r="G15" s="489">
        <v>41334</v>
      </c>
      <c r="H15" s="489">
        <v>41365</v>
      </c>
      <c r="I15" s="489">
        <v>41395</v>
      </c>
      <c r="J15" s="489">
        <v>41426</v>
      </c>
      <c r="K15" s="489">
        <v>41456</v>
      </c>
      <c r="L15" s="489">
        <v>41487</v>
      </c>
      <c r="M15" s="489">
        <v>41518</v>
      </c>
      <c r="N15" s="489">
        <v>41548</v>
      </c>
      <c r="O15" s="489">
        <v>41579</v>
      </c>
      <c r="P15" s="489">
        <v>41609</v>
      </c>
      <c r="Q15" s="489">
        <v>41640</v>
      </c>
      <c r="R15" s="489">
        <v>41671</v>
      </c>
      <c r="S15" s="489">
        <v>41699</v>
      </c>
      <c r="T15" s="490"/>
    </row>
    <row r="16" spans="2:20" s="492" customFormat="1" ht="19.5" customHeight="1" thickTop="1">
      <c r="B16" s="493"/>
      <c r="C16" s="494"/>
      <c r="D16" s="495"/>
      <c r="E16" s="495"/>
      <c r="F16" s="496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6"/>
      <c r="T16" s="498"/>
    </row>
    <row r="17" spans="2:20" s="492" customFormat="1" ht="19.5" customHeight="1">
      <c r="B17" s="493"/>
      <c r="C17" s="499">
        <f>'[1]Tasa de Falla'!C17</f>
        <v>1</v>
      </c>
      <c r="D17" s="499" t="str">
        <f>'[1]Tasa de Falla'!D17</f>
        <v>AGUA BLANCA - VILLA QUINTEROS</v>
      </c>
      <c r="E17" s="499">
        <f>'[1]Tasa de Falla'!E17</f>
        <v>132</v>
      </c>
      <c r="F17" s="499">
        <f>'[1]Tasa de Falla'!F17</f>
        <v>23.8</v>
      </c>
      <c r="G17" s="500">
        <f>IF('[1]Tasa de Falla'!HX17=0,"",'[1]Tasa de Falla'!HX17)</f>
      </c>
      <c r="H17" s="500">
        <f>IF('[1]Tasa de Falla'!HY17=0,"",'[1]Tasa de Falla'!HY17)</f>
      </c>
      <c r="I17" s="500">
        <f>IF('[1]Tasa de Falla'!HZ17=0,"",'[1]Tasa de Falla'!HZ17)</f>
      </c>
      <c r="J17" s="500">
        <f>IF('[1]Tasa de Falla'!IA17=0,"",'[1]Tasa de Falla'!IA17)</f>
      </c>
      <c r="K17" s="500">
        <f>IF('[1]Tasa de Falla'!IB17=0,"",'[1]Tasa de Falla'!IB17)</f>
      </c>
      <c r="L17" s="500">
        <f>IF('[1]Tasa de Falla'!IC17=0,"",'[1]Tasa de Falla'!IC17)</f>
        <v>1</v>
      </c>
      <c r="M17" s="500">
        <f>IF('[1]Tasa de Falla'!ID17=0,"",'[1]Tasa de Falla'!ID17)</f>
      </c>
      <c r="N17" s="500">
        <f>IF('[1]Tasa de Falla'!IE17=0,"",'[1]Tasa de Falla'!IE17)</f>
      </c>
      <c r="O17" s="500">
        <f>IF('[1]Tasa de Falla'!IF17=0,"",'[1]Tasa de Falla'!IF17)</f>
      </c>
      <c r="P17" s="500">
        <f>IF('[1]Tasa de Falla'!IG17=0,"",'[1]Tasa de Falla'!IG17)</f>
        <v>1</v>
      </c>
      <c r="Q17" s="500">
        <f>IF('[1]Tasa de Falla'!IH17=0,"",'[1]Tasa de Falla'!IH17)</f>
      </c>
      <c r="R17" s="500">
        <f>IF('[1]Tasa de Falla'!II17=0,"",'[1]Tasa de Falla'!II17)</f>
      </c>
      <c r="S17" s="501"/>
      <c r="T17" s="498"/>
    </row>
    <row r="18" spans="2:20" s="492" customFormat="1" ht="19.5" customHeight="1">
      <c r="B18" s="493"/>
      <c r="C18" s="499">
        <f>'[1]Tasa de Falla'!C18</f>
        <v>2</v>
      </c>
      <c r="D18" s="499" t="str">
        <f>'[1]Tasa de Falla'!D18</f>
        <v>AGUILARES - ESCABA</v>
      </c>
      <c r="E18" s="499">
        <f>'[1]Tasa de Falla'!E18</f>
        <v>132</v>
      </c>
      <c r="F18" s="499">
        <f>'[1]Tasa de Falla'!F18</f>
        <v>27.6</v>
      </c>
      <c r="G18" s="500">
        <f>IF('[1]Tasa de Falla'!HX18=0,"",'[1]Tasa de Falla'!HX18)</f>
      </c>
      <c r="H18" s="500">
        <f>IF('[1]Tasa de Falla'!HY18=0,"",'[1]Tasa de Falla'!HY18)</f>
      </c>
      <c r="I18" s="500">
        <f>IF('[1]Tasa de Falla'!HZ18=0,"",'[1]Tasa de Falla'!HZ18)</f>
      </c>
      <c r="J18" s="500">
        <f>IF('[1]Tasa de Falla'!IA18=0,"",'[1]Tasa de Falla'!IA18)</f>
      </c>
      <c r="K18" s="500">
        <f>IF('[1]Tasa de Falla'!IB18=0,"",'[1]Tasa de Falla'!IB18)</f>
      </c>
      <c r="L18" s="500">
        <f>IF('[1]Tasa de Falla'!IC18=0,"",'[1]Tasa de Falla'!IC18)</f>
        <v>2</v>
      </c>
      <c r="M18" s="500">
        <f>IF('[1]Tasa de Falla'!ID18=0,"",'[1]Tasa de Falla'!ID18)</f>
      </c>
      <c r="N18" s="500">
        <f>IF('[1]Tasa de Falla'!IE18=0,"",'[1]Tasa de Falla'!IE18)</f>
      </c>
      <c r="O18" s="500">
        <f>IF('[1]Tasa de Falla'!IF18=0,"",'[1]Tasa de Falla'!IF18)</f>
      </c>
      <c r="P18" s="500">
        <f>IF('[1]Tasa de Falla'!IG18=0,"",'[1]Tasa de Falla'!IG18)</f>
      </c>
      <c r="Q18" s="500">
        <f>IF('[1]Tasa de Falla'!IH18=0,"",'[1]Tasa de Falla'!IH18)</f>
      </c>
      <c r="R18" s="500">
        <f>IF('[1]Tasa de Falla'!II18=0,"",'[1]Tasa de Falla'!II18)</f>
      </c>
      <c r="S18" s="501"/>
      <c r="T18" s="498"/>
    </row>
    <row r="19" spans="2:20" s="492" customFormat="1" ht="18">
      <c r="B19" s="493"/>
      <c r="C19" s="499">
        <f>'[1]Tasa de Falla'!C19</f>
        <v>3</v>
      </c>
      <c r="D19" s="499" t="str">
        <f>'[1]Tasa de Falla'!D19</f>
        <v>CABRA CORRAL - SALTA SUR</v>
      </c>
      <c r="E19" s="499">
        <f>'[1]Tasa de Falla'!E19</f>
        <v>132</v>
      </c>
      <c r="F19" s="499">
        <f>'[1]Tasa de Falla'!F19</f>
        <v>62</v>
      </c>
      <c r="G19" s="500" t="str">
        <f>IF('[1]Tasa de Falla'!HX19=0,"",'[1]Tasa de Falla'!HX19)</f>
        <v>XXXX</v>
      </c>
      <c r="H19" s="500" t="str">
        <f>IF('[1]Tasa de Falla'!HY19=0,"",'[1]Tasa de Falla'!HY19)</f>
        <v>XXXX</v>
      </c>
      <c r="I19" s="500" t="str">
        <f>IF('[1]Tasa de Falla'!HZ19=0,"",'[1]Tasa de Falla'!HZ19)</f>
        <v>XXXX</v>
      </c>
      <c r="J19" s="500" t="str">
        <f>IF('[1]Tasa de Falla'!IA19=0,"",'[1]Tasa de Falla'!IA19)</f>
        <v>XXXX</v>
      </c>
      <c r="K19" s="500" t="str">
        <f>IF('[1]Tasa de Falla'!IB19=0,"",'[1]Tasa de Falla'!IB19)</f>
        <v>XXXX</v>
      </c>
      <c r="L19" s="500" t="str">
        <f>IF('[1]Tasa de Falla'!IC19=0,"",'[1]Tasa de Falla'!IC19)</f>
        <v>XXXX</v>
      </c>
      <c r="M19" s="500" t="str">
        <f>IF('[1]Tasa de Falla'!ID19=0,"",'[1]Tasa de Falla'!ID19)</f>
        <v>XXXX</v>
      </c>
      <c r="N19" s="500" t="str">
        <f>IF('[1]Tasa de Falla'!IE19=0,"",'[1]Tasa de Falla'!IE19)</f>
        <v>XXXX</v>
      </c>
      <c r="O19" s="500" t="str">
        <f>IF('[1]Tasa de Falla'!IF19=0,"",'[1]Tasa de Falla'!IF19)</f>
        <v>XXXX</v>
      </c>
      <c r="P19" s="500" t="str">
        <f>IF('[1]Tasa de Falla'!IG19=0,"",'[1]Tasa de Falla'!IG19)</f>
        <v>XXXX</v>
      </c>
      <c r="Q19" s="500" t="str">
        <f>IF('[1]Tasa de Falla'!IH19=0,"",'[1]Tasa de Falla'!IH19)</f>
        <v>XXXX</v>
      </c>
      <c r="R19" s="500" t="str">
        <f>IF('[1]Tasa de Falla'!II19=0,"",'[1]Tasa de Falla'!II19)</f>
        <v>XXXX</v>
      </c>
      <c r="S19" s="501"/>
      <c r="T19" s="498"/>
    </row>
    <row r="20" spans="2:20" s="492" customFormat="1" ht="19.5" customHeight="1">
      <c r="B20" s="493"/>
      <c r="C20" s="499">
        <f>'[1]Tasa de Falla'!C20</f>
        <v>4</v>
      </c>
      <c r="D20" s="499" t="str">
        <f>'[1]Tasa de Falla'!D20</f>
        <v>CEVIL POZO - TUCUMAN NORTE</v>
      </c>
      <c r="E20" s="499">
        <f>'[1]Tasa de Falla'!E20</f>
        <v>132</v>
      </c>
      <c r="F20" s="499">
        <f>'[1]Tasa de Falla'!F20</f>
        <v>14.5</v>
      </c>
      <c r="G20" s="500">
        <f>IF('[1]Tasa de Falla'!HX20=0,"",'[1]Tasa de Falla'!HX20)</f>
      </c>
      <c r="H20" s="500">
        <f>IF('[1]Tasa de Falla'!HY20=0,"",'[1]Tasa de Falla'!HY20)</f>
      </c>
      <c r="I20" s="500">
        <f>IF('[1]Tasa de Falla'!HZ20=0,"",'[1]Tasa de Falla'!HZ20)</f>
      </c>
      <c r="J20" s="500">
        <f>IF('[1]Tasa de Falla'!IA20=0,"",'[1]Tasa de Falla'!IA20)</f>
      </c>
      <c r="K20" s="500">
        <f>IF('[1]Tasa de Falla'!IB20=0,"",'[1]Tasa de Falla'!IB20)</f>
      </c>
      <c r="L20" s="500">
        <f>IF('[1]Tasa de Falla'!IC20=0,"",'[1]Tasa de Falla'!IC20)</f>
      </c>
      <c r="M20" s="500">
        <f>IF('[1]Tasa de Falla'!ID20=0,"",'[1]Tasa de Falla'!ID20)</f>
        <v>1</v>
      </c>
      <c r="N20" s="500">
        <f>IF('[1]Tasa de Falla'!IE20=0,"",'[1]Tasa de Falla'!IE20)</f>
      </c>
      <c r="O20" s="500">
        <f>IF('[1]Tasa de Falla'!IF20=0,"",'[1]Tasa de Falla'!IF20)</f>
      </c>
      <c r="P20" s="500">
        <f>IF('[1]Tasa de Falla'!IG20=0,"",'[1]Tasa de Falla'!IG20)</f>
      </c>
      <c r="Q20" s="500">
        <f>IF('[1]Tasa de Falla'!IH20=0,"",'[1]Tasa de Falla'!IH20)</f>
      </c>
      <c r="R20" s="500">
        <f>IF('[1]Tasa de Falla'!II20=0,"",'[1]Tasa de Falla'!II20)</f>
      </c>
      <c r="S20" s="501"/>
      <c r="T20" s="498"/>
    </row>
    <row r="21" spans="2:20" s="492" customFormat="1" ht="18">
      <c r="B21" s="493"/>
      <c r="C21" s="499">
        <f>'[1]Tasa de Falla'!C21</f>
        <v>5</v>
      </c>
      <c r="D21" s="499" t="str">
        <f>'[1]Tasa de Falla'!D21</f>
        <v>CAMPO SANTO - MINETTI</v>
      </c>
      <c r="E21" s="499">
        <f>'[1]Tasa de Falla'!E21</f>
        <v>132</v>
      </c>
      <c r="F21" s="499">
        <f>'[1]Tasa de Falla'!F21</f>
        <v>29.9</v>
      </c>
      <c r="G21" s="500" t="str">
        <f>IF('[1]Tasa de Falla'!HX21=0,"",'[1]Tasa de Falla'!HX21)</f>
        <v>XXXX</v>
      </c>
      <c r="H21" s="500" t="str">
        <f>IF('[1]Tasa de Falla'!HY21=0,"",'[1]Tasa de Falla'!HY21)</f>
        <v>XXXX</v>
      </c>
      <c r="I21" s="500" t="str">
        <f>IF('[1]Tasa de Falla'!HZ21=0,"",'[1]Tasa de Falla'!HZ21)</f>
        <v>XXXX</v>
      </c>
      <c r="J21" s="500" t="str">
        <f>IF('[1]Tasa de Falla'!IA21=0,"",'[1]Tasa de Falla'!IA21)</f>
        <v>XXXX</v>
      </c>
      <c r="K21" s="500" t="str">
        <f>IF('[1]Tasa de Falla'!IB21=0,"",'[1]Tasa de Falla'!IB21)</f>
        <v>XXXX</v>
      </c>
      <c r="L21" s="500" t="str">
        <f>IF('[1]Tasa de Falla'!IC21=0,"",'[1]Tasa de Falla'!IC21)</f>
        <v>XXXX</v>
      </c>
      <c r="M21" s="500" t="str">
        <f>IF('[1]Tasa de Falla'!ID21=0,"",'[1]Tasa de Falla'!ID21)</f>
        <v>XXXX</v>
      </c>
      <c r="N21" s="500" t="str">
        <f>IF('[1]Tasa de Falla'!IE21=0,"",'[1]Tasa de Falla'!IE21)</f>
        <v>XXXX</v>
      </c>
      <c r="O21" s="500" t="str">
        <f>IF('[1]Tasa de Falla'!IF21=0,"",'[1]Tasa de Falla'!IF21)</f>
        <v>XXXX</v>
      </c>
      <c r="P21" s="500" t="str">
        <f>IF('[1]Tasa de Falla'!IG21=0,"",'[1]Tasa de Falla'!IG21)</f>
        <v>XXXX</v>
      </c>
      <c r="Q21" s="500" t="str">
        <f>IF('[1]Tasa de Falla'!IH21=0,"",'[1]Tasa de Falla'!IH21)</f>
        <v>XXXX</v>
      </c>
      <c r="R21" s="500" t="str">
        <f>IF('[1]Tasa de Falla'!II21=0,"",'[1]Tasa de Falla'!II21)</f>
        <v>XXXX</v>
      </c>
      <c r="S21" s="501"/>
      <c r="T21" s="498"/>
    </row>
    <row r="22" spans="2:20" s="492" customFormat="1" ht="18">
      <c r="B22" s="493"/>
      <c r="C22" s="499">
        <f>'[1]Tasa de Falla'!C22</f>
        <v>6</v>
      </c>
      <c r="D22" s="499" t="str">
        <f>'[1]Tasa de Falla'!D22</f>
        <v>ESCABA - HUACRA</v>
      </c>
      <c r="E22" s="499">
        <f>'[1]Tasa de Falla'!E22</f>
        <v>132</v>
      </c>
      <c r="F22" s="499">
        <f>'[1]Tasa de Falla'!F22</f>
        <v>49.9</v>
      </c>
      <c r="G22" s="500" t="str">
        <f>IF('[1]Tasa de Falla'!HX22=0,"",'[1]Tasa de Falla'!HX22)</f>
        <v>XXXX</v>
      </c>
      <c r="H22" s="500" t="str">
        <f>IF('[1]Tasa de Falla'!HY22=0,"",'[1]Tasa de Falla'!HY22)</f>
        <v>XXXX</v>
      </c>
      <c r="I22" s="500" t="str">
        <f>IF('[1]Tasa de Falla'!HZ22=0,"",'[1]Tasa de Falla'!HZ22)</f>
        <v>XXXX</v>
      </c>
      <c r="J22" s="500" t="str">
        <f>IF('[1]Tasa de Falla'!IA22=0,"",'[1]Tasa de Falla'!IA22)</f>
        <v>XXXX</v>
      </c>
      <c r="K22" s="500" t="str">
        <f>IF('[1]Tasa de Falla'!IB22=0,"",'[1]Tasa de Falla'!IB22)</f>
        <v>XXXX</v>
      </c>
      <c r="L22" s="500" t="str">
        <f>IF('[1]Tasa de Falla'!IC22=0,"",'[1]Tasa de Falla'!IC22)</f>
        <v>XXXX</v>
      </c>
      <c r="M22" s="500" t="str">
        <f>IF('[1]Tasa de Falla'!ID22=0,"",'[1]Tasa de Falla'!ID22)</f>
        <v>XXXX</v>
      </c>
      <c r="N22" s="500" t="str">
        <f>IF('[1]Tasa de Falla'!IE22=0,"",'[1]Tasa de Falla'!IE22)</f>
        <v>XXXX</v>
      </c>
      <c r="O22" s="500" t="str">
        <f>IF('[1]Tasa de Falla'!IF22=0,"",'[1]Tasa de Falla'!IF22)</f>
        <v>XXXX</v>
      </c>
      <c r="P22" s="500" t="str">
        <f>IF('[1]Tasa de Falla'!IG22=0,"",'[1]Tasa de Falla'!IG22)</f>
        <v>XXXX</v>
      </c>
      <c r="Q22" s="500" t="str">
        <f>IF('[1]Tasa de Falla'!IH22=0,"",'[1]Tasa de Falla'!IH22)</f>
        <v>XXXX</v>
      </c>
      <c r="R22" s="500" t="str">
        <f>IF('[1]Tasa de Falla'!II22=0,"",'[1]Tasa de Falla'!II22)</f>
        <v>XXXX</v>
      </c>
      <c r="S22" s="501"/>
      <c r="T22" s="498"/>
    </row>
    <row r="23" spans="2:20" s="492" customFormat="1" ht="19.5" customHeight="1">
      <c r="B23" s="493"/>
      <c r="C23" s="499">
        <f>'[1]Tasa de Falla'!C23</f>
        <v>7</v>
      </c>
      <c r="D23" s="499" t="str">
        <f>'[1]Tasa de Falla'!D23</f>
        <v>ESTATICA SUR - EL BRACHO</v>
      </c>
      <c r="E23" s="499">
        <f>'[1]Tasa de Falla'!E23</f>
        <v>132</v>
      </c>
      <c r="F23" s="499">
        <f>'[1]Tasa de Falla'!F23</f>
        <v>19.6</v>
      </c>
      <c r="G23" s="500">
        <f>IF('[1]Tasa de Falla'!HX23=0,"",'[1]Tasa de Falla'!HX23)</f>
      </c>
      <c r="H23" s="500">
        <f>IF('[1]Tasa de Falla'!HY23=0,"",'[1]Tasa de Falla'!HY23)</f>
      </c>
      <c r="I23" s="500">
        <f>IF('[1]Tasa de Falla'!HZ23=0,"",'[1]Tasa de Falla'!HZ23)</f>
      </c>
      <c r="J23" s="500">
        <f>IF('[1]Tasa de Falla'!IA23=0,"",'[1]Tasa de Falla'!IA23)</f>
      </c>
      <c r="K23" s="500">
        <f>IF('[1]Tasa de Falla'!IB23=0,"",'[1]Tasa de Falla'!IB23)</f>
      </c>
      <c r="L23" s="500">
        <f>IF('[1]Tasa de Falla'!IC23=0,"",'[1]Tasa de Falla'!IC23)</f>
      </c>
      <c r="M23" s="500">
        <f>IF('[1]Tasa de Falla'!ID23=0,"",'[1]Tasa de Falla'!ID23)</f>
      </c>
      <c r="N23" s="500">
        <f>IF('[1]Tasa de Falla'!IE23=0,"",'[1]Tasa de Falla'!IE23)</f>
      </c>
      <c r="O23" s="500">
        <f>IF('[1]Tasa de Falla'!IF23=0,"",'[1]Tasa de Falla'!IF23)</f>
      </c>
      <c r="P23" s="500">
        <f>IF('[1]Tasa de Falla'!IG23=0,"",'[1]Tasa de Falla'!IG23)</f>
      </c>
      <c r="Q23" s="500">
        <f>IF('[1]Tasa de Falla'!IH23=0,"",'[1]Tasa de Falla'!IH23)</f>
      </c>
      <c r="R23" s="500">
        <f>IF('[1]Tasa de Falla'!II23=0,"",'[1]Tasa de Falla'!II23)</f>
      </c>
      <c r="S23" s="501"/>
      <c r="T23" s="498"/>
    </row>
    <row r="24" spans="2:20" s="492" customFormat="1" ht="19.5" customHeight="1">
      <c r="B24" s="493"/>
      <c r="C24" s="499">
        <f>'[1]Tasa de Falla'!C24</f>
        <v>8</v>
      </c>
      <c r="D24" s="499" t="str">
        <f>'[1]Tasa de Falla'!D24</f>
        <v>ESTATICA SUR - INDEPENDENCIA (O.F.)</v>
      </c>
      <c r="E24" s="499">
        <f>'[1]Tasa de Falla'!E24</f>
        <v>132</v>
      </c>
      <c r="F24" s="499">
        <f>'[1]Tasa de Falla'!F24</f>
        <v>2.6</v>
      </c>
      <c r="G24" s="500">
        <f>IF('[1]Tasa de Falla'!HX24=0,"",'[1]Tasa de Falla'!HX24)</f>
      </c>
      <c r="H24" s="500">
        <f>IF('[1]Tasa de Falla'!HY24=0,"",'[1]Tasa de Falla'!HY24)</f>
      </c>
      <c r="I24" s="500">
        <f>IF('[1]Tasa de Falla'!HZ24=0,"",'[1]Tasa de Falla'!HZ24)</f>
      </c>
      <c r="J24" s="500">
        <f>IF('[1]Tasa de Falla'!IA24=0,"",'[1]Tasa de Falla'!IA24)</f>
      </c>
      <c r="K24" s="500">
        <f>IF('[1]Tasa de Falla'!IB24=0,"",'[1]Tasa de Falla'!IB24)</f>
      </c>
      <c r="L24" s="500">
        <f>IF('[1]Tasa de Falla'!IC24=0,"",'[1]Tasa de Falla'!IC24)</f>
      </c>
      <c r="M24" s="500">
        <f>IF('[1]Tasa de Falla'!ID24=0,"",'[1]Tasa de Falla'!ID24)</f>
      </c>
      <c r="N24" s="500">
        <f>IF('[1]Tasa de Falla'!IE24=0,"",'[1]Tasa de Falla'!IE24)</f>
      </c>
      <c r="O24" s="500">
        <f>IF('[1]Tasa de Falla'!IF24=0,"",'[1]Tasa de Falla'!IF24)</f>
      </c>
      <c r="P24" s="500">
        <f>IF('[1]Tasa de Falla'!IG24=0,"",'[1]Tasa de Falla'!IG24)</f>
      </c>
      <c r="Q24" s="500">
        <f>IF('[1]Tasa de Falla'!IH24=0,"",'[1]Tasa de Falla'!IH24)</f>
      </c>
      <c r="R24" s="500">
        <f>IF('[1]Tasa de Falla'!II24=0,"",'[1]Tasa de Falla'!II24)</f>
      </c>
      <c r="S24" s="501"/>
      <c r="T24" s="498"/>
    </row>
    <row r="25" spans="2:20" s="492" customFormat="1" ht="19.5" customHeight="1">
      <c r="B25" s="493"/>
      <c r="C25" s="499">
        <f>'[1]Tasa de Falla'!C25</f>
        <v>9</v>
      </c>
      <c r="D25" s="499" t="str">
        <f>'[1]Tasa de Falla'!D25</f>
        <v>ESTATICA SUR - SARMIENTO "TRANSNOA S.A."</v>
      </c>
      <c r="E25" s="499">
        <f>'[1]Tasa de Falla'!E25</f>
        <v>132</v>
      </c>
      <c r="F25" s="499">
        <f>'[1]Tasa de Falla'!F25</f>
        <v>4.4</v>
      </c>
      <c r="G25" s="500">
        <f>IF('[1]Tasa de Falla'!HX25=0,"",'[1]Tasa de Falla'!HX25)</f>
      </c>
      <c r="H25" s="500">
        <f>IF('[1]Tasa de Falla'!HY25=0,"",'[1]Tasa de Falla'!HY25)</f>
      </c>
      <c r="I25" s="500">
        <f>IF('[1]Tasa de Falla'!HZ25=0,"",'[1]Tasa de Falla'!HZ25)</f>
      </c>
      <c r="J25" s="500">
        <f>IF('[1]Tasa de Falla'!IA25=0,"",'[1]Tasa de Falla'!IA25)</f>
      </c>
      <c r="K25" s="500">
        <f>IF('[1]Tasa de Falla'!IB25=0,"",'[1]Tasa de Falla'!IB25)</f>
      </c>
      <c r="L25" s="500">
        <f>IF('[1]Tasa de Falla'!IC25=0,"",'[1]Tasa de Falla'!IC25)</f>
      </c>
      <c r="M25" s="500">
        <f>IF('[1]Tasa de Falla'!ID25=0,"",'[1]Tasa de Falla'!ID25)</f>
      </c>
      <c r="N25" s="500">
        <f>IF('[1]Tasa de Falla'!IE25=0,"",'[1]Tasa de Falla'!IE25)</f>
      </c>
      <c r="O25" s="500">
        <f>IF('[1]Tasa de Falla'!IF25=0,"",'[1]Tasa de Falla'!IF25)</f>
      </c>
      <c r="P25" s="500">
        <f>IF('[1]Tasa de Falla'!IG25=0,"",'[1]Tasa de Falla'!IG25)</f>
      </c>
      <c r="Q25" s="500">
        <f>IF('[1]Tasa de Falla'!IH25=0,"",'[1]Tasa de Falla'!IH25)</f>
      </c>
      <c r="R25" s="500">
        <f>IF('[1]Tasa de Falla'!II25=0,"",'[1]Tasa de Falla'!II25)</f>
      </c>
      <c r="S25" s="501"/>
      <c r="T25" s="498"/>
    </row>
    <row r="26" spans="2:20" s="492" customFormat="1" ht="18">
      <c r="B26" s="493"/>
      <c r="C26" s="499">
        <f>'[1]Tasa de Falla'!C26</f>
        <v>10</v>
      </c>
      <c r="D26" s="499" t="str">
        <f>'[1]Tasa de Falla'!D26</f>
        <v>GÜEMES - EL BRACHO</v>
      </c>
      <c r="E26" s="499">
        <f>'[1]Tasa de Falla'!E26</f>
        <v>132</v>
      </c>
      <c r="F26" s="499">
        <f>'[1]Tasa de Falla'!F26</f>
        <v>308</v>
      </c>
      <c r="G26" s="500" t="str">
        <f>IF('[1]Tasa de Falla'!HX26=0,"",'[1]Tasa de Falla'!HX26)</f>
        <v>XXXX</v>
      </c>
      <c r="H26" s="500" t="str">
        <f>IF('[1]Tasa de Falla'!HY26=0,"",'[1]Tasa de Falla'!HY26)</f>
        <v>XXXX</v>
      </c>
      <c r="I26" s="500" t="str">
        <f>IF('[1]Tasa de Falla'!HZ26=0,"",'[1]Tasa de Falla'!HZ26)</f>
        <v>XXXX</v>
      </c>
      <c r="J26" s="500" t="str">
        <f>IF('[1]Tasa de Falla'!IA26=0,"",'[1]Tasa de Falla'!IA26)</f>
        <v>XXXX</v>
      </c>
      <c r="K26" s="500" t="str">
        <f>IF('[1]Tasa de Falla'!IB26=0,"",'[1]Tasa de Falla'!IB26)</f>
        <v>XXXX</v>
      </c>
      <c r="L26" s="500" t="str">
        <f>IF('[1]Tasa de Falla'!IC26=0,"",'[1]Tasa de Falla'!IC26)</f>
        <v>XXXX</v>
      </c>
      <c r="M26" s="500" t="str">
        <f>IF('[1]Tasa de Falla'!ID26=0,"",'[1]Tasa de Falla'!ID26)</f>
        <v>XXXX</v>
      </c>
      <c r="N26" s="500" t="str">
        <f>IF('[1]Tasa de Falla'!IE26=0,"",'[1]Tasa de Falla'!IE26)</f>
        <v>XXXX</v>
      </c>
      <c r="O26" s="500" t="str">
        <f>IF('[1]Tasa de Falla'!IF26=0,"",'[1]Tasa de Falla'!IF26)</f>
        <v>XXXX</v>
      </c>
      <c r="P26" s="500" t="str">
        <f>IF('[1]Tasa de Falla'!IG26=0,"",'[1]Tasa de Falla'!IG26)</f>
        <v>XXXX</v>
      </c>
      <c r="Q26" s="500" t="str">
        <f>IF('[1]Tasa de Falla'!IH26=0,"",'[1]Tasa de Falla'!IH26)</f>
        <v>XXXX</v>
      </c>
      <c r="R26" s="500" t="str">
        <f>IF('[1]Tasa de Falla'!II26=0,"",'[1]Tasa de Falla'!II26)</f>
        <v>XXXX</v>
      </c>
      <c r="S26" s="501"/>
      <c r="T26" s="498"/>
    </row>
    <row r="27" spans="2:20" s="492" customFormat="1" ht="19.5" customHeight="1">
      <c r="B27" s="493"/>
      <c r="C27" s="499">
        <f>'[1]Tasa de Falla'!C27</f>
        <v>11</v>
      </c>
      <c r="D27" s="499" t="str">
        <f>'[1]Tasa de Falla'!D27</f>
        <v>CAMPO SANTO - GÜEMES</v>
      </c>
      <c r="E27" s="499">
        <f>'[1]Tasa de Falla'!E27</f>
        <v>132</v>
      </c>
      <c r="F27" s="499">
        <f>'[1]Tasa de Falla'!F27</f>
        <v>6.2</v>
      </c>
      <c r="G27" s="500" t="str">
        <f>IF('[1]Tasa de Falla'!HX27=0,"",'[1]Tasa de Falla'!HX27)</f>
        <v>XXXX</v>
      </c>
      <c r="H27" s="500" t="str">
        <f>IF('[1]Tasa de Falla'!HY27=0,"",'[1]Tasa de Falla'!HY27)</f>
        <v>XXXX</v>
      </c>
      <c r="I27" s="500" t="str">
        <f>IF('[1]Tasa de Falla'!HZ27=0,"",'[1]Tasa de Falla'!HZ27)</f>
        <v>XXXX</v>
      </c>
      <c r="J27" s="500" t="str">
        <f>IF('[1]Tasa de Falla'!IA27=0,"",'[1]Tasa de Falla'!IA27)</f>
        <v>XXXX</v>
      </c>
      <c r="K27" s="500" t="str">
        <f>IF('[1]Tasa de Falla'!IB27=0,"",'[1]Tasa de Falla'!IB27)</f>
        <v>XXXX</v>
      </c>
      <c r="L27" s="500" t="str">
        <f>IF('[1]Tasa de Falla'!IC27=0,"",'[1]Tasa de Falla'!IC27)</f>
        <v>XXXX</v>
      </c>
      <c r="M27" s="500" t="str">
        <f>IF('[1]Tasa de Falla'!ID27=0,"",'[1]Tasa de Falla'!ID27)</f>
        <v>XXXX</v>
      </c>
      <c r="N27" s="500" t="str">
        <f>IF('[1]Tasa de Falla'!IE27=0,"",'[1]Tasa de Falla'!IE27)</f>
        <v>XXXX</v>
      </c>
      <c r="O27" s="500" t="str">
        <f>IF('[1]Tasa de Falla'!IF27=0,"",'[1]Tasa de Falla'!IF27)</f>
        <v>XXXX</v>
      </c>
      <c r="P27" s="500" t="str">
        <f>IF('[1]Tasa de Falla'!IG27=0,"",'[1]Tasa de Falla'!IG27)</f>
        <v>XXXX</v>
      </c>
      <c r="Q27" s="500" t="str">
        <f>IF('[1]Tasa de Falla'!IH27=0,"",'[1]Tasa de Falla'!IH27)</f>
        <v>XXXX</v>
      </c>
      <c r="R27" s="500" t="str">
        <f>IF('[1]Tasa de Falla'!II27=0,"",'[1]Tasa de Falla'!II27)</f>
        <v>XXXX</v>
      </c>
      <c r="S27" s="501"/>
      <c r="T27" s="498"/>
    </row>
    <row r="28" spans="2:20" s="492" customFormat="1" ht="19.5" customHeight="1">
      <c r="B28" s="493"/>
      <c r="C28" s="499">
        <f>'[1]Tasa de Falla'!C28</f>
        <v>12</v>
      </c>
      <c r="D28" s="499" t="str">
        <f>'[1]Tasa de Falla'!D28</f>
        <v>GÜEMES - SAN JUANCITO</v>
      </c>
      <c r="E28" s="499">
        <f>'[1]Tasa de Falla'!E28</f>
        <v>132</v>
      </c>
      <c r="F28" s="499">
        <f>'[1]Tasa de Falla'!F28</f>
        <v>36.24</v>
      </c>
      <c r="G28" s="500">
        <f>IF('[1]Tasa de Falla'!HX28=0,"",'[1]Tasa de Falla'!HX28)</f>
      </c>
      <c r="H28" s="500">
        <f>IF('[1]Tasa de Falla'!HY28=0,"",'[1]Tasa de Falla'!HY28)</f>
        <v>2</v>
      </c>
      <c r="I28" s="500">
        <f>IF('[1]Tasa de Falla'!HZ28=0,"",'[1]Tasa de Falla'!HZ28)</f>
        <v>1</v>
      </c>
      <c r="J28" s="500">
        <f>IF('[1]Tasa de Falla'!IA28=0,"",'[1]Tasa de Falla'!IA28)</f>
      </c>
      <c r="K28" s="500">
        <f>IF('[1]Tasa de Falla'!IB28=0,"",'[1]Tasa de Falla'!IB28)</f>
      </c>
      <c r="L28" s="500">
        <f>IF('[1]Tasa de Falla'!IC28=0,"",'[1]Tasa de Falla'!IC28)</f>
      </c>
      <c r="M28" s="500">
        <f>IF('[1]Tasa de Falla'!ID28=0,"",'[1]Tasa de Falla'!ID28)</f>
      </c>
      <c r="N28" s="500">
        <f>IF('[1]Tasa de Falla'!IE28=0,"",'[1]Tasa de Falla'!IE28)</f>
      </c>
      <c r="O28" s="500">
        <f>IF('[1]Tasa de Falla'!IF28=0,"",'[1]Tasa de Falla'!IF28)</f>
      </c>
      <c r="P28" s="500">
        <f>IF('[1]Tasa de Falla'!IG28=0,"",'[1]Tasa de Falla'!IG28)</f>
        <v>1</v>
      </c>
      <c r="Q28" s="500">
        <f>IF('[1]Tasa de Falla'!IH28=0,"",'[1]Tasa de Falla'!IH28)</f>
        <v>1</v>
      </c>
      <c r="R28" s="500">
        <f>IF('[1]Tasa de Falla'!II28=0,"",'[1]Tasa de Falla'!II28)</f>
      </c>
      <c r="S28" s="501"/>
      <c r="T28" s="498"/>
    </row>
    <row r="29" spans="2:20" s="492" customFormat="1" ht="19.5" customHeight="1">
      <c r="B29" s="493"/>
      <c r="C29" s="499">
        <f>'[1]Tasa de Falla'!C29</f>
        <v>13</v>
      </c>
      <c r="D29" s="499" t="str">
        <f>'[1]Tasa de Falla'!D29</f>
        <v>CATAMARCA - HUACRA</v>
      </c>
      <c r="E29" s="499">
        <f>'[1]Tasa de Falla'!E29</f>
        <v>132</v>
      </c>
      <c r="F29" s="499">
        <f>'[1]Tasa de Falla'!F29</f>
        <v>67.3</v>
      </c>
      <c r="G29" s="500">
        <f>IF('[1]Tasa de Falla'!HX29=0,"",'[1]Tasa de Falla'!HX29)</f>
      </c>
      <c r="H29" s="500">
        <f>IF('[1]Tasa de Falla'!HY29=0,"",'[1]Tasa de Falla'!HY29)</f>
      </c>
      <c r="I29" s="500">
        <f>IF('[1]Tasa de Falla'!HZ29=0,"",'[1]Tasa de Falla'!HZ29)</f>
      </c>
      <c r="J29" s="500">
        <f>IF('[1]Tasa de Falla'!IA29=0,"",'[1]Tasa de Falla'!IA29)</f>
      </c>
      <c r="K29" s="500">
        <f>IF('[1]Tasa de Falla'!IB29=0,"",'[1]Tasa de Falla'!IB29)</f>
      </c>
      <c r="L29" s="500">
        <f>IF('[1]Tasa de Falla'!IC29=0,"",'[1]Tasa de Falla'!IC29)</f>
      </c>
      <c r="M29" s="500">
        <f>IF('[1]Tasa de Falla'!ID29=0,"",'[1]Tasa de Falla'!ID29)</f>
      </c>
      <c r="N29" s="500">
        <f>IF('[1]Tasa de Falla'!IE29=0,"",'[1]Tasa de Falla'!IE29)</f>
      </c>
      <c r="O29" s="500">
        <f>IF('[1]Tasa de Falla'!IF29=0,"",'[1]Tasa de Falla'!IF29)</f>
      </c>
      <c r="P29" s="500">
        <f>IF('[1]Tasa de Falla'!IG29=0,"",'[1]Tasa de Falla'!IG29)</f>
      </c>
      <c r="Q29" s="500">
        <f>IF('[1]Tasa de Falla'!IH29=0,"",'[1]Tasa de Falla'!IH29)</f>
      </c>
      <c r="R29" s="500">
        <f>IF('[1]Tasa de Falla'!II29=0,"",'[1]Tasa de Falla'!II29)</f>
      </c>
      <c r="S29" s="501"/>
      <c r="T29" s="498"/>
    </row>
    <row r="30" spans="2:20" s="492" customFormat="1" ht="19.5" customHeight="1">
      <c r="B30" s="493"/>
      <c r="C30" s="499">
        <f>'[1]Tasa de Falla'!C30</f>
        <v>14</v>
      </c>
      <c r="D30" s="499" t="str">
        <f>'[1]Tasa de Falla'!D30</f>
        <v>HUACRA - LA CALERA</v>
      </c>
      <c r="E30" s="499">
        <f>'[1]Tasa de Falla'!E30</f>
        <v>132</v>
      </c>
      <c r="F30" s="499">
        <f>'[1]Tasa de Falla'!F30</f>
        <v>91.2</v>
      </c>
      <c r="G30" s="500">
        <f>IF('[1]Tasa de Falla'!HX30=0,"",'[1]Tasa de Falla'!HX30)</f>
      </c>
      <c r="H30" s="500">
        <f>IF('[1]Tasa de Falla'!HY30=0,"",'[1]Tasa de Falla'!HY30)</f>
      </c>
      <c r="I30" s="500">
        <f>IF('[1]Tasa de Falla'!HZ30=0,"",'[1]Tasa de Falla'!HZ30)</f>
      </c>
      <c r="J30" s="500">
        <f>IF('[1]Tasa de Falla'!IA30=0,"",'[1]Tasa de Falla'!IA30)</f>
      </c>
      <c r="K30" s="500">
        <f>IF('[1]Tasa de Falla'!IB30=0,"",'[1]Tasa de Falla'!IB30)</f>
      </c>
      <c r="L30" s="500">
        <f>IF('[1]Tasa de Falla'!IC30=0,"",'[1]Tasa de Falla'!IC30)</f>
      </c>
      <c r="M30" s="500">
        <f>IF('[1]Tasa de Falla'!ID30=0,"",'[1]Tasa de Falla'!ID30)</f>
      </c>
      <c r="N30" s="500">
        <f>IF('[1]Tasa de Falla'!IE30=0,"",'[1]Tasa de Falla'!IE30)</f>
        <v>1</v>
      </c>
      <c r="O30" s="500">
        <f>IF('[1]Tasa de Falla'!IF30=0,"",'[1]Tasa de Falla'!IF30)</f>
      </c>
      <c r="P30" s="500">
        <f>IF('[1]Tasa de Falla'!IG30=0,"",'[1]Tasa de Falla'!IG30)</f>
      </c>
      <c r="Q30" s="500">
        <f>IF('[1]Tasa de Falla'!IH30=0,"",'[1]Tasa de Falla'!IH30)</f>
      </c>
      <c r="R30" s="500">
        <f>IF('[1]Tasa de Falla'!II30=0,"",'[1]Tasa de Falla'!II30)</f>
        <v>1</v>
      </c>
      <c r="S30" s="501"/>
      <c r="T30" s="498"/>
    </row>
    <row r="31" spans="2:20" s="492" customFormat="1" ht="19.5" customHeight="1">
      <c r="B31" s="493"/>
      <c r="C31" s="499">
        <f>'[1]Tasa de Falla'!C31</f>
        <v>15</v>
      </c>
      <c r="D31" s="499" t="str">
        <f>'[1]Tasa de Falla'!D31</f>
        <v>AGUA BLANCA - INDEPENDENCIA</v>
      </c>
      <c r="E31" s="499">
        <f>'[1]Tasa de Falla'!E31</f>
        <v>132</v>
      </c>
      <c r="F31" s="499">
        <f>'[1]Tasa de Falla'!F31</f>
        <v>34.14</v>
      </c>
      <c r="G31" s="500">
        <f>IF('[1]Tasa de Falla'!HX31=0,"",'[1]Tasa de Falla'!HX31)</f>
      </c>
      <c r="H31" s="500">
        <f>IF('[1]Tasa de Falla'!HY31=0,"",'[1]Tasa de Falla'!HY31)</f>
      </c>
      <c r="I31" s="500">
        <f>IF('[1]Tasa de Falla'!HZ31=0,"",'[1]Tasa de Falla'!HZ31)</f>
      </c>
      <c r="J31" s="500">
        <f>IF('[1]Tasa de Falla'!IA31=0,"",'[1]Tasa de Falla'!IA31)</f>
      </c>
      <c r="K31" s="500">
        <f>IF('[1]Tasa de Falla'!IB31=0,"",'[1]Tasa de Falla'!IB31)</f>
      </c>
      <c r="L31" s="500">
        <f>IF('[1]Tasa de Falla'!IC31=0,"",'[1]Tasa de Falla'!IC31)</f>
      </c>
      <c r="M31" s="500">
        <f>IF('[1]Tasa de Falla'!ID31=0,"",'[1]Tasa de Falla'!ID31)</f>
      </c>
      <c r="N31" s="500">
        <f>IF('[1]Tasa de Falla'!IE31=0,"",'[1]Tasa de Falla'!IE31)</f>
      </c>
      <c r="O31" s="500">
        <f>IF('[1]Tasa de Falla'!IF31=0,"",'[1]Tasa de Falla'!IF31)</f>
      </c>
      <c r="P31" s="500">
        <f>IF('[1]Tasa de Falla'!IG31=0,"",'[1]Tasa de Falla'!IG31)</f>
        <v>1</v>
      </c>
      <c r="Q31" s="500">
        <f>IF('[1]Tasa de Falla'!IH31=0,"",'[1]Tasa de Falla'!IH31)</f>
        <v>1</v>
      </c>
      <c r="R31" s="500">
        <f>IF('[1]Tasa de Falla'!II31=0,"",'[1]Tasa de Falla'!II31)</f>
        <v>2</v>
      </c>
      <c r="S31" s="501"/>
      <c r="T31" s="498"/>
    </row>
    <row r="32" spans="2:20" s="492" customFormat="1" ht="19.5" customHeight="1">
      <c r="B32" s="493"/>
      <c r="C32" s="499">
        <f>'[1]Tasa de Falla'!C32</f>
        <v>16</v>
      </c>
      <c r="D32" s="499" t="str">
        <f>'[1]Tasa de Falla'!D32</f>
        <v>INDEPENDENCIA - EL BRACHO 1</v>
      </c>
      <c r="E32" s="499">
        <f>'[1]Tasa de Falla'!E32</f>
        <v>132</v>
      </c>
      <c r="F32" s="499">
        <f>'[1]Tasa de Falla'!F32</f>
        <v>17.1</v>
      </c>
      <c r="G32" s="500">
        <f>IF('[1]Tasa de Falla'!HX32=0,"",'[1]Tasa de Falla'!HX32)</f>
      </c>
      <c r="H32" s="500">
        <f>IF('[1]Tasa de Falla'!HY32=0,"",'[1]Tasa de Falla'!HY32)</f>
      </c>
      <c r="I32" s="500">
        <f>IF('[1]Tasa de Falla'!HZ32=0,"",'[1]Tasa de Falla'!HZ32)</f>
      </c>
      <c r="J32" s="500">
        <f>IF('[1]Tasa de Falla'!IA32=0,"",'[1]Tasa de Falla'!IA32)</f>
      </c>
      <c r="K32" s="500">
        <f>IF('[1]Tasa de Falla'!IB32=0,"",'[1]Tasa de Falla'!IB32)</f>
      </c>
      <c r="L32" s="500">
        <f>IF('[1]Tasa de Falla'!IC32=0,"",'[1]Tasa de Falla'!IC32)</f>
      </c>
      <c r="M32" s="500">
        <f>IF('[1]Tasa de Falla'!ID32=0,"",'[1]Tasa de Falla'!ID32)</f>
      </c>
      <c r="N32" s="500">
        <f>IF('[1]Tasa de Falla'!IE32=0,"",'[1]Tasa de Falla'!IE32)</f>
      </c>
      <c r="O32" s="500">
        <f>IF('[1]Tasa de Falla'!IF32=0,"",'[1]Tasa de Falla'!IF32)</f>
      </c>
      <c r="P32" s="500">
        <f>IF('[1]Tasa de Falla'!IG32=0,"",'[1]Tasa de Falla'!IG32)</f>
      </c>
      <c r="Q32" s="500">
        <f>IF('[1]Tasa de Falla'!IH32=0,"",'[1]Tasa de Falla'!IH32)</f>
      </c>
      <c r="R32" s="500">
        <f>IF('[1]Tasa de Falla'!II32=0,"",'[1]Tasa de Falla'!II32)</f>
      </c>
      <c r="S32" s="501"/>
      <c r="T32" s="498"/>
    </row>
    <row r="33" spans="2:20" s="492" customFormat="1" ht="19.5" customHeight="1">
      <c r="B33" s="493"/>
      <c r="C33" s="499">
        <f>'[1]Tasa de Falla'!C33</f>
        <v>17</v>
      </c>
      <c r="D33" s="499" t="str">
        <f>'[1]Tasa de Falla'!D33</f>
        <v>INDEPENDENCIA - LULES - PAPEL TUCUMAN</v>
      </c>
      <c r="E33" s="499">
        <f>'[1]Tasa de Falla'!E33</f>
        <v>132</v>
      </c>
      <c r="F33" s="499">
        <f>'[1]Tasa de Falla'!F33</f>
        <v>19.3</v>
      </c>
      <c r="G33" s="500">
        <f>IF('[1]Tasa de Falla'!HX33=0,"",'[1]Tasa de Falla'!HX33)</f>
      </c>
      <c r="H33" s="500">
        <f>IF('[1]Tasa de Falla'!HY33=0,"",'[1]Tasa de Falla'!HY33)</f>
      </c>
      <c r="I33" s="500">
        <f>IF('[1]Tasa de Falla'!HZ33=0,"",'[1]Tasa de Falla'!HZ33)</f>
      </c>
      <c r="J33" s="500">
        <f>IF('[1]Tasa de Falla'!IA33=0,"",'[1]Tasa de Falla'!IA33)</f>
      </c>
      <c r="K33" s="500">
        <f>IF('[1]Tasa de Falla'!IB33=0,"",'[1]Tasa de Falla'!IB33)</f>
      </c>
      <c r="L33" s="500">
        <f>IF('[1]Tasa de Falla'!IC33=0,"",'[1]Tasa de Falla'!IC33)</f>
      </c>
      <c r="M33" s="500">
        <f>IF('[1]Tasa de Falla'!ID33=0,"",'[1]Tasa de Falla'!ID33)</f>
      </c>
      <c r="N33" s="500">
        <f>IF('[1]Tasa de Falla'!IE33=0,"",'[1]Tasa de Falla'!IE33)</f>
      </c>
      <c r="O33" s="500">
        <f>IF('[1]Tasa de Falla'!IF33=0,"",'[1]Tasa de Falla'!IF33)</f>
      </c>
      <c r="P33" s="500">
        <f>IF('[1]Tasa de Falla'!IG33=0,"",'[1]Tasa de Falla'!IG33)</f>
        <v>1</v>
      </c>
      <c r="Q33" s="500">
        <f>IF('[1]Tasa de Falla'!IH33=0,"",'[1]Tasa de Falla'!IH33)</f>
      </c>
      <c r="R33" s="500">
        <f>IF('[1]Tasa de Falla'!II33=0,"",'[1]Tasa de Falla'!II33)</f>
        <v>1</v>
      </c>
      <c r="S33" s="501"/>
      <c r="T33" s="498"/>
    </row>
    <row r="34" spans="2:20" s="492" customFormat="1" ht="19.5" customHeight="1">
      <c r="B34" s="493"/>
      <c r="C34" s="499">
        <f>'[1]Tasa de Falla'!C34</f>
        <v>18</v>
      </c>
      <c r="D34" s="499" t="str">
        <f>'[1]Tasa de Falla'!D34</f>
        <v>FRIAS - LA CALERA NOA.</v>
      </c>
      <c r="E34" s="499">
        <f>'[1]Tasa de Falla'!E34</f>
        <v>132</v>
      </c>
      <c r="F34" s="499">
        <f>'[1]Tasa de Falla'!F34</f>
        <v>27.3</v>
      </c>
      <c r="G34" s="500">
        <f>IF('[1]Tasa de Falla'!HX34=0,"",'[1]Tasa de Falla'!HX34)</f>
      </c>
      <c r="H34" s="500">
        <f>IF('[1]Tasa de Falla'!HY34=0,"",'[1]Tasa de Falla'!HY34)</f>
      </c>
      <c r="I34" s="500">
        <f>IF('[1]Tasa de Falla'!HZ34=0,"",'[1]Tasa de Falla'!HZ34)</f>
      </c>
      <c r="J34" s="500">
        <f>IF('[1]Tasa de Falla'!IA34=0,"",'[1]Tasa de Falla'!IA34)</f>
      </c>
      <c r="K34" s="500">
        <f>IF('[1]Tasa de Falla'!IB34=0,"",'[1]Tasa de Falla'!IB34)</f>
      </c>
      <c r="L34" s="500">
        <f>IF('[1]Tasa de Falla'!IC34=0,"",'[1]Tasa de Falla'!IC34)</f>
      </c>
      <c r="M34" s="500">
        <f>IF('[1]Tasa de Falla'!ID34=0,"",'[1]Tasa de Falla'!ID34)</f>
      </c>
      <c r="N34" s="500">
        <f>IF('[1]Tasa de Falla'!IE34=0,"",'[1]Tasa de Falla'!IE34)</f>
      </c>
      <c r="O34" s="500">
        <f>IF('[1]Tasa de Falla'!IF34=0,"",'[1]Tasa de Falla'!IF34)</f>
      </c>
      <c r="P34" s="500">
        <f>IF('[1]Tasa de Falla'!IG34=0,"",'[1]Tasa de Falla'!IG34)</f>
      </c>
      <c r="Q34" s="500">
        <f>IF('[1]Tasa de Falla'!IH34=0,"",'[1]Tasa de Falla'!IH34)</f>
      </c>
      <c r="R34" s="500">
        <f>IF('[1]Tasa de Falla'!II34=0,"",'[1]Tasa de Falla'!II34)</f>
      </c>
      <c r="S34" s="501"/>
      <c r="T34" s="498"/>
    </row>
    <row r="35" spans="2:20" s="492" customFormat="1" ht="19.5" customHeight="1">
      <c r="B35" s="493"/>
      <c r="C35" s="499">
        <f>'[1]Tasa de Falla'!C35</f>
        <v>19</v>
      </c>
      <c r="D35" s="499" t="str">
        <f>'[1]Tasa de Falla'!D35</f>
        <v>LA BANDA - SANTIAGO CENTRO</v>
      </c>
      <c r="E35" s="499">
        <f>'[1]Tasa de Falla'!E35</f>
        <v>132</v>
      </c>
      <c r="F35" s="499">
        <f>'[1]Tasa de Falla'!F35</f>
        <v>10.91</v>
      </c>
      <c r="G35" s="500">
        <f>IF('[1]Tasa de Falla'!HX35=0,"",'[1]Tasa de Falla'!HX35)</f>
      </c>
      <c r="H35" s="500">
        <f>IF('[1]Tasa de Falla'!HY35=0,"",'[1]Tasa de Falla'!HY35)</f>
      </c>
      <c r="I35" s="500">
        <f>IF('[1]Tasa de Falla'!HZ35=0,"",'[1]Tasa de Falla'!HZ35)</f>
      </c>
      <c r="J35" s="500">
        <f>IF('[1]Tasa de Falla'!IA35=0,"",'[1]Tasa de Falla'!IA35)</f>
      </c>
      <c r="K35" s="500">
        <f>IF('[1]Tasa de Falla'!IB35=0,"",'[1]Tasa de Falla'!IB35)</f>
      </c>
      <c r="L35" s="500">
        <f>IF('[1]Tasa de Falla'!IC35=0,"",'[1]Tasa de Falla'!IC35)</f>
      </c>
      <c r="M35" s="500">
        <f>IF('[1]Tasa de Falla'!ID35=0,"",'[1]Tasa de Falla'!ID35)</f>
        <v>1</v>
      </c>
      <c r="N35" s="500">
        <f>IF('[1]Tasa de Falla'!IE35=0,"",'[1]Tasa de Falla'!IE35)</f>
      </c>
      <c r="O35" s="500">
        <f>IF('[1]Tasa de Falla'!IF35=0,"",'[1]Tasa de Falla'!IF35)</f>
      </c>
      <c r="P35" s="500">
        <f>IF('[1]Tasa de Falla'!IG35=0,"",'[1]Tasa de Falla'!IG35)</f>
      </c>
      <c r="Q35" s="500">
        <f>IF('[1]Tasa de Falla'!IH35=0,"",'[1]Tasa de Falla'!IH35)</f>
      </c>
      <c r="R35" s="500">
        <f>IF('[1]Tasa de Falla'!II35=0,"",'[1]Tasa de Falla'!II35)</f>
      </c>
      <c r="S35" s="501"/>
      <c r="T35" s="498"/>
    </row>
    <row r="36" spans="2:20" s="492" customFormat="1" ht="19.5" customHeight="1">
      <c r="B36" s="493"/>
      <c r="C36" s="499">
        <f>'[1]Tasa de Falla'!C36</f>
        <v>20</v>
      </c>
      <c r="D36" s="499" t="str">
        <f>'[1]Tasa de Falla'!D36</f>
        <v>LIBERTADOR NOA. - PICHANAL</v>
      </c>
      <c r="E36" s="499">
        <f>'[1]Tasa de Falla'!E36</f>
        <v>132</v>
      </c>
      <c r="F36" s="499">
        <f>'[1]Tasa de Falla'!F36</f>
        <v>76</v>
      </c>
      <c r="G36" s="500">
        <f>IF('[1]Tasa de Falla'!HX36=0,"",'[1]Tasa de Falla'!HX36)</f>
        <v>1</v>
      </c>
      <c r="H36" s="500">
        <f>IF('[1]Tasa de Falla'!HY36=0,"",'[1]Tasa de Falla'!HY36)</f>
        <v>1</v>
      </c>
      <c r="I36" s="500">
        <f>IF('[1]Tasa de Falla'!HZ36=0,"",'[1]Tasa de Falla'!HZ36)</f>
      </c>
      <c r="J36" s="500">
        <f>IF('[1]Tasa de Falla'!IA36=0,"",'[1]Tasa de Falla'!IA36)</f>
        <v>2</v>
      </c>
      <c r="K36" s="500">
        <f>IF('[1]Tasa de Falla'!IB36=0,"",'[1]Tasa de Falla'!IB36)</f>
      </c>
      <c r="L36" s="500">
        <f>IF('[1]Tasa de Falla'!IC36=0,"",'[1]Tasa de Falla'!IC36)</f>
        <v>2</v>
      </c>
      <c r="M36" s="500">
        <f>IF('[1]Tasa de Falla'!ID36=0,"",'[1]Tasa de Falla'!ID36)</f>
        <v>1</v>
      </c>
      <c r="N36" s="500">
        <f>IF('[1]Tasa de Falla'!IE36=0,"",'[1]Tasa de Falla'!IE36)</f>
        <v>3</v>
      </c>
      <c r="O36" s="500">
        <f>IF('[1]Tasa de Falla'!IF36=0,"",'[1]Tasa de Falla'!IF36)</f>
        <v>1</v>
      </c>
      <c r="P36" s="500">
        <f>IF('[1]Tasa de Falla'!IG36=0,"",'[1]Tasa de Falla'!IG36)</f>
        <v>4</v>
      </c>
      <c r="Q36" s="500">
        <f>IF('[1]Tasa de Falla'!IH36=0,"",'[1]Tasa de Falla'!IH36)</f>
      </c>
      <c r="R36" s="500">
        <f>IF('[1]Tasa de Falla'!II36=0,"",'[1]Tasa de Falla'!II36)</f>
      </c>
      <c r="S36" s="501"/>
      <c r="T36" s="498"/>
    </row>
    <row r="37" spans="2:20" s="492" customFormat="1" ht="19.5" customHeight="1">
      <c r="B37" s="493"/>
      <c r="C37" s="499">
        <f>'[1]Tasa de Falla'!C37</f>
        <v>21</v>
      </c>
      <c r="D37" s="499" t="str">
        <f>'[1]Tasa de Falla'!D37</f>
        <v>GÜEMES - METAN</v>
      </c>
      <c r="E37" s="499">
        <f>'[1]Tasa de Falla'!E37</f>
        <v>132</v>
      </c>
      <c r="F37" s="499">
        <f>'[1]Tasa de Falla'!F37</f>
        <v>97.13</v>
      </c>
      <c r="G37" s="500" t="str">
        <f>IF('[1]Tasa de Falla'!HX37=0,"",'[1]Tasa de Falla'!HX37)</f>
        <v>XXXX</v>
      </c>
      <c r="H37" s="500" t="str">
        <f>IF('[1]Tasa de Falla'!HY37=0,"",'[1]Tasa de Falla'!HY37)</f>
        <v>XXXX</v>
      </c>
      <c r="I37" s="500" t="str">
        <f>IF('[1]Tasa de Falla'!HZ37=0,"",'[1]Tasa de Falla'!HZ37)</f>
        <v>XXXX</v>
      </c>
      <c r="J37" s="500" t="str">
        <f>IF('[1]Tasa de Falla'!IA37=0,"",'[1]Tasa de Falla'!IA37)</f>
        <v>XXXX</v>
      </c>
      <c r="K37" s="500" t="str">
        <f>IF('[1]Tasa de Falla'!IB37=0,"",'[1]Tasa de Falla'!IB37)</f>
        <v>XXXX</v>
      </c>
      <c r="L37" s="500" t="str">
        <f>IF('[1]Tasa de Falla'!IC37=0,"",'[1]Tasa de Falla'!IC37)</f>
        <v>XXXX</v>
      </c>
      <c r="M37" s="500" t="str">
        <f>IF('[1]Tasa de Falla'!ID37=0,"",'[1]Tasa de Falla'!ID37)</f>
        <v>XXXX</v>
      </c>
      <c r="N37" s="500" t="str">
        <f>IF('[1]Tasa de Falla'!IE37=0,"",'[1]Tasa de Falla'!IE37)</f>
        <v>XXXX</v>
      </c>
      <c r="O37" s="500" t="str">
        <f>IF('[1]Tasa de Falla'!IF37=0,"",'[1]Tasa de Falla'!IF37)</f>
        <v>XXXX</v>
      </c>
      <c r="P37" s="500" t="str">
        <f>IF('[1]Tasa de Falla'!IG37=0,"",'[1]Tasa de Falla'!IG37)</f>
        <v>XXXX</v>
      </c>
      <c r="Q37" s="500" t="str">
        <f>IF('[1]Tasa de Falla'!IH37=0,"",'[1]Tasa de Falla'!IH37)</f>
        <v>XXXX</v>
      </c>
      <c r="R37" s="500" t="str">
        <f>IF('[1]Tasa de Falla'!II37=0,"",'[1]Tasa de Falla'!II37)</f>
        <v>XXXX</v>
      </c>
      <c r="S37" s="501"/>
      <c r="T37" s="498"/>
    </row>
    <row r="38" spans="2:20" s="492" customFormat="1" ht="19.5" customHeight="1">
      <c r="B38" s="493"/>
      <c r="C38" s="499">
        <f>'[1]Tasa de Falla'!C38</f>
        <v>22</v>
      </c>
      <c r="D38" s="499" t="str">
        <f>'[1]Tasa de Falla'!D38</f>
        <v>MINETTI - SAN JUANCITO</v>
      </c>
      <c r="E38" s="499">
        <f>'[1]Tasa de Falla'!E38</f>
        <v>132</v>
      </c>
      <c r="F38" s="499">
        <f>'[1]Tasa de Falla'!F38</f>
        <v>26</v>
      </c>
      <c r="G38" s="500">
        <f>IF('[1]Tasa de Falla'!HX38=0,"",'[1]Tasa de Falla'!HX38)</f>
        <v>1</v>
      </c>
      <c r="H38" s="500">
        <f>IF('[1]Tasa de Falla'!HY38=0,"",'[1]Tasa de Falla'!HY38)</f>
      </c>
      <c r="I38" s="500">
        <f>IF('[1]Tasa de Falla'!HZ38=0,"",'[1]Tasa de Falla'!HZ38)</f>
      </c>
      <c r="J38" s="500">
        <f>IF('[1]Tasa de Falla'!IA38=0,"",'[1]Tasa de Falla'!IA38)</f>
      </c>
      <c r="K38" s="500">
        <f>IF('[1]Tasa de Falla'!IB38=0,"",'[1]Tasa de Falla'!IB38)</f>
      </c>
      <c r="L38" s="500">
        <f>IF('[1]Tasa de Falla'!IC38=0,"",'[1]Tasa de Falla'!IC38)</f>
        <v>2</v>
      </c>
      <c r="M38" s="500">
        <f>IF('[1]Tasa de Falla'!ID38=0,"",'[1]Tasa de Falla'!ID38)</f>
      </c>
      <c r="N38" s="500">
        <f>IF('[1]Tasa de Falla'!IE38=0,"",'[1]Tasa de Falla'!IE38)</f>
      </c>
      <c r="O38" s="500">
        <f>IF('[1]Tasa de Falla'!IF38=0,"",'[1]Tasa de Falla'!IF38)</f>
      </c>
      <c r="P38" s="500">
        <f>IF('[1]Tasa de Falla'!IG38=0,"",'[1]Tasa de Falla'!IG38)</f>
        <v>2</v>
      </c>
      <c r="Q38" s="500">
        <f>IF('[1]Tasa de Falla'!IH38=0,"",'[1]Tasa de Falla'!IH38)</f>
        <v>4</v>
      </c>
      <c r="R38" s="500">
        <f>IF('[1]Tasa de Falla'!II38=0,"",'[1]Tasa de Falla'!II38)</f>
      </c>
      <c r="S38" s="501"/>
      <c r="T38" s="498"/>
    </row>
    <row r="39" spans="2:20" s="492" customFormat="1" ht="18">
      <c r="B39" s="493"/>
      <c r="C39" s="499">
        <f>'[1]Tasa de Falla'!C39</f>
        <v>23</v>
      </c>
      <c r="D39" s="499" t="str">
        <f>'[1]Tasa de Falla'!D39</f>
        <v>PALPALA - JUJUY SUR</v>
      </c>
      <c r="E39" s="499">
        <f>'[1]Tasa de Falla'!E39</f>
        <v>132</v>
      </c>
      <c r="F39" s="499">
        <f>'[1]Tasa de Falla'!F39</f>
        <v>14</v>
      </c>
      <c r="G39" s="500" t="str">
        <f>IF('[1]Tasa de Falla'!HX39=0,"",'[1]Tasa de Falla'!HX39)</f>
        <v>XXXX</v>
      </c>
      <c r="H39" s="500" t="str">
        <f>IF('[1]Tasa de Falla'!HY39=0,"",'[1]Tasa de Falla'!HY39)</f>
        <v>XXXX</v>
      </c>
      <c r="I39" s="500" t="str">
        <f>IF('[1]Tasa de Falla'!HZ39=0,"",'[1]Tasa de Falla'!HZ39)</f>
        <v>XXXX</v>
      </c>
      <c r="J39" s="500" t="str">
        <f>IF('[1]Tasa de Falla'!IA39=0,"",'[1]Tasa de Falla'!IA39)</f>
        <v>XXXX</v>
      </c>
      <c r="K39" s="500" t="str">
        <f>IF('[1]Tasa de Falla'!IB39=0,"",'[1]Tasa de Falla'!IB39)</f>
        <v>XXXX</v>
      </c>
      <c r="L39" s="500" t="str">
        <f>IF('[1]Tasa de Falla'!IC39=0,"",'[1]Tasa de Falla'!IC39)</f>
        <v>XXXX</v>
      </c>
      <c r="M39" s="500" t="str">
        <f>IF('[1]Tasa de Falla'!ID39=0,"",'[1]Tasa de Falla'!ID39)</f>
        <v>XXXX</v>
      </c>
      <c r="N39" s="500" t="str">
        <f>IF('[1]Tasa de Falla'!IE39=0,"",'[1]Tasa de Falla'!IE39)</f>
        <v>XXXX</v>
      </c>
      <c r="O39" s="500" t="str">
        <f>IF('[1]Tasa de Falla'!IF39=0,"",'[1]Tasa de Falla'!IF39)</f>
        <v>XXXX</v>
      </c>
      <c r="P39" s="500" t="str">
        <f>IF('[1]Tasa de Falla'!IG39=0,"",'[1]Tasa de Falla'!IG39)</f>
        <v>XXXX</v>
      </c>
      <c r="Q39" s="500" t="str">
        <f>IF('[1]Tasa de Falla'!IH39=0,"",'[1]Tasa de Falla'!IH39)</f>
        <v>XXXX</v>
      </c>
      <c r="R39" s="500" t="str">
        <f>IF('[1]Tasa de Falla'!II39=0,"",'[1]Tasa de Falla'!II39)</f>
        <v>XXXX</v>
      </c>
      <c r="S39" s="501"/>
      <c r="T39" s="498"/>
    </row>
    <row r="40" spans="2:20" s="492" customFormat="1" ht="19.5" customHeight="1">
      <c r="B40" s="493"/>
      <c r="C40" s="499">
        <f>'[1]Tasa de Falla'!C40</f>
        <v>24</v>
      </c>
      <c r="D40" s="499" t="str">
        <f>'[1]Tasa de Falla'!D40</f>
        <v>ORAN - PICHANAL</v>
      </c>
      <c r="E40" s="499">
        <f>'[1]Tasa de Falla'!E40</f>
        <v>132</v>
      </c>
      <c r="F40" s="499">
        <f>'[1]Tasa de Falla'!F40</f>
        <v>17</v>
      </c>
      <c r="G40" s="500" t="str">
        <f>IF('[1]Tasa de Falla'!HX40=0,"",'[1]Tasa de Falla'!HX40)</f>
        <v>XXXX</v>
      </c>
      <c r="H40" s="500" t="str">
        <f>IF('[1]Tasa de Falla'!HY40=0,"",'[1]Tasa de Falla'!HY40)</f>
        <v>XXXX</v>
      </c>
      <c r="I40" s="500" t="str">
        <f>IF('[1]Tasa de Falla'!HZ40=0,"",'[1]Tasa de Falla'!HZ40)</f>
        <v>XXXX</v>
      </c>
      <c r="J40" s="500" t="str">
        <f>IF('[1]Tasa de Falla'!IA40=0,"",'[1]Tasa de Falla'!IA40)</f>
        <v>XXXX</v>
      </c>
      <c r="K40" s="500" t="str">
        <f>IF('[1]Tasa de Falla'!IB40=0,"",'[1]Tasa de Falla'!IB40)</f>
        <v>XXXX</v>
      </c>
      <c r="L40" s="500" t="str">
        <f>IF('[1]Tasa de Falla'!IC40=0,"",'[1]Tasa de Falla'!IC40)</f>
        <v>XXXX</v>
      </c>
      <c r="M40" s="500" t="str">
        <f>IF('[1]Tasa de Falla'!ID40=0,"",'[1]Tasa de Falla'!ID40)</f>
        <v>XXXX</v>
      </c>
      <c r="N40" s="500" t="str">
        <f>IF('[1]Tasa de Falla'!IE40=0,"",'[1]Tasa de Falla'!IE40)</f>
        <v>XXXX</v>
      </c>
      <c r="O40" s="500" t="str">
        <f>IF('[1]Tasa de Falla'!IF40=0,"",'[1]Tasa de Falla'!IF40)</f>
        <v>XXXX</v>
      </c>
      <c r="P40" s="500" t="str">
        <f>IF('[1]Tasa de Falla'!IG40=0,"",'[1]Tasa de Falla'!IG40)</f>
        <v>XXXX</v>
      </c>
      <c r="Q40" s="500" t="str">
        <f>IF('[1]Tasa de Falla'!IH40=0,"",'[1]Tasa de Falla'!IH40)</f>
        <v>XXXX</v>
      </c>
      <c r="R40" s="500" t="str">
        <f>IF('[1]Tasa de Falla'!II40=0,"",'[1]Tasa de Falla'!II40)</f>
        <v>XXXX</v>
      </c>
      <c r="S40" s="501"/>
      <c r="T40" s="498"/>
    </row>
    <row r="41" spans="2:20" s="492" customFormat="1" ht="19.5" customHeight="1">
      <c r="B41" s="493"/>
      <c r="C41" s="499">
        <f>'[1]Tasa de Falla'!C41</f>
        <v>25</v>
      </c>
      <c r="D41" s="499" t="str">
        <f>'[1]Tasa de Falla'!D41</f>
        <v>PICHANAL - TARTAGAL</v>
      </c>
      <c r="E41" s="499">
        <f>'[1]Tasa de Falla'!E41</f>
        <v>132</v>
      </c>
      <c r="F41" s="499">
        <f>'[1]Tasa de Falla'!F41</f>
        <v>105</v>
      </c>
      <c r="G41" s="500">
        <f>IF('[1]Tasa de Falla'!HX41=0,"",'[1]Tasa de Falla'!HX41)</f>
      </c>
      <c r="H41" s="500">
        <f>IF('[1]Tasa de Falla'!HY41=0,"",'[1]Tasa de Falla'!HY41)</f>
      </c>
      <c r="I41" s="500">
        <f>IF('[1]Tasa de Falla'!HZ41=0,"",'[1]Tasa de Falla'!HZ41)</f>
      </c>
      <c r="J41" s="500">
        <f>IF('[1]Tasa de Falla'!IA41=0,"",'[1]Tasa de Falla'!IA41)</f>
      </c>
      <c r="K41" s="500">
        <f>IF('[1]Tasa de Falla'!IB41=0,"",'[1]Tasa de Falla'!IB41)</f>
      </c>
      <c r="L41" s="500">
        <f>IF('[1]Tasa de Falla'!IC41=0,"",'[1]Tasa de Falla'!IC41)</f>
      </c>
      <c r="M41" s="500">
        <f>IF('[1]Tasa de Falla'!ID41=0,"",'[1]Tasa de Falla'!ID41)</f>
      </c>
      <c r="N41" s="500">
        <f>IF('[1]Tasa de Falla'!IE41=0,"",'[1]Tasa de Falla'!IE41)</f>
      </c>
      <c r="O41" s="500">
        <f>IF('[1]Tasa de Falla'!IF41=0,"",'[1]Tasa de Falla'!IF41)</f>
      </c>
      <c r="P41" s="500">
        <f>IF('[1]Tasa de Falla'!IG41=0,"",'[1]Tasa de Falla'!IG41)</f>
      </c>
      <c r="Q41" s="500">
        <f>IF('[1]Tasa de Falla'!IH41=0,"",'[1]Tasa de Falla'!IH41)</f>
      </c>
      <c r="R41" s="500">
        <f>IF('[1]Tasa de Falla'!II41=0,"",'[1]Tasa de Falla'!II41)</f>
      </c>
      <c r="S41" s="501"/>
      <c r="T41" s="498"/>
    </row>
    <row r="42" spans="2:20" s="492" customFormat="1" ht="19.5" customHeight="1">
      <c r="B42" s="493"/>
      <c r="C42" s="499">
        <f>'[1]Tasa de Falla'!C42</f>
        <v>26</v>
      </c>
      <c r="D42" s="499" t="str">
        <f>'[1]Tasa de Falla'!D42</f>
        <v>C.H. RIO HONDO - LA BANDA</v>
      </c>
      <c r="E42" s="499">
        <f>'[1]Tasa de Falla'!E42</f>
        <v>132</v>
      </c>
      <c r="F42" s="499">
        <f>'[1]Tasa de Falla'!F42</f>
        <v>76.5</v>
      </c>
      <c r="G42" s="500">
        <f>IF('[1]Tasa de Falla'!HX42=0,"",'[1]Tasa de Falla'!HX42)</f>
      </c>
      <c r="H42" s="500">
        <f>IF('[1]Tasa de Falla'!HY42=0,"",'[1]Tasa de Falla'!HY42)</f>
      </c>
      <c r="I42" s="500">
        <f>IF('[1]Tasa de Falla'!HZ42=0,"",'[1]Tasa de Falla'!HZ42)</f>
      </c>
      <c r="J42" s="500">
        <f>IF('[1]Tasa de Falla'!IA42=0,"",'[1]Tasa de Falla'!IA42)</f>
      </c>
      <c r="K42" s="500">
        <f>IF('[1]Tasa de Falla'!IB42=0,"",'[1]Tasa de Falla'!IB42)</f>
      </c>
      <c r="L42" s="500">
        <f>IF('[1]Tasa de Falla'!IC42=0,"",'[1]Tasa de Falla'!IC42)</f>
      </c>
      <c r="M42" s="500">
        <f>IF('[1]Tasa de Falla'!ID42=0,"",'[1]Tasa de Falla'!ID42)</f>
      </c>
      <c r="N42" s="500">
        <f>IF('[1]Tasa de Falla'!IE42=0,"",'[1]Tasa de Falla'!IE42)</f>
      </c>
      <c r="O42" s="500">
        <f>IF('[1]Tasa de Falla'!IF42=0,"",'[1]Tasa de Falla'!IF42)</f>
        <v>1</v>
      </c>
      <c r="P42" s="500">
        <f>IF('[1]Tasa de Falla'!IG42=0,"",'[1]Tasa de Falla'!IG42)</f>
      </c>
      <c r="Q42" s="500">
        <f>IF('[1]Tasa de Falla'!IH42=0,"",'[1]Tasa de Falla'!IH42)</f>
        <v>1</v>
      </c>
      <c r="R42" s="500">
        <f>IF('[1]Tasa de Falla'!II42=0,"",'[1]Tasa de Falla'!II42)</f>
      </c>
      <c r="S42" s="501"/>
      <c r="T42" s="498"/>
    </row>
    <row r="43" spans="2:20" s="492" customFormat="1" ht="18">
      <c r="B43" s="493"/>
      <c r="C43" s="499">
        <f>'[1]Tasa de Falla'!C43</f>
        <v>27</v>
      </c>
      <c r="D43" s="499" t="str">
        <f>'[1]Tasa de Falla'!D43</f>
        <v>LA RIOJA - RECREO  2</v>
      </c>
      <c r="E43" s="499">
        <f>'[1]Tasa de Falla'!E43</f>
        <v>132</v>
      </c>
      <c r="F43" s="499">
        <f>'[1]Tasa de Falla'!F43</f>
        <v>220</v>
      </c>
      <c r="G43" s="500" t="str">
        <f>IF('[1]Tasa de Falla'!HX43=0,"",'[1]Tasa de Falla'!HX43)</f>
        <v>XXXX</v>
      </c>
      <c r="H43" s="500" t="str">
        <f>IF('[1]Tasa de Falla'!HY43=0,"",'[1]Tasa de Falla'!HY43)</f>
        <v>XXXX</v>
      </c>
      <c r="I43" s="500" t="str">
        <f>IF('[1]Tasa de Falla'!HZ43=0,"",'[1]Tasa de Falla'!HZ43)</f>
        <v>XXXX</v>
      </c>
      <c r="J43" s="500" t="str">
        <f>IF('[1]Tasa de Falla'!IA43=0,"",'[1]Tasa de Falla'!IA43)</f>
        <v>XXXX</v>
      </c>
      <c r="K43" s="500" t="str">
        <f>IF('[1]Tasa de Falla'!IB43=0,"",'[1]Tasa de Falla'!IB43)</f>
        <v>XXXX</v>
      </c>
      <c r="L43" s="500" t="str">
        <f>IF('[1]Tasa de Falla'!IC43=0,"",'[1]Tasa de Falla'!IC43)</f>
        <v>XXXX</v>
      </c>
      <c r="M43" s="500" t="str">
        <f>IF('[1]Tasa de Falla'!ID43=0,"",'[1]Tasa de Falla'!ID43)</f>
        <v>XXXX</v>
      </c>
      <c r="N43" s="500" t="str">
        <f>IF('[1]Tasa de Falla'!IE43=0,"",'[1]Tasa de Falla'!IE43)</f>
        <v>XXXX</v>
      </c>
      <c r="O43" s="500" t="str">
        <f>IF('[1]Tasa de Falla'!IF43=0,"",'[1]Tasa de Falla'!IF43)</f>
        <v>XXXX</v>
      </c>
      <c r="P43" s="500" t="str">
        <f>IF('[1]Tasa de Falla'!IG43=0,"",'[1]Tasa de Falla'!IG43)</f>
        <v>XXXX</v>
      </c>
      <c r="Q43" s="500" t="str">
        <f>IF('[1]Tasa de Falla'!IH43=0,"",'[1]Tasa de Falla'!IH43)</f>
        <v>XXXX</v>
      </c>
      <c r="R43" s="500" t="str">
        <f>IF('[1]Tasa de Falla'!II43=0,"",'[1]Tasa de Falla'!II43)</f>
        <v>XXXX</v>
      </c>
      <c r="S43" s="501"/>
      <c r="T43" s="498"/>
    </row>
    <row r="44" spans="2:20" s="492" customFormat="1" ht="19.5" customHeight="1">
      <c r="B44" s="493"/>
      <c r="C44" s="499">
        <f>'[1]Tasa de Falla'!C44</f>
        <v>28</v>
      </c>
      <c r="D44" s="499" t="str">
        <f>'[1]Tasa de Falla'!D44</f>
        <v>CAMPO SANTO - SALTA SUR</v>
      </c>
      <c r="E44" s="499">
        <f>'[1]Tasa de Falla'!E44</f>
        <v>132</v>
      </c>
      <c r="F44" s="499">
        <f>'[1]Tasa de Falla'!F44</f>
        <v>40.92</v>
      </c>
      <c r="G44" s="500" t="str">
        <f>IF('[1]Tasa de Falla'!HX44=0,"",'[1]Tasa de Falla'!HX44)</f>
        <v>XXXX</v>
      </c>
      <c r="H44" s="500" t="str">
        <f>IF('[1]Tasa de Falla'!HY44=0,"",'[1]Tasa de Falla'!HY44)</f>
        <v>XXXX</v>
      </c>
      <c r="I44" s="500" t="str">
        <f>IF('[1]Tasa de Falla'!HZ44=0,"",'[1]Tasa de Falla'!HZ44)</f>
        <v>XXXX</v>
      </c>
      <c r="J44" s="500" t="str">
        <f>IF('[1]Tasa de Falla'!IA44=0,"",'[1]Tasa de Falla'!IA44)</f>
        <v>XXXX</v>
      </c>
      <c r="K44" s="500" t="str">
        <f>IF('[1]Tasa de Falla'!IB44=0,"",'[1]Tasa de Falla'!IB44)</f>
        <v>XXXX</v>
      </c>
      <c r="L44" s="500" t="str">
        <f>IF('[1]Tasa de Falla'!IC44=0,"",'[1]Tasa de Falla'!IC44)</f>
        <v>XXXX</v>
      </c>
      <c r="M44" s="500" t="str">
        <f>IF('[1]Tasa de Falla'!ID44=0,"",'[1]Tasa de Falla'!ID44)</f>
        <v>XXXX</v>
      </c>
      <c r="N44" s="500" t="str">
        <f>IF('[1]Tasa de Falla'!IE44=0,"",'[1]Tasa de Falla'!IE44)</f>
        <v>XXXX</v>
      </c>
      <c r="O44" s="500" t="str">
        <f>IF('[1]Tasa de Falla'!IF44=0,"",'[1]Tasa de Falla'!IF44)</f>
        <v>XXXX</v>
      </c>
      <c r="P44" s="500" t="str">
        <f>IF('[1]Tasa de Falla'!IG44=0,"",'[1]Tasa de Falla'!IG44)</f>
        <v>XXXX</v>
      </c>
      <c r="Q44" s="500" t="str">
        <f>IF('[1]Tasa de Falla'!IH44=0,"",'[1]Tasa de Falla'!IH44)</f>
        <v>XXXX</v>
      </c>
      <c r="R44" s="500" t="str">
        <f>IF('[1]Tasa de Falla'!II44=0,"",'[1]Tasa de Falla'!II44)</f>
        <v>XXXX</v>
      </c>
      <c r="S44" s="501"/>
      <c r="T44" s="498"/>
    </row>
    <row r="45" spans="2:20" s="492" customFormat="1" ht="19.5" customHeight="1">
      <c r="B45" s="493"/>
      <c r="C45" s="499">
        <f>'[1]Tasa de Falla'!C45</f>
        <v>29</v>
      </c>
      <c r="D45" s="499" t="str">
        <f>'[1]Tasa de Falla'!D45</f>
        <v>PALPALA - SAN JUANCITO</v>
      </c>
      <c r="E45" s="499">
        <f>'[1]Tasa de Falla'!E45</f>
        <v>132</v>
      </c>
      <c r="F45" s="499">
        <f>'[1]Tasa de Falla'!F45</f>
        <v>23.9</v>
      </c>
      <c r="G45" s="500">
        <f>IF('[1]Tasa de Falla'!HX45=0,"",'[1]Tasa de Falla'!HX45)</f>
      </c>
      <c r="H45" s="500">
        <f>IF('[1]Tasa de Falla'!HY45=0,"",'[1]Tasa de Falla'!HY45)</f>
      </c>
      <c r="I45" s="500">
        <f>IF('[1]Tasa de Falla'!HZ45=0,"",'[1]Tasa de Falla'!HZ45)</f>
      </c>
      <c r="J45" s="500">
        <f>IF('[1]Tasa de Falla'!IA45=0,"",'[1]Tasa de Falla'!IA45)</f>
      </c>
      <c r="K45" s="500">
        <f>IF('[1]Tasa de Falla'!IB45=0,"",'[1]Tasa de Falla'!IB45)</f>
      </c>
      <c r="L45" s="500">
        <f>IF('[1]Tasa de Falla'!IC45=0,"",'[1]Tasa de Falla'!IC45)</f>
      </c>
      <c r="M45" s="500">
        <f>IF('[1]Tasa de Falla'!ID45=0,"",'[1]Tasa de Falla'!ID45)</f>
        <v>1</v>
      </c>
      <c r="N45" s="500">
        <f>IF('[1]Tasa de Falla'!IE45=0,"",'[1]Tasa de Falla'!IE45)</f>
      </c>
      <c r="O45" s="500">
        <f>IF('[1]Tasa de Falla'!IF45=0,"",'[1]Tasa de Falla'!IF45)</f>
        <v>1</v>
      </c>
      <c r="P45" s="500">
        <f>IF('[1]Tasa de Falla'!IG45=0,"",'[1]Tasa de Falla'!IG45)</f>
      </c>
      <c r="Q45" s="500">
        <f>IF('[1]Tasa de Falla'!IH45=0,"",'[1]Tasa de Falla'!IH45)</f>
        <v>2</v>
      </c>
      <c r="R45" s="500">
        <f>IF('[1]Tasa de Falla'!II45=0,"",'[1]Tasa de Falla'!II45)</f>
        <v>2</v>
      </c>
      <c r="S45" s="501"/>
      <c r="T45" s="498"/>
    </row>
    <row r="46" spans="2:20" s="492" customFormat="1" ht="19.5" customHeight="1">
      <c r="B46" s="493"/>
      <c r="C46" s="499">
        <f>'[1]Tasa de Falla'!C46</f>
        <v>30</v>
      </c>
      <c r="D46" s="499" t="str">
        <f>'[1]Tasa de Falla'!D46</f>
        <v>SAN JUANCITO - SAN PEDRO JUJUY</v>
      </c>
      <c r="E46" s="499">
        <f>'[1]Tasa de Falla'!E46</f>
        <v>132</v>
      </c>
      <c r="F46" s="499">
        <f>'[1]Tasa de Falla'!F46</f>
        <v>27</v>
      </c>
      <c r="G46" s="500">
        <f>IF('[1]Tasa de Falla'!HX46=0,"",'[1]Tasa de Falla'!HX46)</f>
        <v>2</v>
      </c>
      <c r="H46" s="500">
        <f>IF('[1]Tasa de Falla'!HY46=0,"",'[1]Tasa de Falla'!HY46)</f>
      </c>
      <c r="I46" s="500">
        <f>IF('[1]Tasa de Falla'!HZ46=0,"",'[1]Tasa de Falla'!HZ46)</f>
      </c>
      <c r="J46" s="500">
        <f>IF('[1]Tasa de Falla'!IA46=0,"",'[1]Tasa de Falla'!IA46)</f>
      </c>
      <c r="K46" s="500">
        <f>IF('[1]Tasa de Falla'!IB46=0,"",'[1]Tasa de Falla'!IB46)</f>
      </c>
      <c r="L46" s="500">
        <f>IF('[1]Tasa de Falla'!IC46=0,"",'[1]Tasa de Falla'!IC46)</f>
      </c>
      <c r="M46" s="500">
        <f>IF('[1]Tasa de Falla'!ID46=0,"",'[1]Tasa de Falla'!ID46)</f>
      </c>
      <c r="N46" s="500">
        <f>IF('[1]Tasa de Falla'!IE46=0,"",'[1]Tasa de Falla'!IE46)</f>
      </c>
      <c r="O46" s="500">
        <f>IF('[1]Tasa de Falla'!IF46=0,"",'[1]Tasa de Falla'!IF46)</f>
      </c>
      <c r="P46" s="500">
        <f>IF('[1]Tasa de Falla'!IG46=0,"",'[1]Tasa de Falla'!IG46)</f>
      </c>
      <c r="Q46" s="500">
        <f>IF('[1]Tasa de Falla'!IH46=0,"",'[1]Tasa de Falla'!IH46)</f>
      </c>
      <c r="R46" s="500">
        <f>IF('[1]Tasa de Falla'!II46=0,"",'[1]Tasa de Falla'!II46)</f>
      </c>
      <c r="S46" s="501"/>
      <c r="T46" s="498"/>
    </row>
    <row r="47" spans="2:20" s="492" customFormat="1" ht="18">
      <c r="B47" s="493"/>
      <c r="C47" s="499">
        <f>'[1]Tasa de Falla'!C47</f>
        <v>31</v>
      </c>
      <c r="D47" s="499" t="str">
        <f>'[1]Tasa de Falla'!D47</f>
        <v>SAN MARTIN - CATAMARCA</v>
      </c>
      <c r="E47" s="499">
        <f>'[1]Tasa de Falla'!E47</f>
        <v>132</v>
      </c>
      <c r="F47" s="499">
        <f>'[1]Tasa de Falla'!F47</f>
        <v>88</v>
      </c>
      <c r="G47" s="500" t="str">
        <f>IF('[1]Tasa de Falla'!HX47=0,"",'[1]Tasa de Falla'!HX47)</f>
        <v>XXXX</v>
      </c>
      <c r="H47" s="500" t="str">
        <f>IF('[1]Tasa de Falla'!HY47=0,"",'[1]Tasa de Falla'!HY47)</f>
        <v>XXXX</v>
      </c>
      <c r="I47" s="500" t="str">
        <f>IF('[1]Tasa de Falla'!HZ47=0,"",'[1]Tasa de Falla'!HZ47)</f>
        <v>XXXX</v>
      </c>
      <c r="J47" s="500" t="str">
        <f>IF('[1]Tasa de Falla'!IA47=0,"",'[1]Tasa de Falla'!IA47)</f>
        <v>XXXX</v>
      </c>
      <c r="K47" s="500" t="str">
        <f>IF('[1]Tasa de Falla'!IB47=0,"",'[1]Tasa de Falla'!IB47)</f>
        <v>XXXX</v>
      </c>
      <c r="L47" s="500" t="str">
        <f>IF('[1]Tasa de Falla'!IC47=0,"",'[1]Tasa de Falla'!IC47)</f>
        <v>XXXX</v>
      </c>
      <c r="M47" s="500" t="str">
        <f>IF('[1]Tasa de Falla'!ID47=0,"",'[1]Tasa de Falla'!ID47)</f>
        <v>XXXX</v>
      </c>
      <c r="N47" s="500" t="str">
        <f>IF('[1]Tasa de Falla'!IE47=0,"",'[1]Tasa de Falla'!IE47)</f>
        <v>XXXX</v>
      </c>
      <c r="O47" s="500" t="str">
        <f>IF('[1]Tasa de Falla'!IF47=0,"",'[1]Tasa de Falla'!IF47)</f>
        <v>XXXX</v>
      </c>
      <c r="P47" s="500" t="str">
        <f>IF('[1]Tasa de Falla'!IG47=0,"",'[1]Tasa de Falla'!IG47)</f>
        <v>XXXX</v>
      </c>
      <c r="Q47" s="500" t="str">
        <f>IF('[1]Tasa de Falla'!IH47=0,"",'[1]Tasa de Falla'!IH47)</f>
        <v>XXXX</v>
      </c>
      <c r="R47" s="500" t="str">
        <f>IF('[1]Tasa de Falla'!II47=0,"",'[1]Tasa de Falla'!II47)</f>
        <v>XXXX</v>
      </c>
      <c r="S47" s="501"/>
      <c r="T47" s="498"/>
    </row>
    <row r="48" spans="2:20" s="492" customFormat="1" ht="18">
      <c r="B48" s="493"/>
      <c r="C48" s="499">
        <f>'[1]Tasa de Falla'!C48</f>
        <v>32</v>
      </c>
      <c r="D48" s="499" t="str">
        <f>'[1]Tasa de Falla'!D48</f>
        <v>SAN MARTIN - RECREO</v>
      </c>
      <c r="E48" s="499">
        <f>'[1]Tasa de Falla'!E48</f>
        <v>132</v>
      </c>
      <c r="F48" s="499">
        <f>'[1]Tasa de Falla'!F48</f>
        <v>115</v>
      </c>
      <c r="G48" s="500" t="str">
        <f>IF('[1]Tasa de Falla'!HX48=0,"",'[1]Tasa de Falla'!HX48)</f>
        <v>XXXX</v>
      </c>
      <c r="H48" s="500" t="str">
        <f>IF('[1]Tasa de Falla'!HY48=0,"",'[1]Tasa de Falla'!HY48)</f>
        <v>XXXX</v>
      </c>
      <c r="I48" s="500" t="str">
        <f>IF('[1]Tasa de Falla'!HZ48=0,"",'[1]Tasa de Falla'!HZ48)</f>
        <v>XXXX</v>
      </c>
      <c r="J48" s="500" t="str">
        <f>IF('[1]Tasa de Falla'!IA48=0,"",'[1]Tasa de Falla'!IA48)</f>
        <v>XXXX</v>
      </c>
      <c r="K48" s="500" t="str">
        <f>IF('[1]Tasa de Falla'!IB48=0,"",'[1]Tasa de Falla'!IB48)</f>
        <v>XXXX</v>
      </c>
      <c r="L48" s="500" t="str">
        <f>IF('[1]Tasa de Falla'!IC48=0,"",'[1]Tasa de Falla'!IC48)</f>
        <v>XXXX</v>
      </c>
      <c r="M48" s="500" t="str">
        <f>IF('[1]Tasa de Falla'!ID48=0,"",'[1]Tasa de Falla'!ID48)</f>
        <v>XXXX</v>
      </c>
      <c r="N48" s="500" t="str">
        <f>IF('[1]Tasa de Falla'!IE48=0,"",'[1]Tasa de Falla'!IE48)</f>
        <v>XXXX</v>
      </c>
      <c r="O48" s="500" t="str">
        <f>IF('[1]Tasa de Falla'!IF48=0,"",'[1]Tasa de Falla'!IF48)</f>
        <v>XXXX</v>
      </c>
      <c r="P48" s="500" t="str">
        <f>IF('[1]Tasa de Falla'!IG48=0,"",'[1]Tasa de Falla'!IG48)</f>
        <v>XXXX</v>
      </c>
      <c r="Q48" s="500" t="str">
        <f>IF('[1]Tasa de Falla'!IH48=0,"",'[1]Tasa de Falla'!IH48)</f>
        <v>XXXX</v>
      </c>
      <c r="R48" s="500" t="str">
        <f>IF('[1]Tasa de Falla'!II48=0,"",'[1]Tasa de Falla'!II48)</f>
        <v>XXXX</v>
      </c>
      <c r="S48" s="501"/>
      <c r="T48" s="498"/>
    </row>
    <row r="49" spans="2:20" s="492" customFormat="1" ht="18">
      <c r="B49" s="493"/>
      <c r="C49" s="499">
        <f>'[1]Tasa de Falla'!C49</f>
        <v>33</v>
      </c>
      <c r="D49" s="499" t="str">
        <f>'[1]Tasa de Falla'!D49</f>
        <v>SAN MARTIN C. - LA RIOJA</v>
      </c>
      <c r="E49" s="499">
        <f>'[1]Tasa de Falla'!E49</f>
        <v>132</v>
      </c>
      <c r="F49" s="499">
        <f>'[1]Tasa de Falla'!F49</f>
        <v>105</v>
      </c>
      <c r="G49" s="500" t="str">
        <f>IF('[1]Tasa de Falla'!HX49=0,"",'[1]Tasa de Falla'!HX49)</f>
        <v>XXXX</v>
      </c>
      <c r="H49" s="500" t="str">
        <f>IF('[1]Tasa de Falla'!HY49=0,"",'[1]Tasa de Falla'!HY49)</f>
        <v>XXXX</v>
      </c>
      <c r="I49" s="500" t="str">
        <f>IF('[1]Tasa de Falla'!HZ49=0,"",'[1]Tasa de Falla'!HZ49)</f>
        <v>XXXX</v>
      </c>
      <c r="J49" s="500" t="str">
        <f>IF('[1]Tasa de Falla'!IA49=0,"",'[1]Tasa de Falla'!IA49)</f>
        <v>XXXX</v>
      </c>
      <c r="K49" s="500" t="str">
        <f>IF('[1]Tasa de Falla'!IB49=0,"",'[1]Tasa de Falla'!IB49)</f>
        <v>XXXX</v>
      </c>
      <c r="L49" s="500" t="str">
        <f>IF('[1]Tasa de Falla'!IC49=0,"",'[1]Tasa de Falla'!IC49)</f>
        <v>XXXX</v>
      </c>
      <c r="M49" s="500" t="str">
        <f>IF('[1]Tasa de Falla'!ID49=0,"",'[1]Tasa de Falla'!ID49)</f>
        <v>XXXX</v>
      </c>
      <c r="N49" s="500" t="str">
        <f>IF('[1]Tasa de Falla'!IE49=0,"",'[1]Tasa de Falla'!IE49)</f>
        <v>XXXX</v>
      </c>
      <c r="O49" s="500" t="str">
        <f>IF('[1]Tasa de Falla'!IF49=0,"",'[1]Tasa de Falla'!IF49)</f>
        <v>XXXX</v>
      </c>
      <c r="P49" s="500" t="str">
        <f>IF('[1]Tasa de Falla'!IG49=0,"",'[1]Tasa de Falla'!IG49)</f>
        <v>XXXX</v>
      </c>
      <c r="Q49" s="500" t="str">
        <f>IF('[1]Tasa de Falla'!IH49=0,"",'[1]Tasa de Falla'!IH49)</f>
        <v>XXXX</v>
      </c>
      <c r="R49" s="500" t="str">
        <f>IF('[1]Tasa de Falla'!II49=0,"",'[1]Tasa de Falla'!II49)</f>
        <v>XXXX</v>
      </c>
      <c r="S49" s="501"/>
      <c r="T49" s="498"/>
    </row>
    <row r="50" spans="2:20" s="492" customFormat="1" ht="19.5" customHeight="1">
      <c r="B50" s="493"/>
      <c r="C50" s="499">
        <f>'[1]Tasa de Falla'!C50</f>
        <v>34</v>
      </c>
      <c r="D50" s="499" t="str">
        <f>'[1]Tasa de Falla'!D50</f>
        <v>SAN PEDRO JUJUY - LIBERTADOR NOA.</v>
      </c>
      <c r="E50" s="499">
        <f>'[1]Tasa de Falla'!E50</f>
        <v>132</v>
      </c>
      <c r="F50" s="499">
        <f>'[1]Tasa de Falla'!F50</f>
        <v>49</v>
      </c>
      <c r="G50" s="500">
        <f>IF('[1]Tasa de Falla'!HX50=0,"",'[1]Tasa de Falla'!HX50)</f>
      </c>
      <c r="H50" s="500">
        <f>IF('[1]Tasa de Falla'!HY50=0,"",'[1]Tasa de Falla'!HY50)</f>
      </c>
      <c r="I50" s="500">
        <f>IF('[1]Tasa de Falla'!HZ50=0,"",'[1]Tasa de Falla'!HZ50)</f>
      </c>
      <c r="J50" s="500">
        <f>IF('[1]Tasa de Falla'!IA50=0,"",'[1]Tasa de Falla'!IA50)</f>
        <v>1</v>
      </c>
      <c r="K50" s="500">
        <f>IF('[1]Tasa de Falla'!IB50=0,"",'[1]Tasa de Falla'!IB50)</f>
      </c>
      <c r="L50" s="500">
        <f>IF('[1]Tasa de Falla'!IC50=0,"",'[1]Tasa de Falla'!IC50)</f>
      </c>
      <c r="M50" s="500">
        <f>IF('[1]Tasa de Falla'!ID50=0,"",'[1]Tasa de Falla'!ID50)</f>
      </c>
      <c r="N50" s="500">
        <f>IF('[1]Tasa de Falla'!IE50=0,"",'[1]Tasa de Falla'!IE50)</f>
      </c>
      <c r="O50" s="500">
        <f>IF('[1]Tasa de Falla'!IF50=0,"",'[1]Tasa de Falla'!IF50)</f>
      </c>
      <c r="P50" s="500">
        <f>IF('[1]Tasa de Falla'!IG50=0,"",'[1]Tasa de Falla'!IG50)</f>
      </c>
      <c r="Q50" s="500">
        <f>IF('[1]Tasa de Falla'!IH50=0,"",'[1]Tasa de Falla'!IH50)</f>
        <v>1</v>
      </c>
      <c r="R50" s="500">
        <f>IF('[1]Tasa de Falla'!II50=0,"",'[1]Tasa de Falla'!II50)</f>
      </c>
      <c r="S50" s="501"/>
      <c r="T50" s="498"/>
    </row>
    <row r="51" spans="2:20" s="492" customFormat="1" ht="19.5" customHeight="1">
      <c r="B51" s="493"/>
      <c r="C51" s="499">
        <f>'[1]Tasa de Falla'!C51</f>
        <v>35</v>
      </c>
      <c r="D51" s="499" t="str">
        <f>'[1]Tasa de Falla'!D51</f>
        <v>TUCUMAN NORTE - EL BRACHO</v>
      </c>
      <c r="E51" s="499">
        <f>'[1]Tasa de Falla'!E51</f>
        <v>132</v>
      </c>
      <c r="F51" s="499">
        <f>'[1]Tasa de Falla'!F51</f>
        <v>31.5</v>
      </c>
      <c r="G51" s="500">
        <f>IF('[1]Tasa de Falla'!HX51=0,"",'[1]Tasa de Falla'!HX51)</f>
      </c>
      <c r="H51" s="500">
        <f>IF('[1]Tasa de Falla'!HY51=0,"",'[1]Tasa de Falla'!HY51)</f>
      </c>
      <c r="I51" s="500">
        <f>IF('[1]Tasa de Falla'!HZ51=0,"",'[1]Tasa de Falla'!HZ51)</f>
      </c>
      <c r="J51" s="500">
        <f>IF('[1]Tasa de Falla'!IA51=0,"",'[1]Tasa de Falla'!IA51)</f>
      </c>
      <c r="K51" s="500">
        <f>IF('[1]Tasa de Falla'!IB51=0,"",'[1]Tasa de Falla'!IB51)</f>
      </c>
      <c r="L51" s="500">
        <f>IF('[1]Tasa de Falla'!IC51=0,"",'[1]Tasa de Falla'!IC51)</f>
        <v>1</v>
      </c>
      <c r="M51" s="500">
        <f>IF('[1]Tasa de Falla'!ID51=0,"",'[1]Tasa de Falla'!ID51)</f>
        <v>1</v>
      </c>
      <c r="N51" s="500">
        <f>IF('[1]Tasa de Falla'!IE51=0,"",'[1]Tasa de Falla'!IE51)</f>
      </c>
      <c r="O51" s="500">
        <f>IF('[1]Tasa de Falla'!IF51=0,"",'[1]Tasa de Falla'!IF51)</f>
      </c>
      <c r="P51" s="500">
        <f>IF('[1]Tasa de Falla'!IG51=0,"",'[1]Tasa de Falla'!IG51)</f>
      </c>
      <c r="Q51" s="500">
        <f>IF('[1]Tasa de Falla'!IH51=0,"",'[1]Tasa de Falla'!IH51)</f>
      </c>
      <c r="R51" s="500">
        <f>IF('[1]Tasa de Falla'!II51=0,"",'[1]Tasa de Falla'!II51)</f>
      </c>
      <c r="S51" s="501"/>
      <c r="T51" s="498"/>
    </row>
    <row r="52" spans="2:20" s="492" customFormat="1" ht="19.5" customHeight="1">
      <c r="B52" s="493"/>
      <c r="C52" s="499">
        <f>'[1]Tasa de Falla'!C52</f>
        <v>36</v>
      </c>
      <c r="D52" s="499" t="str">
        <f>'[1]Tasa de Falla'!D52</f>
        <v>C.H. EL CADILLAL - TUCUMAN NORTE</v>
      </c>
      <c r="E52" s="499">
        <f>'[1]Tasa de Falla'!E52</f>
        <v>132</v>
      </c>
      <c r="F52" s="499">
        <f>'[1]Tasa de Falla'!F52</f>
        <v>21.78</v>
      </c>
      <c r="G52" s="500">
        <f>IF('[1]Tasa de Falla'!HX52=0,"",'[1]Tasa de Falla'!HX52)</f>
        <v>1</v>
      </c>
      <c r="H52" s="500">
        <f>IF('[1]Tasa de Falla'!HY52=0,"",'[1]Tasa de Falla'!HY52)</f>
      </c>
      <c r="I52" s="500">
        <f>IF('[1]Tasa de Falla'!HZ52=0,"",'[1]Tasa de Falla'!HZ52)</f>
      </c>
      <c r="J52" s="500">
        <f>IF('[1]Tasa de Falla'!IA52=0,"",'[1]Tasa de Falla'!IA52)</f>
      </c>
      <c r="K52" s="500">
        <f>IF('[1]Tasa de Falla'!IB52=0,"",'[1]Tasa de Falla'!IB52)</f>
      </c>
      <c r="L52" s="500">
        <f>IF('[1]Tasa de Falla'!IC52=0,"",'[1]Tasa de Falla'!IC52)</f>
      </c>
      <c r="M52" s="500">
        <f>IF('[1]Tasa de Falla'!ID52=0,"",'[1]Tasa de Falla'!ID52)</f>
      </c>
      <c r="N52" s="500">
        <f>IF('[1]Tasa de Falla'!IE52=0,"",'[1]Tasa de Falla'!IE52)</f>
      </c>
      <c r="O52" s="500">
        <f>IF('[1]Tasa de Falla'!IF52=0,"",'[1]Tasa de Falla'!IF52)</f>
        <v>1</v>
      </c>
      <c r="P52" s="500">
        <f>IF('[1]Tasa de Falla'!IG52=0,"",'[1]Tasa de Falla'!IG52)</f>
      </c>
      <c r="Q52" s="500">
        <f>IF('[1]Tasa de Falla'!IH52=0,"",'[1]Tasa de Falla'!IH52)</f>
      </c>
      <c r="R52" s="500">
        <f>IF('[1]Tasa de Falla'!II52=0,"",'[1]Tasa de Falla'!II52)</f>
        <v>1</v>
      </c>
      <c r="S52" s="501"/>
      <c r="T52" s="498"/>
    </row>
    <row r="53" spans="2:20" s="492" customFormat="1" ht="19.5" customHeight="1">
      <c r="B53" s="493"/>
      <c r="C53" s="499">
        <f>'[1]Tasa de Falla'!C53</f>
        <v>37</v>
      </c>
      <c r="D53" s="499" t="str">
        <f>'[1]Tasa de Falla'!D53</f>
        <v>TUCUMAN NORTE - CABRA CORRAL</v>
      </c>
      <c r="E53" s="499">
        <f>'[1]Tasa de Falla'!E53</f>
        <v>132</v>
      </c>
      <c r="F53" s="499">
        <f>'[1]Tasa de Falla'!F53</f>
        <v>190</v>
      </c>
      <c r="G53" s="500" t="str">
        <f>IF('[1]Tasa de Falla'!HX53=0,"",'[1]Tasa de Falla'!HX53)</f>
        <v>XXXX</v>
      </c>
      <c r="H53" s="500" t="str">
        <f>IF('[1]Tasa de Falla'!HY53=0,"",'[1]Tasa de Falla'!HY53)</f>
        <v>XXXX</v>
      </c>
      <c r="I53" s="500" t="str">
        <f>IF('[1]Tasa de Falla'!HZ53=0,"",'[1]Tasa de Falla'!HZ53)</f>
        <v>XXXX</v>
      </c>
      <c r="J53" s="500" t="str">
        <f>IF('[1]Tasa de Falla'!IA53=0,"",'[1]Tasa de Falla'!IA53)</f>
        <v>XXXX</v>
      </c>
      <c r="K53" s="500" t="str">
        <f>IF('[1]Tasa de Falla'!IB53=0,"",'[1]Tasa de Falla'!IB53)</f>
        <v>XXXX</v>
      </c>
      <c r="L53" s="500" t="str">
        <f>IF('[1]Tasa de Falla'!IC53=0,"",'[1]Tasa de Falla'!IC53)</f>
        <v>XXXX</v>
      </c>
      <c r="M53" s="500" t="str">
        <f>IF('[1]Tasa de Falla'!ID53=0,"",'[1]Tasa de Falla'!ID53)</f>
        <v>XXXX</v>
      </c>
      <c r="N53" s="500" t="str">
        <f>IF('[1]Tasa de Falla'!IE53=0,"",'[1]Tasa de Falla'!IE53)</f>
        <v>XXXX</v>
      </c>
      <c r="O53" s="500" t="str">
        <f>IF('[1]Tasa de Falla'!IF53=0,"",'[1]Tasa de Falla'!IF53)</f>
        <v>XXXX</v>
      </c>
      <c r="P53" s="500" t="str">
        <f>IF('[1]Tasa de Falla'!IG53=0,"",'[1]Tasa de Falla'!IG53)</f>
        <v>XXXX</v>
      </c>
      <c r="Q53" s="500" t="str">
        <f>IF('[1]Tasa de Falla'!IH53=0,"",'[1]Tasa de Falla'!IH53)</f>
        <v>XXXX</v>
      </c>
      <c r="R53" s="500" t="str">
        <f>IF('[1]Tasa de Falla'!II53=0,"",'[1]Tasa de Falla'!II53)</f>
        <v>XXXX</v>
      </c>
      <c r="S53" s="501"/>
      <c r="T53" s="498"/>
    </row>
    <row r="54" spans="2:20" s="492" customFormat="1" ht="19.5" customHeight="1">
      <c r="B54" s="493"/>
      <c r="C54" s="499">
        <f>'[1]Tasa de Falla'!C54</f>
        <v>38</v>
      </c>
      <c r="D54" s="499" t="str">
        <f>'[1]Tasa de Falla'!D54</f>
        <v>METAN - TUCUMAN NORTE</v>
      </c>
      <c r="E54" s="499">
        <f>'[1]Tasa de Falla'!E54</f>
        <v>132</v>
      </c>
      <c r="F54" s="499">
        <f>'[1]Tasa de Falla'!F54</f>
        <v>155.6</v>
      </c>
      <c r="G54" s="500">
        <f>IF('[1]Tasa de Falla'!HX54=0,"",'[1]Tasa de Falla'!HX54)</f>
        <v>1</v>
      </c>
      <c r="H54" s="500">
        <f>IF('[1]Tasa de Falla'!HY54=0,"",'[1]Tasa de Falla'!HY54)</f>
      </c>
      <c r="I54" s="500">
        <f>IF('[1]Tasa de Falla'!HZ54=0,"",'[1]Tasa de Falla'!HZ54)</f>
      </c>
      <c r="J54" s="500">
        <f>IF('[1]Tasa de Falla'!IA54=0,"",'[1]Tasa de Falla'!IA54)</f>
      </c>
      <c r="K54" s="500">
        <f>IF('[1]Tasa de Falla'!IB54=0,"",'[1]Tasa de Falla'!IB54)</f>
      </c>
      <c r="L54" s="500">
        <f>IF('[1]Tasa de Falla'!IC54=0,"",'[1]Tasa de Falla'!IC54)</f>
      </c>
      <c r="M54" s="500">
        <f>IF('[1]Tasa de Falla'!ID54=0,"",'[1]Tasa de Falla'!ID54)</f>
        <v>1</v>
      </c>
      <c r="N54" s="500">
        <f>IF('[1]Tasa de Falla'!IE54=0,"",'[1]Tasa de Falla'!IE54)</f>
      </c>
      <c r="O54" s="500">
        <f>IF('[1]Tasa de Falla'!IF54=0,"",'[1]Tasa de Falla'!IF54)</f>
      </c>
      <c r="P54" s="500">
        <f>IF('[1]Tasa de Falla'!IG54=0,"",'[1]Tasa de Falla'!IG54)</f>
      </c>
      <c r="Q54" s="500">
        <f>IF('[1]Tasa de Falla'!IH54=0,"",'[1]Tasa de Falla'!IH54)</f>
        <v>1</v>
      </c>
      <c r="R54" s="500">
        <f>IF('[1]Tasa de Falla'!II54=0,"",'[1]Tasa de Falla'!II54)</f>
      </c>
      <c r="S54" s="501"/>
      <c r="T54" s="498"/>
    </row>
    <row r="55" spans="2:20" s="492" customFormat="1" ht="19.5" customHeight="1">
      <c r="B55" s="493"/>
      <c r="C55" s="499">
        <f>'[1]Tasa de Falla'!C55</f>
        <v>39</v>
      </c>
      <c r="D55" s="499" t="str">
        <f>'[1]Tasa de Falla'!D55</f>
        <v>SARMIENTO - TUCUMAN NORTE (O.F.)</v>
      </c>
      <c r="E55" s="499">
        <f>'[1]Tasa de Falla'!E55</f>
        <v>132</v>
      </c>
      <c r="F55" s="499">
        <f>'[1]Tasa de Falla'!F55</f>
        <v>3.3</v>
      </c>
      <c r="G55" s="500">
        <f>IF('[1]Tasa de Falla'!HX55=0,"",'[1]Tasa de Falla'!HX55)</f>
      </c>
      <c r="H55" s="500">
        <f>IF('[1]Tasa de Falla'!HY55=0,"",'[1]Tasa de Falla'!HY55)</f>
      </c>
      <c r="I55" s="500">
        <f>IF('[1]Tasa de Falla'!HZ55=0,"",'[1]Tasa de Falla'!HZ55)</f>
      </c>
      <c r="J55" s="500">
        <f>IF('[1]Tasa de Falla'!IA55=0,"",'[1]Tasa de Falla'!IA55)</f>
      </c>
      <c r="K55" s="500">
        <f>IF('[1]Tasa de Falla'!IB55=0,"",'[1]Tasa de Falla'!IB55)</f>
      </c>
      <c r="L55" s="500">
        <f>IF('[1]Tasa de Falla'!IC55=0,"",'[1]Tasa de Falla'!IC55)</f>
      </c>
      <c r="M55" s="500">
        <f>IF('[1]Tasa de Falla'!ID55=0,"",'[1]Tasa de Falla'!ID55)</f>
      </c>
      <c r="N55" s="500">
        <f>IF('[1]Tasa de Falla'!IE55=0,"",'[1]Tasa de Falla'!IE55)</f>
      </c>
      <c r="O55" s="500">
        <f>IF('[1]Tasa de Falla'!IF55=0,"",'[1]Tasa de Falla'!IF55)</f>
      </c>
      <c r="P55" s="500">
        <f>IF('[1]Tasa de Falla'!IG55=0,"",'[1]Tasa de Falla'!IG55)</f>
      </c>
      <c r="Q55" s="500">
        <f>IF('[1]Tasa de Falla'!IH55=0,"",'[1]Tasa de Falla'!IH55)</f>
      </c>
      <c r="R55" s="500">
        <f>IF('[1]Tasa de Falla'!II55=0,"",'[1]Tasa de Falla'!II55)</f>
      </c>
      <c r="S55" s="501"/>
      <c r="T55" s="498"/>
    </row>
    <row r="56" spans="2:20" s="492" customFormat="1" ht="19.5" customHeight="1">
      <c r="B56" s="493"/>
      <c r="C56" s="499">
        <f>'[1]Tasa de Falla'!C56</f>
        <v>40</v>
      </c>
      <c r="D56" s="499" t="str">
        <f>'[1]Tasa de Falla'!D56</f>
        <v>TUCUMAN OESTE - TUCUMAN NORTE</v>
      </c>
      <c r="E56" s="499">
        <f>'[1]Tasa de Falla'!E56</f>
        <v>132</v>
      </c>
      <c r="F56" s="499">
        <f>'[1]Tasa de Falla'!F56</f>
        <v>7</v>
      </c>
      <c r="G56" s="500">
        <f>IF('[1]Tasa de Falla'!HX56=0,"",'[1]Tasa de Falla'!HX56)</f>
      </c>
      <c r="H56" s="500">
        <f>IF('[1]Tasa de Falla'!HY56=0,"",'[1]Tasa de Falla'!HY56)</f>
      </c>
      <c r="I56" s="500">
        <f>IF('[1]Tasa de Falla'!HZ56=0,"",'[1]Tasa de Falla'!HZ56)</f>
      </c>
      <c r="J56" s="500">
        <f>IF('[1]Tasa de Falla'!IA56=0,"",'[1]Tasa de Falla'!IA56)</f>
      </c>
      <c r="K56" s="500">
        <f>IF('[1]Tasa de Falla'!IB56=0,"",'[1]Tasa de Falla'!IB56)</f>
      </c>
      <c r="L56" s="500">
        <f>IF('[1]Tasa de Falla'!IC56=0,"",'[1]Tasa de Falla'!IC56)</f>
      </c>
      <c r="M56" s="500">
        <f>IF('[1]Tasa de Falla'!ID56=0,"",'[1]Tasa de Falla'!ID56)</f>
      </c>
      <c r="N56" s="500">
        <f>IF('[1]Tasa de Falla'!IE56=0,"",'[1]Tasa de Falla'!IE56)</f>
      </c>
      <c r="O56" s="500">
        <f>IF('[1]Tasa de Falla'!IF56=0,"",'[1]Tasa de Falla'!IF56)</f>
      </c>
      <c r="P56" s="500">
        <f>IF('[1]Tasa de Falla'!IG56=0,"",'[1]Tasa de Falla'!IG56)</f>
      </c>
      <c r="Q56" s="500">
        <f>IF('[1]Tasa de Falla'!IH56=0,"",'[1]Tasa de Falla'!IH56)</f>
      </c>
      <c r="R56" s="500">
        <f>IF('[1]Tasa de Falla'!II56=0,"",'[1]Tasa de Falla'!II56)</f>
      </c>
      <c r="S56" s="501"/>
      <c r="T56" s="498"/>
    </row>
    <row r="57" spans="2:20" s="492" customFormat="1" ht="19.5" customHeight="1">
      <c r="B57" s="493"/>
      <c r="C57" s="499">
        <f>'[1]Tasa de Falla'!C57</f>
        <v>41</v>
      </c>
      <c r="D57" s="499" t="str">
        <f>'[1]Tasa de Falla'!D57</f>
        <v>AGUILARES - VILLA QUINTEROS</v>
      </c>
      <c r="E57" s="499">
        <f>'[1]Tasa de Falla'!E57</f>
        <v>132</v>
      </c>
      <c r="F57" s="499">
        <f>'[1]Tasa de Falla'!F57</f>
        <v>21</v>
      </c>
      <c r="G57" s="500">
        <f>IF('[1]Tasa de Falla'!HX57=0,"",'[1]Tasa de Falla'!HX57)</f>
      </c>
      <c r="H57" s="500">
        <f>IF('[1]Tasa de Falla'!HY57=0,"",'[1]Tasa de Falla'!HY57)</f>
      </c>
      <c r="I57" s="500">
        <f>IF('[1]Tasa de Falla'!HZ57=0,"",'[1]Tasa de Falla'!HZ57)</f>
      </c>
      <c r="J57" s="500">
        <f>IF('[1]Tasa de Falla'!IA57=0,"",'[1]Tasa de Falla'!IA57)</f>
      </c>
      <c r="K57" s="500">
        <f>IF('[1]Tasa de Falla'!IB57=0,"",'[1]Tasa de Falla'!IB57)</f>
      </c>
      <c r="L57" s="500">
        <f>IF('[1]Tasa de Falla'!IC57=0,"",'[1]Tasa de Falla'!IC57)</f>
      </c>
      <c r="M57" s="500">
        <f>IF('[1]Tasa de Falla'!ID57=0,"",'[1]Tasa de Falla'!ID57)</f>
      </c>
      <c r="N57" s="500">
        <f>IF('[1]Tasa de Falla'!IE57=0,"",'[1]Tasa de Falla'!IE57)</f>
        <v>2</v>
      </c>
      <c r="O57" s="500">
        <f>IF('[1]Tasa de Falla'!IF57=0,"",'[1]Tasa de Falla'!IF57)</f>
      </c>
      <c r="P57" s="500">
        <f>IF('[1]Tasa de Falla'!IG57=0,"",'[1]Tasa de Falla'!IG57)</f>
      </c>
      <c r="Q57" s="500">
        <f>IF('[1]Tasa de Falla'!IH57=0,"",'[1]Tasa de Falla'!IH57)</f>
      </c>
      <c r="R57" s="500">
        <f>IF('[1]Tasa de Falla'!II57=0,"",'[1]Tasa de Falla'!II57)</f>
      </c>
      <c r="S57" s="501"/>
      <c r="T57" s="498"/>
    </row>
    <row r="58" spans="2:20" s="492" customFormat="1" ht="19.5" customHeight="1">
      <c r="B58" s="493"/>
      <c r="C58" s="499">
        <f>'[1]Tasa de Falla'!C58</f>
        <v>42</v>
      </c>
      <c r="D58" s="499" t="str">
        <f>'[1]Tasa de Falla'!D58</f>
        <v>C.H. PUEBLO VIEJO - VILLA QUINTEROS </v>
      </c>
      <c r="E58" s="499">
        <f>'[1]Tasa de Falla'!E58</f>
        <v>132</v>
      </c>
      <c r="F58" s="499">
        <f>'[1]Tasa de Falla'!F58</f>
        <v>24.5</v>
      </c>
      <c r="G58" s="500">
        <f>IF('[1]Tasa de Falla'!HX58=0,"",'[1]Tasa de Falla'!HX58)</f>
      </c>
      <c r="H58" s="500">
        <f>IF('[1]Tasa de Falla'!HY58=0,"",'[1]Tasa de Falla'!HY58)</f>
      </c>
      <c r="I58" s="500">
        <f>IF('[1]Tasa de Falla'!HZ58=0,"",'[1]Tasa de Falla'!HZ58)</f>
      </c>
      <c r="J58" s="500">
        <f>IF('[1]Tasa de Falla'!IA58=0,"",'[1]Tasa de Falla'!IA58)</f>
      </c>
      <c r="K58" s="500">
        <f>IF('[1]Tasa de Falla'!IB58=0,"",'[1]Tasa de Falla'!IB58)</f>
      </c>
      <c r="L58" s="500">
        <f>IF('[1]Tasa de Falla'!IC58=0,"",'[1]Tasa de Falla'!IC58)</f>
      </c>
      <c r="M58" s="500">
        <f>IF('[1]Tasa de Falla'!ID58=0,"",'[1]Tasa de Falla'!ID58)</f>
      </c>
      <c r="N58" s="500">
        <f>IF('[1]Tasa de Falla'!IE58=0,"",'[1]Tasa de Falla'!IE58)</f>
      </c>
      <c r="O58" s="500">
        <f>IF('[1]Tasa de Falla'!IF58=0,"",'[1]Tasa de Falla'!IF58)</f>
      </c>
      <c r="P58" s="500">
        <f>IF('[1]Tasa de Falla'!IG58=0,"",'[1]Tasa de Falla'!IG58)</f>
      </c>
      <c r="Q58" s="500">
        <f>IF('[1]Tasa de Falla'!IH58=0,"",'[1]Tasa de Falla'!IH58)</f>
      </c>
      <c r="R58" s="500">
        <f>IF('[1]Tasa de Falla'!II58=0,"",'[1]Tasa de Falla'!II58)</f>
        <v>1</v>
      </c>
      <c r="S58" s="501"/>
      <c r="T58" s="498"/>
    </row>
    <row r="59" spans="2:20" s="492" customFormat="1" ht="19.5" customHeight="1">
      <c r="B59" s="493"/>
      <c r="C59" s="499">
        <f>'[1]Tasa de Falla'!C59</f>
        <v>43</v>
      </c>
      <c r="D59" s="499" t="str">
        <f>'[1]Tasa de Falla'!D59</f>
        <v>C.H. RIO HONDO - VILLA QUINTEROS</v>
      </c>
      <c r="E59" s="499">
        <f>'[1]Tasa de Falla'!E59</f>
        <v>132</v>
      </c>
      <c r="F59" s="499">
        <f>'[1]Tasa de Falla'!F59</f>
        <v>75.4</v>
      </c>
      <c r="G59" s="500">
        <f>IF('[1]Tasa de Falla'!HX59=0,"",'[1]Tasa de Falla'!HX59)</f>
      </c>
      <c r="H59" s="500">
        <f>IF('[1]Tasa de Falla'!HY59=0,"",'[1]Tasa de Falla'!HY59)</f>
      </c>
      <c r="I59" s="500">
        <f>IF('[1]Tasa de Falla'!HZ59=0,"",'[1]Tasa de Falla'!HZ59)</f>
      </c>
      <c r="J59" s="500">
        <f>IF('[1]Tasa de Falla'!IA59=0,"",'[1]Tasa de Falla'!IA59)</f>
      </c>
      <c r="K59" s="500">
        <f>IF('[1]Tasa de Falla'!IB59=0,"",'[1]Tasa de Falla'!IB59)</f>
      </c>
      <c r="L59" s="500">
        <f>IF('[1]Tasa de Falla'!IC59=0,"",'[1]Tasa de Falla'!IC59)</f>
        <v>4</v>
      </c>
      <c r="M59" s="500">
        <f>IF('[1]Tasa de Falla'!ID59=0,"",'[1]Tasa de Falla'!ID59)</f>
        <v>1</v>
      </c>
      <c r="N59" s="500">
        <f>IF('[1]Tasa de Falla'!IE59=0,"",'[1]Tasa de Falla'!IE59)</f>
        <v>1</v>
      </c>
      <c r="O59" s="500">
        <f>IF('[1]Tasa de Falla'!IF59=0,"",'[1]Tasa de Falla'!IF59)</f>
        <v>1</v>
      </c>
      <c r="P59" s="500">
        <f>IF('[1]Tasa de Falla'!IG59=0,"",'[1]Tasa de Falla'!IG59)</f>
        <v>1</v>
      </c>
      <c r="Q59" s="500">
        <f>IF('[1]Tasa de Falla'!IH59=0,"",'[1]Tasa de Falla'!IH59)</f>
        <v>3</v>
      </c>
      <c r="R59" s="500">
        <f>IF('[1]Tasa de Falla'!II59=0,"",'[1]Tasa de Falla'!II59)</f>
        <v>1</v>
      </c>
      <c r="S59" s="501"/>
      <c r="T59" s="498"/>
    </row>
    <row r="60" spans="2:20" s="492" customFormat="1" ht="19.5" customHeight="1">
      <c r="B60" s="493"/>
      <c r="C60" s="499">
        <f>'[1]Tasa de Falla'!C60</f>
        <v>44</v>
      </c>
      <c r="D60" s="499" t="str">
        <f>'[1]Tasa de Falla'!D60</f>
        <v>C.H. RIO HONDO - SANTIAGO CENTRO</v>
      </c>
      <c r="E60" s="499">
        <f>'[1]Tasa de Falla'!E60</f>
        <v>132</v>
      </c>
      <c r="F60" s="499">
        <f>'[1]Tasa de Falla'!F60</f>
        <v>79</v>
      </c>
      <c r="G60" s="500" t="str">
        <f>IF('[1]Tasa de Falla'!HX60=0,"",'[1]Tasa de Falla'!HX60)</f>
        <v>XXXX</v>
      </c>
      <c r="H60" s="500" t="str">
        <f>IF('[1]Tasa de Falla'!HY60=0,"",'[1]Tasa de Falla'!HY60)</f>
        <v>XXXX</v>
      </c>
      <c r="I60" s="500" t="str">
        <f>IF('[1]Tasa de Falla'!HZ60=0,"",'[1]Tasa de Falla'!HZ60)</f>
        <v>XXXX</v>
      </c>
      <c r="J60" s="500" t="str">
        <f>IF('[1]Tasa de Falla'!IA60=0,"",'[1]Tasa de Falla'!IA60)</f>
        <v>XXXX</v>
      </c>
      <c r="K60" s="500" t="str">
        <f>IF('[1]Tasa de Falla'!IB60=0,"",'[1]Tasa de Falla'!IB60)</f>
        <v>XXXX</v>
      </c>
      <c r="L60" s="500" t="str">
        <f>IF('[1]Tasa de Falla'!IC60=0,"",'[1]Tasa de Falla'!IC60)</f>
        <v>XXXX</v>
      </c>
      <c r="M60" s="500" t="str">
        <f>IF('[1]Tasa de Falla'!ID60=0,"",'[1]Tasa de Falla'!ID60)</f>
        <v>XXXX</v>
      </c>
      <c r="N60" s="500" t="str">
        <f>IF('[1]Tasa de Falla'!IE60=0,"",'[1]Tasa de Falla'!IE60)</f>
        <v>XXXX</v>
      </c>
      <c r="O60" s="500" t="str">
        <f>IF('[1]Tasa de Falla'!IF60=0,"",'[1]Tasa de Falla'!IF60)</f>
        <v>XXXX</v>
      </c>
      <c r="P60" s="500" t="str">
        <f>IF('[1]Tasa de Falla'!IG60=0,"",'[1]Tasa de Falla'!IG60)</f>
        <v>XXXX</v>
      </c>
      <c r="Q60" s="500" t="str">
        <f>IF('[1]Tasa de Falla'!IH60=0,"",'[1]Tasa de Falla'!IH60)</f>
        <v>XXXX</v>
      </c>
      <c r="R60" s="500" t="str">
        <f>IF('[1]Tasa de Falla'!II60=0,"",'[1]Tasa de Falla'!II60)</f>
        <v>XXXX</v>
      </c>
      <c r="S60" s="501"/>
      <c r="T60" s="498"/>
    </row>
    <row r="61" spans="2:20" s="492" customFormat="1" ht="19.5" customHeight="1">
      <c r="B61" s="493"/>
      <c r="C61" s="499">
        <f>'[1]Tasa de Falla'!C61</f>
        <v>45</v>
      </c>
      <c r="D61" s="499" t="str">
        <f>'[1]Tasa de Falla'!D61</f>
        <v>C.H. RIO HONDO - EL BRACHO</v>
      </c>
      <c r="E61" s="499">
        <f>'[1]Tasa de Falla'!E61</f>
        <v>132</v>
      </c>
      <c r="F61" s="499">
        <f>'[1]Tasa de Falla'!F61</f>
        <v>80.66</v>
      </c>
      <c r="G61" s="500">
        <f>IF('[1]Tasa de Falla'!HX61=0,"",'[1]Tasa de Falla'!HX61)</f>
        <v>1</v>
      </c>
      <c r="H61" s="500">
        <f>IF('[1]Tasa de Falla'!HY61=0,"",'[1]Tasa de Falla'!HY61)</f>
        <v>2</v>
      </c>
      <c r="I61" s="500">
        <f>IF('[1]Tasa de Falla'!HZ61=0,"",'[1]Tasa de Falla'!HZ61)</f>
      </c>
      <c r="J61" s="500">
        <f>IF('[1]Tasa de Falla'!IA61=0,"",'[1]Tasa de Falla'!IA61)</f>
      </c>
      <c r="K61" s="500">
        <f>IF('[1]Tasa de Falla'!IB61=0,"",'[1]Tasa de Falla'!IB61)</f>
      </c>
      <c r="L61" s="500">
        <f>IF('[1]Tasa de Falla'!IC61=0,"",'[1]Tasa de Falla'!IC61)</f>
      </c>
      <c r="M61" s="500">
        <f>IF('[1]Tasa de Falla'!ID61=0,"",'[1]Tasa de Falla'!ID61)</f>
      </c>
      <c r="N61" s="500">
        <f>IF('[1]Tasa de Falla'!IE61=0,"",'[1]Tasa de Falla'!IE61)</f>
        <v>1</v>
      </c>
      <c r="O61" s="500">
        <f>IF('[1]Tasa de Falla'!IF61=0,"",'[1]Tasa de Falla'!IF61)</f>
      </c>
      <c r="P61" s="500">
        <f>IF('[1]Tasa de Falla'!IG61=0,"",'[1]Tasa de Falla'!IG61)</f>
        <v>3</v>
      </c>
      <c r="Q61" s="500">
        <f>IF('[1]Tasa de Falla'!IH61=0,"",'[1]Tasa de Falla'!IH61)</f>
      </c>
      <c r="R61" s="500">
        <f>IF('[1]Tasa de Falla'!II61=0,"",'[1]Tasa de Falla'!II61)</f>
        <v>1</v>
      </c>
      <c r="S61" s="501"/>
      <c r="T61" s="498"/>
    </row>
    <row r="62" spans="2:20" s="492" customFormat="1" ht="19.5" customHeight="1">
      <c r="B62" s="493"/>
      <c r="C62" s="499">
        <f>'[1]Tasa de Falla'!C62</f>
        <v>46</v>
      </c>
      <c r="D62" s="499" t="str">
        <f>'[1]Tasa de Falla'!D62</f>
        <v>SALTA SUR - SALTA NORTE</v>
      </c>
      <c r="E62" s="499">
        <f>'[1]Tasa de Falla'!E62</f>
        <v>132</v>
      </c>
      <c r="F62" s="499">
        <f>'[1]Tasa de Falla'!F62</f>
        <v>10</v>
      </c>
      <c r="G62" s="500">
        <f>IF('[1]Tasa de Falla'!HX62=0,"",'[1]Tasa de Falla'!HX62)</f>
      </c>
      <c r="H62" s="500">
        <f>IF('[1]Tasa de Falla'!HY62=0,"",'[1]Tasa de Falla'!HY62)</f>
      </c>
      <c r="I62" s="500">
        <f>IF('[1]Tasa de Falla'!HZ62=0,"",'[1]Tasa de Falla'!HZ62)</f>
      </c>
      <c r="J62" s="500">
        <f>IF('[1]Tasa de Falla'!IA62=0,"",'[1]Tasa de Falla'!IA62)</f>
      </c>
      <c r="K62" s="500">
        <f>IF('[1]Tasa de Falla'!IB62=0,"",'[1]Tasa de Falla'!IB62)</f>
      </c>
      <c r="L62" s="500">
        <f>IF('[1]Tasa de Falla'!IC62=0,"",'[1]Tasa de Falla'!IC62)</f>
      </c>
      <c r="M62" s="500">
        <f>IF('[1]Tasa de Falla'!ID62=0,"",'[1]Tasa de Falla'!ID62)</f>
      </c>
      <c r="N62" s="500">
        <f>IF('[1]Tasa de Falla'!IE62=0,"",'[1]Tasa de Falla'!IE62)</f>
      </c>
      <c r="O62" s="500">
        <f>IF('[1]Tasa de Falla'!IF62=0,"",'[1]Tasa de Falla'!IF62)</f>
      </c>
      <c r="P62" s="500">
        <f>IF('[1]Tasa de Falla'!IG62=0,"",'[1]Tasa de Falla'!IG62)</f>
      </c>
      <c r="Q62" s="500">
        <f>IF('[1]Tasa de Falla'!IH62=0,"",'[1]Tasa de Falla'!IH62)</f>
      </c>
      <c r="R62" s="500">
        <f>IF('[1]Tasa de Falla'!II62=0,"",'[1]Tasa de Falla'!II62)</f>
      </c>
      <c r="S62" s="501"/>
      <c r="T62" s="498"/>
    </row>
    <row r="63" spans="2:20" s="492" customFormat="1" ht="19.5" customHeight="1">
      <c r="B63" s="493"/>
      <c r="C63" s="499">
        <f>'[1]Tasa de Falla'!C63</f>
        <v>47</v>
      </c>
      <c r="D63" s="499" t="str">
        <f>'[1]Tasa de Falla'!D63</f>
        <v>PALPALA - JUJUY ESTE</v>
      </c>
      <c r="E63" s="499">
        <f>'[1]Tasa de Falla'!E63</f>
        <v>132</v>
      </c>
      <c r="F63" s="499">
        <f>'[1]Tasa de Falla'!F63</f>
        <v>12.25</v>
      </c>
      <c r="G63" s="500">
        <f>IF('[1]Tasa de Falla'!HX63=0,"",'[1]Tasa de Falla'!HX63)</f>
      </c>
      <c r="H63" s="500">
        <f>IF('[1]Tasa de Falla'!HY63=0,"",'[1]Tasa de Falla'!HY63)</f>
      </c>
      <c r="I63" s="500">
        <f>IF('[1]Tasa de Falla'!HZ63=0,"",'[1]Tasa de Falla'!HZ63)</f>
      </c>
      <c r="J63" s="500">
        <f>IF('[1]Tasa de Falla'!IA63=0,"",'[1]Tasa de Falla'!IA63)</f>
      </c>
      <c r="K63" s="500">
        <f>IF('[1]Tasa de Falla'!IB63=0,"",'[1]Tasa de Falla'!IB63)</f>
      </c>
      <c r="L63" s="500">
        <f>IF('[1]Tasa de Falla'!IC63=0,"",'[1]Tasa de Falla'!IC63)</f>
      </c>
      <c r="M63" s="500">
        <f>IF('[1]Tasa de Falla'!ID63=0,"",'[1]Tasa de Falla'!ID63)</f>
      </c>
      <c r="N63" s="500">
        <f>IF('[1]Tasa de Falla'!IE63=0,"",'[1]Tasa de Falla'!IE63)</f>
      </c>
      <c r="O63" s="500">
        <f>IF('[1]Tasa de Falla'!IF63=0,"",'[1]Tasa de Falla'!IF63)</f>
        <v>1</v>
      </c>
      <c r="P63" s="500">
        <f>IF('[1]Tasa de Falla'!IG63=0,"",'[1]Tasa de Falla'!IG63)</f>
      </c>
      <c r="Q63" s="500">
        <f>IF('[1]Tasa de Falla'!IH63=0,"",'[1]Tasa de Falla'!IH63)</f>
      </c>
      <c r="R63" s="500">
        <f>IF('[1]Tasa de Falla'!II63=0,"",'[1]Tasa de Falla'!II63)</f>
      </c>
      <c r="S63" s="501"/>
      <c r="T63" s="498"/>
    </row>
    <row r="64" spans="2:20" s="492" customFormat="1" ht="19.5" customHeight="1">
      <c r="B64" s="493"/>
      <c r="C64" s="499">
        <f>'[1]Tasa de Falla'!C64</f>
        <v>48</v>
      </c>
      <c r="D64" s="499" t="str">
        <f>'[1]Tasa de Falla'!D64</f>
        <v>JUJUY ESTE - JUJUY SUR</v>
      </c>
      <c r="E64" s="499">
        <f>'[1]Tasa de Falla'!E64</f>
        <v>132</v>
      </c>
      <c r="F64" s="499">
        <f>'[1]Tasa de Falla'!F64</f>
        <v>4.25</v>
      </c>
      <c r="G64" s="500">
        <f>IF('[1]Tasa de Falla'!HX64=0,"",'[1]Tasa de Falla'!HX64)</f>
      </c>
      <c r="H64" s="500">
        <f>IF('[1]Tasa de Falla'!HY64=0,"",'[1]Tasa de Falla'!HY64)</f>
      </c>
      <c r="I64" s="500">
        <f>IF('[1]Tasa de Falla'!HZ64=0,"",'[1]Tasa de Falla'!HZ64)</f>
      </c>
      <c r="J64" s="500">
        <f>IF('[1]Tasa de Falla'!IA64=0,"",'[1]Tasa de Falla'!IA64)</f>
      </c>
      <c r="K64" s="500">
        <f>IF('[1]Tasa de Falla'!IB64=0,"",'[1]Tasa de Falla'!IB64)</f>
      </c>
      <c r="L64" s="500">
        <f>IF('[1]Tasa de Falla'!IC64=0,"",'[1]Tasa de Falla'!IC64)</f>
        <v>1</v>
      </c>
      <c r="M64" s="500">
        <f>IF('[1]Tasa de Falla'!ID64=0,"",'[1]Tasa de Falla'!ID64)</f>
      </c>
      <c r="N64" s="500">
        <f>IF('[1]Tasa de Falla'!IE64=0,"",'[1]Tasa de Falla'!IE64)</f>
      </c>
      <c r="O64" s="500">
        <f>IF('[1]Tasa de Falla'!IF64=0,"",'[1]Tasa de Falla'!IF64)</f>
      </c>
      <c r="P64" s="500">
        <f>IF('[1]Tasa de Falla'!IG64=0,"",'[1]Tasa de Falla'!IG64)</f>
      </c>
      <c r="Q64" s="500">
        <f>IF('[1]Tasa de Falla'!IH64=0,"",'[1]Tasa de Falla'!IH64)</f>
      </c>
      <c r="R64" s="500">
        <f>IF('[1]Tasa de Falla'!II64=0,"",'[1]Tasa de Falla'!II64)</f>
      </c>
      <c r="S64" s="501"/>
      <c r="T64" s="498"/>
    </row>
    <row r="65" spans="2:20" s="492" customFormat="1" ht="18">
      <c r="B65" s="493"/>
      <c r="C65" s="499">
        <f>'[1]Tasa de Falla'!C65</f>
        <v>49</v>
      </c>
      <c r="D65" s="499" t="str">
        <f>'[1]Tasa de Falla'!D65</f>
        <v>CEVIL POZO - GUEMES</v>
      </c>
      <c r="E65" s="499">
        <f>'[1]Tasa de Falla'!E65</f>
        <v>132</v>
      </c>
      <c r="F65" s="499">
        <f>'[1]Tasa de Falla'!F65</f>
        <v>291</v>
      </c>
      <c r="G65" s="500" t="str">
        <f>IF('[1]Tasa de Falla'!HX65=0,"",'[1]Tasa de Falla'!HX65)</f>
        <v>XXXX</v>
      </c>
      <c r="H65" s="500" t="str">
        <f>IF('[1]Tasa de Falla'!HY65=0,"",'[1]Tasa de Falla'!HY65)</f>
        <v>XXXX</v>
      </c>
      <c r="I65" s="500" t="str">
        <f>IF('[1]Tasa de Falla'!HZ65=0,"",'[1]Tasa de Falla'!HZ65)</f>
        <v>XXXX</v>
      </c>
      <c r="J65" s="500" t="str">
        <f>IF('[1]Tasa de Falla'!IA65=0,"",'[1]Tasa de Falla'!IA65)</f>
        <v>XXXX</v>
      </c>
      <c r="K65" s="500" t="str">
        <f>IF('[1]Tasa de Falla'!IB65=0,"",'[1]Tasa de Falla'!IB65)</f>
        <v>XXXX</v>
      </c>
      <c r="L65" s="500" t="str">
        <f>IF('[1]Tasa de Falla'!IC65=0,"",'[1]Tasa de Falla'!IC65)</f>
        <v>XXXX</v>
      </c>
      <c r="M65" s="500" t="str">
        <f>IF('[1]Tasa de Falla'!ID65=0,"",'[1]Tasa de Falla'!ID65)</f>
        <v>XXXX</v>
      </c>
      <c r="N65" s="500" t="str">
        <f>IF('[1]Tasa de Falla'!IE65=0,"",'[1]Tasa de Falla'!IE65)</f>
        <v>XXXX</v>
      </c>
      <c r="O65" s="500" t="str">
        <f>IF('[1]Tasa de Falla'!IF65=0,"",'[1]Tasa de Falla'!IF65)</f>
        <v>XXXX</v>
      </c>
      <c r="P65" s="500" t="str">
        <f>IF('[1]Tasa de Falla'!IG65=0,"",'[1]Tasa de Falla'!IG65)</f>
        <v>XXXX</v>
      </c>
      <c r="Q65" s="500" t="str">
        <f>IF('[1]Tasa de Falla'!IH65=0,"",'[1]Tasa de Falla'!IH65)</f>
        <v>XXXX</v>
      </c>
      <c r="R65" s="500" t="str">
        <f>IF('[1]Tasa de Falla'!II65=0,"",'[1]Tasa de Falla'!II65)</f>
        <v>XXXX</v>
      </c>
      <c r="S65" s="501"/>
      <c r="T65" s="498"/>
    </row>
    <row r="66" spans="2:20" s="492" customFormat="1" ht="19.5" customHeight="1">
      <c r="B66" s="493"/>
      <c r="C66" s="499">
        <f>'[1]Tasa de Falla'!C66</f>
        <v>50</v>
      </c>
      <c r="D66" s="499" t="str">
        <f>'[1]Tasa de Falla'!D66</f>
        <v>CEVIL POZO - EL BRACHO</v>
      </c>
      <c r="E66" s="499">
        <f>'[1]Tasa de Falla'!E66</f>
        <v>132</v>
      </c>
      <c r="F66" s="499">
        <f>'[1]Tasa de Falla'!F66</f>
        <v>17</v>
      </c>
      <c r="G66" s="500">
        <f>IF('[1]Tasa de Falla'!HX66=0,"",'[1]Tasa de Falla'!HX66)</f>
      </c>
      <c r="H66" s="500">
        <f>IF('[1]Tasa de Falla'!HY66=0,"",'[1]Tasa de Falla'!HY66)</f>
      </c>
      <c r="I66" s="500">
        <f>IF('[1]Tasa de Falla'!HZ66=0,"",'[1]Tasa de Falla'!HZ66)</f>
      </c>
      <c r="J66" s="500">
        <f>IF('[1]Tasa de Falla'!IA66=0,"",'[1]Tasa de Falla'!IA66)</f>
      </c>
      <c r="K66" s="500">
        <f>IF('[1]Tasa de Falla'!IB66=0,"",'[1]Tasa de Falla'!IB66)</f>
      </c>
      <c r="L66" s="500">
        <f>IF('[1]Tasa de Falla'!IC66=0,"",'[1]Tasa de Falla'!IC66)</f>
      </c>
      <c r="M66" s="500">
        <f>IF('[1]Tasa de Falla'!ID66=0,"",'[1]Tasa de Falla'!ID66)</f>
      </c>
      <c r="N66" s="500">
        <f>IF('[1]Tasa de Falla'!IE66=0,"",'[1]Tasa de Falla'!IE66)</f>
      </c>
      <c r="O66" s="500">
        <f>IF('[1]Tasa de Falla'!IF66=0,"",'[1]Tasa de Falla'!IF66)</f>
      </c>
      <c r="P66" s="500">
        <f>IF('[1]Tasa de Falla'!IG66=0,"",'[1]Tasa de Falla'!IG66)</f>
      </c>
      <c r="Q66" s="500">
        <f>IF('[1]Tasa de Falla'!IH66=0,"",'[1]Tasa de Falla'!IH66)</f>
      </c>
      <c r="R66" s="500">
        <f>IF('[1]Tasa de Falla'!II66=0,"",'[1]Tasa de Falla'!II66)</f>
      </c>
      <c r="S66" s="501"/>
      <c r="T66" s="498"/>
    </row>
    <row r="67" spans="2:20" s="492" customFormat="1" ht="19.5" customHeight="1">
      <c r="B67" s="493"/>
      <c r="C67" s="499">
        <f>'[1]Tasa de Falla'!C67</f>
        <v>0</v>
      </c>
      <c r="D67" s="499">
        <f>'[1]Tasa de Falla'!D67</f>
        <v>0</v>
      </c>
      <c r="E67" s="499">
        <f>'[1]Tasa de Falla'!E67</f>
        <v>0</v>
      </c>
      <c r="F67" s="499">
        <f>'[1]Tasa de Falla'!F67</f>
        <v>0</v>
      </c>
      <c r="G67" s="500">
        <f>IF('[1]Tasa de Falla'!HX67=0,"",'[1]Tasa de Falla'!HX67)</f>
      </c>
      <c r="H67" s="500">
        <f>IF('[1]Tasa de Falla'!HY67=0,"",'[1]Tasa de Falla'!HY67)</f>
      </c>
      <c r="I67" s="500">
        <f>IF('[1]Tasa de Falla'!HZ67=0,"",'[1]Tasa de Falla'!HZ67)</f>
      </c>
      <c r="J67" s="500">
        <f>IF('[1]Tasa de Falla'!IA67=0,"",'[1]Tasa de Falla'!IA67)</f>
      </c>
      <c r="K67" s="500">
        <f>IF('[1]Tasa de Falla'!IB67=0,"",'[1]Tasa de Falla'!IB67)</f>
      </c>
      <c r="L67" s="500">
        <f>IF('[1]Tasa de Falla'!IC67=0,"",'[1]Tasa de Falla'!IC67)</f>
      </c>
      <c r="M67" s="500">
        <f>IF('[1]Tasa de Falla'!ID67=0,"",'[1]Tasa de Falla'!ID67)</f>
      </c>
      <c r="N67" s="500">
        <f>IF('[1]Tasa de Falla'!IE67=0,"",'[1]Tasa de Falla'!IE67)</f>
      </c>
      <c r="O67" s="500">
        <f>IF('[1]Tasa de Falla'!IF67=0,"",'[1]Tasa de Falla'!IF67)</f>
      </c>
      <c r="P67" s="500">
        <f>IF('[1]Tasa de Falla'!IG67=0,"",'[1]Tasa de Falla'!IG67)</f>
      </c>
      <c r="Q67" s="500">
        <f>IF('[1]Tasa de Falla'!IH67=0,"",'[1]Tasa de Falla'!IH67)</f>
      </c>
      <c r="R67" s="500">
        <f>IF('[1]Tasa de Falla'!II67=0,"",'[1]Tasa de Falla'!II67)</f>
      </c>
      <c r="S67" s="501"/>
      <c r="T67" s="498"/>
    </row>
    <row r="68" spans="2:20" s="492" customFormat="1" ht="19.5" customHeight="1">
      <c r="B68" s="493"/>
      <c r="C68" s="499">
        <f>'[1]Tasa de Falla'!C68</f>
        <v>51</v>
      </c>
      <c r="D68" s="499" t="str">
        <f>'[1]Tasa de Falla'!D68</f>
        <v>METAN - EL TUNAL</v>
      </c>
      <c r="E68" s="499">
        <f>'[1]Tasa de Falla'!E68</f>
        <v>132</v>
      </c>
      <c r="F68" s="499">
        <f>'[1]Tasa de Falla'!F68</f>
        <v>75.6</v>
      </c>
      <c r="G68" s="500">
        <f>IF('[1]Tasa de Falla'!HX68=0,"",'[1]Tasa de Falla'!HX68)</f>
      </c>
      <c r="H68" s="500">
        <f>IF('[1]Tasa de Falla'!HY68=0,"",'[1]Tasa de Falla'!HY68)</f>
      </c>
      <c r="I68" s="500">
        <f>IF('[1]Tasa de Falla'!HZ68=0,"",'[1]Tasa de Falla'!HZ68)</f>
      </c>
      <c r="J68" s="500">
        <f>IF('[1]Tasa de Falla'!IA68=0,"",'[1]Tasa de Falla'!IA68)</f>
      </c>
      <c r="K68" s="500">
        <f>IF('[1]Tasa de Falla'!IB68=0,"",'[1]Tasa de Falla'!IB68)</f>
      </c>
      <c r="L68" s="500">
        <f>IF('[1]Tasa de Falla'!IC68=0,"",'[1]Tasa de Falla'!IC68)</f>
      </c>
      <c r="M68" s="500">
        <f>IF('[1]Tasa de Falla'!ID68=0,"",'[1]Tasa de Falla'!ID68)</f>
      </c>
      <c r="N68" s="500">
        <f>IF('[1]Tasa de Falla'!IE68=0,"",'[1]Tasa de Falla'!IE68)</f>
      </c>
      <c r="O68" s="500">
        <f>IF('[1]Tasa de Falla'!IF68=0,"",'[1]Tasa de Falla'!IF68)</f>
      </c>
      <c r="P68" s="500">
        <f>IF('[1]Tasa de Falla'!IG68=0,"",'[1]Tasa de Falla'!IG68)</f>
      </c>
      <c r="Q68" s="500">
        <f>IF('[1]Tasa de Falla'!IH68=0,"",'[1]Tasa de Falla'!IH68)</f>
      </c>
      <c r="R68" s="500">
        <f>IF('[1]Tasa de Falla'!II68=0,"",'[1]Tasa de Falla'!II68)</f>
      </c>
      <c r="S68" s="501"/>
      <c r="T68" s="498"/>
    </row>
    <row r="69" spans="2:20" s="492" customFormat="1" ht="19.5" customHeight="1">
      <c r="B69" s="493"/>
      <c r="C69" s="499">
        <f>'[1]Tasa de Falla'!C69</f>
        <v>52</v>
      </c>
      <c r="D69" s="499" t="str">
        <f>'[1]Tasa de Falla'!D69</f>
        <v>EL TUNAL - J.V. GONZALEZ</v>
      </c>
      <c r="E69" s="499">
        <f>'[1]Tasa de Falla'!E69</f>
        <v>132</v>
      </c>
      <c r="F69" s="499">
        <f>'[1]Tasa de Falla'!F69</f>
        <v>41.4</v>
      </c>
      <c r="G69" s="500">
        <f>IF('[1]Tasa de Falla'!HX69=0,"",'[1]Tasa de Falla'!HX69)</f>
      </c>
      <c r="H69" s="500">
        <f>IF('[1]Tasa de Falla'!HY69=0,"",'[1]Tasa de Falla'!HY69)</f>
      </c>
      <c r="I69" s="500">
        <f>IF('[1]Tasa de Falla'!HZ69=0,"",'[1]Tasa de Falla'!HZ69)</f>
      </c>
      <c r="J69" s="500">
        <f>IF('[1]Tasa de Falla'!IA69=0,"",'[1]Tasa de Falla'!IA69)</f>
      </c>
      <c r="K69" s="500">
        <f>IF('[1]Tasa de Falla'!IB69=0,"",'[1]Tasa de Falla'!IB69)</f>
      </c>
      <c r="L69" s="500">
        <f>IF('[1]Tasa de Falla'!IC69=0,"",'[1]Tasa de Falla'!IC69)</f>
      </c>
      <c r="M69" s="500">
        <f>IF('[1]Tasa de Falla'!ID69=0,"",'[1]Tasa de Falla'!ID69)</f>
      </c>
      <c r="N69" s="500">
        <f>IF('[1]Tasa de Falla'!IE69=0,"",'[1]Tasa de Falla'!IE69)</f>
      </c>
      <c r="O69" s="500">
        <f>IF('[1]Tasa de Falla'!IF69=0,"",'[1]Tasa de Falla'!IF69)</f>
      </c>
      <c r="P69" s="500">
        <f>IF('[1]Tasa de Falla'!IG69=0,"",'[1]Tasa de Falla'!IG69)</f>
      </c>
      <c r="Q69" s="500">
        <f>IF('[1]Tasa de Falla'!IH69=0,"",'[1]Tasa de Falla'!IH69)</f>
      </c>
      <c r="R69" s="500">
        <f>IF('[1]Tasa de Falla'!II69=0,"",'[1]Tasa de Falla'!II69)</f>
      </c>
      <c r="S69" s="501"/>
      <c r="T69" s="498"/>
    </row>
    <row r="70" spans="2:20" s="492" customFormat="1" ht="19.5" customHeight="1">
      <c r="B70" s="493"/>
      <c r="C70" s="499">
        <f>'[1]Tasa de Falla'!C70</f>
        <v>0</v>
      </c>
      <c r="D70" s="499">
        <f>'[1]Tasa de Falla'!D70</f>
        <v>0</v>
      </c>
      <c r="E70" s="499">
        <f>'[1]Tasa de Falla'!E70</f>
        <v>0</v>
      </c>
      <c r="F70" s="499">
        <f>'[1]Tasa de Falla'!F70</f>
        <v>0</v>
      </c>
      <c r="G70" s="500">
        <f>IF('[1]Tasa de Falla'!HX70=0,"",'[1]Tasa de Falla'!HX70)</f>
      </c>
      <c r="H70" s="500">
        <f>IF('[1]Tasa de Falla'!HY70=0,"",'[1]Tasa de Falla'!HY70)</f>
      </c>
      <c r="I70" s="500">
        <f>IF('[1]Tasa de Falla'!HZ70=0,"",'[1]Tasa de Falla'!HZ70)</f>
      </c>
      <c r="J70" s="500">
        <f>IF('[1]Tasa de Falla'!IA70=0,"",'[1]Tasa de Falla'!IA70)</f>
      </c>
      <c r="K70" s="500">
        <f>IF('[1]Tasa de Falla'!IB70=0,"",'[1]Tasa de Falla'!IB70)</f>
      </c>
      <c r="L70" s="500">
        <f>IF('[1]Tasa de Falla'!IC70=0,"",'[1]Tasa de Falla'!IC70)</f>
      </c>
      <c r="M70" s="500">
        <f>IF('[1]Tasa de Falla'!ID70=0,"",'[1]Tasa de Falla'!ID70)</f>
      </c>
      <c r="N70" s="500">
        <f>IF('[1]Tasa de Falla'!IE70=0,"",'[1]Tasa de Falla'!IE70)</f>
      </c>
      <c r="O70" s="500">
        <f>IF('[1]Tasa de Falla'!IF70=0,"",'[1]Tasa de Falla'!IF70)</f>
      </c>
      <c r="P70" s="500">
        <f>IF('[1]Tasa de Falla'!IG70=0,"",'[1]Tasa de Falla'!IG70)</f>
      </c>
      <c r="Q70" s="500">
        <f>IF('[1]Tasa de Falla'!IH70=0,"",'[1]Tasa de Falla'!IH70)</f>
      </c>
      <c r="R70" s="500">
        <f>IF('[1]Tasa de Falla'!II70=0,"",'[1]Tasa de Falla'!II70)</f>
      </c>
      <c r="S70" s="501"/>
      <c r="T70" s="498"/>
    </row>
    <row r="71" spans="2:20" s="492" customFormat="1" ht="19.5" customHeight="1">
      <c r="B71" s="493"/>
      <c r="C71" s="499">
        <f>'[1]Tasa de Falla'!C71</f>
        <v>53</v>
      </c>
      <c r="D71" s="499" t="str">
        <f>'[1]Tasa de Falla'!D71</f>
        <v>LOS PIZARROS - ESCABA</v>
      </c>
      <c r="E71" s="499">
        <f>'[1]Tasa de Falla'!E71</f>
        <v>132</v>
      </c>
      <c r="F71" s="499">
        <f>'[1]Tasa de Falla'!F71</f>
        <v>21.4</v>
      </c>
      <c r="G71" s="500">
        <f>IF('[1]Tasa de Falla'!HX71=0,"",'[1]Tasa de Falla'!HX71)</f>
      </c>
      <c r="H71" s="500">
        <f>IF('[1]Tasa de Falla'!HY71=0,"",'[1]Tasa de Falla'!HY71)</f>
      </c>
      <c r="I71" s="500">
        <f>IF('[1]Tasa de Falla'!HZ71=0,"",'[1]Tasa de Falla'!HZ71)</f>
      </c>
      <c r="J71" s="500">
        <f>IF('[1]Tasa de Falla'!IA71=0,"",'[1]Tasa de Falla'!IA71)</f>
      </c>
      <c r="K71" s="500">
        <f>IF('[1]Tasa de Falla'!IB71=0,"",'[1]Tasa de Falla'!IB71)</f>
      </c>
      <c r="L71" s="500">
        <f>IF('[1]Tasa de Falla'!IC71=0,"",'[1]Tasa de Falla'!IC71)</f>
      </c>
      <c r="M71" s="500">
        <f>IF('[1]Tasa de Falla'!ID71=0,"",'[1]Tasa de Falla'!ID71)</f>
      </c>
      <c r="N71" s="500">
        <f>IF('[1]Tasa de Falla'!IE71=0,"",'[1]Tasa de Falla'!IE71)</f>
      </c>
      <c r="O71" s="500">
        <f>IF('[1]Tasa de Falla'!IF71=0,"",'[1]Tasa de Falla'!IF71)</f>
      </c>
      <c r="P71" s="500">
        <f>IF('[1]Tasa de Falla'!IG71=0,"",'[1]Tasa de Falla'!IG71)</f>
      </c>
      <c r="Q71" s="500">
        <f>IF('[1]Tasa de Falla'!IH71=0,"",'[1]Tasa de Falla'!IH71)</f>
      </c>
      <c r="R71" s="500">
        <f>IF('[1]Tasa de Falla'!II71=0,"",'[1]Tasa de Falla'!II71)</f>
      </c>
      <c r="S71" s="501"/>
      <c r="T71" s="498"/>
    </row>
    <row r="72" spans="2:20" s="492" customFormat="1" ht="19.5" customHeight="1">
      <c r="B72" s="493"/>
      <c r="C72" s="499">
        <f>'[1]Tasa de Falla'!C72</f>
        <v>54</v>
      </c>
      <c r="D72" s="499" t="str">
        <f>'[1]Tasa de Falla'!D72</f>
        <v>LOS PIZARROS - LA COCHA</v>
      </c>
      <c r="E72" s="499">
        <f>'[1]Tasa de Falla'!E72</f>
        <v>132</v>
      </c>
      <c r="F72" s="499">
        <f>'[1]Tasa de Falla'!F72</f>
        <v>6.5</v>
      </c>
      <c r="G72" s="500">
        <f>IF('[1]Tasa de Falla'!HX72=0,"",'[1]Tasa de Falla'!HX72)</f>
      </c>
      <c r="H72" s="500">
        <f>IF('[1]Tasa de Falla'!HY72=0,"",'[1]Tasa de Falla'!HY72)</f>
      </c>
      <c r="I72" s="500">
        <f>IF('[1]Tasa de Falla'!HZ72=0,"",'[1]Tasa de Falla'!HZ72)</f>
      </c>
      <c r="J72" s="500">
        <f>IF('[1]Tasa de Falla'!IA72=0,"",'[1]Tasa de Falla'!IA72)</f>
      </c>
      <c r="K72" s="500">
        <f>IF('[1]Tasa de Falla'!IB72=0,"",'[1]Tasa de Falla'!IB72)</f>
      </c>
      <c r="L72" s="500">
        <f>IF('[1]Tasa de Falla'!IC72=0,"",'[1]Tasa de Falla'!IC72)</f>
      </c>
      <c r="M72" s="500">
        <f>IF('[1]Tasa de Falla'!ID72=0,"",'[1]Tasa de Falla'!ID72)</f>
      </c>
      <c r="N72" s="500">
        <f>IF('[1]Tasa de Falla'!IE72=0,"",'[1]Tasa de Falla'!IE72)</f>
      </c>
      <c r="O72" s="500">
        <f>IF('[1]Tasa de Falla'!IF72=0,"",'[1]Tasa de Falla'!IF72)</f>
      </c>
      <c r="P72" s="500">
        <f>IF('[1]Tasa de Falla'!IG72=0,"",'[1]Tasa de Falla'!IG72)</f>
      </c>
      <c r="Q72" s="500">
        <f>IF('[1]Tasa de Falla'!IH72=0,"",'[1]Tasa de Falla'!IH72)</f>
      </c>
      <c r="R72" s="500">
        <f>IF('[1]Tasa de Falla'!II72=0,"",'[1]Tasa de Falla'!II72)</f>
      </c>
      <c r="S72" s="501"/>
      <c r="T72" s="498"/>
    </row>
    <row r="73" spans="2:20" s="492" customFormat="1" ht="19.5" customHeight="1">
      <c r="B73" s="493"/>
      <c r="C73" s="499">
        <f>'[1]Tasa de Falla'!C73</f>
        <v>55</v>
      </c>
      <c r="D73" s="499" t="str">
        <f>'[1]Tasa de Falla'!D73</f>
        <v>HUACRA - LOS PIZARROS</v>
      </c>
      <c r="E73" s="499">
        <f>'[1]Tasa de Falla'!E73</f>
        <v>132</v>
      </c>
      <c r="F73" s="499">
        <f>'[1]Tasa de Falla'!F73</f>
        <v>28.5</v>
      </c>
      <c r="G73" s="500">
        <f>IF('[1]Tasa de Falla'!HX73=0,"",'[1]Tasa de Falla'!HX73)</f>
      </c>
      <c r="H73" s="500">
        <f>IF('[1]Tasa de Falla'!HY73=0,"",'[1]Tasa de Falla'!HY73)</f>
      </c>
      <c r="I73" s="500">
        <f>IF('[1]Tasa de Falla'!HZ73=0,"",'[1]Tasa de Falla'!HZ73)</f>
      </c>
      <c r="J73" s="500">
        <f>IF('[1]Tasa de Falla'!IA73=0,"",'[1]Tasa de Falla'!IA73)</f>
      </c>
      <c r="K73" s="500">
        <f>IF('[1]Tasa de Falla'!IB73=0,"",'[1]Tasa de Falla'!IB73)</f>
      </c>
      <c r="L73" s="500">
        <f>IF('[1]Tasa de Falla'!IC73=0,"",'[1]Tasa de Falla'!IC73)</f>
      </c>
      <c r="M73" s="500">
        <f>IF('[1]Tasa de Falla'!ID73=0,"",'[1]Tasa de Falla'!ID73)</f>
      </c>
      <c r="N73" s="500">
        <f>IF('[1]Tasa de Falla'!IE73=0,"",'[1]Tasa de Falla'!IE73)</f>
      </c>
      <c r="O73" s="500">
        <f>IF('[1]Tasa de Falla'!IF73=0,"",'[1]Tasa de Falla'!IF73)</f>
      </c>
      <c r="P73" s="500">
        <f>IF('[1]Tasa de Falla'!IG73=0,"",'[1]Tasa de Falla'!IG73)</f>
      </c>
      <c r="Q73" s="500">
        <f>IF('[1]Tasa de Falla'!IH73=0,"",'[1]Tasa de Falla'!IH73)</f>
      </c>
      <c r="R73" s="500">
        <f>IF('[1]Tasa de Falla'!II73=0,"",'[1]Tasa de Falla'!II73)</f>
      </c>
      <c r="S73" s="501"/>
      <c r="T73" s="498"/>
    </row>
    <row r="74" spans="2:20" s="492" customFormat="1" ht="19.5" customHeight="1">
      <c r="B74" s="493"/>
      <c r="C74" s="499">
        <f>'[1]Tasa de Falla'!C74</f>
        <v>56</v>
      </c>
      <c r="D74" s="499" t="str">
        <f>'[1]Tasa de Falla'!D74</f>
        <v>CEVIL POZO - AVELLANEDA</v>
      </c>
      <c r="E74" s="499">
        <f>'[1]Tasa de Falla'!E74</f>
        <v>132</v>
      </c>
      <c r="F74" s="499">
        <f>'[1]Tasa de Falla'!F74</f>
        <v>8</v>
      </c>
      <c r="G74" s="500">
        <f>IF('[1]Tasa de Falla'!HX74=0,"",'[1]Tasa de Falla'!HX74)</f>
      </c>
      <c r="H74" s="500">
        <f>IF('[1]Tasa de Falla'!HY74=0,"",'[1]Tasa de Falla'!HY74)</f>
      </c>
      <c r="I74" s="500">
        <f>IF('[1]Tasa de Falla'!HZ74=0,"",'[1]Tasa de Falla'!HZ74)</f>
      </c>
      <c r="J74" s="500">
        <f>IF('[1]Tasa de Falla'!IA74=0,"",'[1]Tasa de Falla'!IA74)</f>
      </c>
      <c r="K74" s="500">
        <f>IF('[1]Tasa de Falla'!IB74=0,"",'[1]Tasa de Falla'!IB74)</f>
      </c>
      <c r="L74" s="500">
        <f>IF('[1]Tasa de Falla'!IC74=0,"",'[1]Tasa de Falla'!IC74)</f>
      </c>
      <c r="M74" s="500">
        <f>IF('[1]Tasa de Falla'!ID74=0,"",'[1]Tasa de Falla'!ID74)</f>
      </c>
      <c r="N74" s="500">
        <f>IF('[1]Tasa de Falla'!IE74=0,"",'[1]Tasa de Falla'!IE74)</f>
      </c>
      <c r="O74" s="500">
        <f>IF('[1]Tasa de Falla'!IF74=0,"",'[1]Tasa de Falla'!IF74)</f>
      </c>
      <c r="P74" s="500">
        <f>IF('[1]Tasa de Falla'!IG74=0,"",'[1]Tasa de Falla'!IG74)</f>
      </c>
      <c r="Q74" s="500">
        <f>IF('[1]Tasa de Falla'!IH74=0,"",'[1]Tasa de Falla'!IH74)</f>
      </c>
      <c r="R74" s="500">
        <f>IF('[1]Tasa de Falla'!II74=0,"",'[1]Tasa de Falla'!II74)</f>
      </c>
      <c r="S74" s="501"/>
      <c r="T74" s="498"/>
    </row>
    <row r="75" spans="2:20" s="492" customFormat="1" ht="19.5" customHeight="1">
      <c r="B75" s="493"/>
      <c r="C75" s="499">
        <f>'[1]Tasa de Falla'!C75</f>
        <v>57</v>
      </c>
      <c r="D75" s="499" t="str">
        <f>'[1]Tasa de Falla'!D75</f>
        <v>CABRA CORRAL - SALTA ESTE</v>
      </c>
      <c r="E75" s="499">
        <f>'[1]Tasa de Falla'!E75</f>
        <v>132</v>
      </c>
      <c r="F75" s="499">
        <f>'[1]Tasa de Falla'!F75</f>
        <v>55</v>
      </c>
      <c r="G75" s="500">
        <f>IF('[1]Tasa de Falla'!HX75=0,"",'[1]Tasa de Falla'!HX75)</f>
      </c>
      <c r="H75" s="500">
        <f>IF('[1]Tasa de Falla'!HY75=0,"",'[1]Tasa de Falla'!HY75)</f>
      </c>
      <c r="I75" s="500">
        <f>IF('[1]Tasa de Falla'!HZ75=0,"",'[1]Tasa de Falla'!HZ75)</f>
      </c>
      <c r="J75" s="500">
        <f>IF('[1]Tasa de Falla'!IA75=0,"",'[1]Tasa de Falla'!IA75)</f>
      </c>
      <c r="K75" s="500">
        <f>IF('[1]Tasa de Falla'!IB75=0,"",'[1]Tasa de Falla'!IB75)</f>
      </c>
      <c r="L75" s="500">
        <f>IF('[1]Tasa de Falla'!IC75=0,"",'[1]Tasa de Falla'!IC75)</f>
        <v>1</v>
      </c>
      <c r="M75" s="500">
        <f>IF('[1]Tasa de Falla'!ID75=0,"",'[1]Tasa de Falla'!ID75)</f>
      </c>
      <c r="N75" s="500">
        <f>IF('[1]Tasa de Falla'!IE75=0,"",'[1]Tasa de Falla'!IE75)</f>
      </c>
      <c r="O75" s="500">
        <f>IF('[1]Tasa de Falla'!IF75=0,"",'[1]Tasa de Falla'!IF75)</f>
        <v>1</v>
      </c>
      <c r="P75" s="500">
        <f>IF('[1]Tasa de Falla'!IG75=0,"",'[1]Tasa de Falla'!IG75)</f>
      </c>
      <c r="Q75" s="500">
        <f>IF('[1]Tasa de Falla'!IH75=0,"",'[1]Tasa de Falla'!IH75)</f>
      </c>
      <c r="R75" s="500">
        <f>IF('[1]Tasa de Falla'!II75=0,"",'[1]Tasa de Falla'!II75)</f>
        <v>1</v>
      </c>
      <c r="S75" s="501"/>
      <c r="T75" s="498"/>
    </row>
    <row r="76" spans="2:20" s="492" customFormat="1" ht="19.5" customHeight="1">
      <c r="B76" s="493"/>
      <c r="C76" s="499">
        <f>'[1]Tasa de Falla'!C76</f>
        <v>58</v>
      </c>
      <c r="D76" s="499" t="str">
        <f>'[1]Tasa de Falla'!D76</f>
        <v>SALTA ESTE - SALTA SUR</v>
      </c>
      <c r="E76" s="499">
        <f>'[1]Tasa de Falla'!E76</f>
        <v>132</v>
      </c>
      <c r="F76" s="499">
        <f>'[1]Tasa de Falla'!F76</f>
        <v>7</v>
      </c>
      <c r="G76" s="500">
        <f>IF('[1]Tasa de Falla'!HX76=0,"",'[1]Tasa de Falla'!HX76)</f>
      </c>
      <c r="H76" s="500">
        <f>IF('[1]Tasa de Falla'!HY76=0,"",'[1]Tasa de Falla'!HY76)</f>
      </c>
      <c r="I76" s="500">
        <f>IF('[1]Tasa de Falla'!HZ76=0,"",'[1]Tasa de Falla'!HZ76)</f>
      </c>
      <c r="J76" s="500">
        <f>IF('[1]Tasa de Falla'!IA76=0,"",'[1]Tasa de Falla'!IA76)</f>
      </c>
      <c r="K76" s="500">
        <f>IF('[1]Tasa de Falla'!IB76=0,"",'[1]Tasa de Falla'!IB76)</f>
      </c>
      <c r="L76" s="500">
        <f>IF('[1]Tasa de Falla'!IC76=0,"",'[1]Tasa de Falla'!IC76)</f>
      </c>
      <c r="M76" s="500">
        <f>IF('[1]Tasa de Falla'!ID76=0,"",'[1]Tasa de Falla'!ID76)</f>
      </c>
      <c r="N76" s="500">
        <f>IF('[1]Tasa de Falla'!IE76=0,"",'[1]Tasa de Falla'!IE76)</f>
      </c>
      <c r="O76" s="500">
        <f>IF('[1]Tasa de Falla'!IF76=0,"",'[1]Tasa de Falla'!IF76)</f>
      </c>
      <c r="P76" s="500">
        <f>IF('[1]Tasa de Falla'!IG76=0,"",'[1]Tasa de Falla'!IG76)</f>
      </c>
      <c r="Q76" s="500">
        <f>IF('[1]Tasa de Falla'!IH76=0,"",'[1]Tasa de Falla'!IH76)</f>
      </c>
      <c r="R76" s="500">
        <f>IF('[1]Tasa de Falla'!II76=0,"",'[1]Tasa de Falla'!II76)</f>
      </c>
      <c r="S76" s="501"/>
      <c r="T76" s="498"/>
    </row>
    <row r="77" spans="2:20" s="492" customFormat="1" ht="19.5" customHeight="1">
      <c r="B77" s="493"/>
      <c r="C77" s="499">
        <f>'[1]Tasa de Falla'!C77</f>
        <v>59</v>
      </c>
      <c r="D77" s="499" t="str">
        <f>'[1]Tasa de Falla'!D77</f>
        <v>V. QUINTEROS - ACONQUIJA - ANDALGALA</v>
      </c>
      <c r="E77" s="499">
        <f>'[1]Tasa de Falla'!E77</f>
        <v>132</v>
      </c>
      <c r="F77" s="499">
        <f>'[1]Tasa de Falla'!F77</f>
        <v>102</v>
      </c>
      <c r="G77" s="500">
        <f>IF('[1]Tasa de Falla'!HX77=0,"",'[1]Tasa de Falla'!HX77)</f>
      </c>
      <c r="H77" s="500">
        <f>IF('[1]Tasa de Falla'!HY77=0,"",'[1]Tasa de Falla'!HY77)</f>
      </c>
      <c r="I77" s="500">
        <f>IF('[1]Tasa de Falla'!HZ77=0,"",'[1]Tasa de Falla'!HZ77)</f>
      </c>
      <c r="J77" s="500">
        <f>IF('[1]Tasa de Falla'!IA77=0,"",'[1]Tasa de Falla'!IA77)</f>
      </c>
      <c r="K77" s="500">
        <f>IF('[1]Tasa de Falla'!IB77=0,"",'[1]Tasa de Falla'!IB77)</f>
      </c>
      <c r="L77" s="500">
        <f>IF('[1]Tasa de Falla'!IC77=0,"",'[1]Tasa de Falla'!IC77)</f>
        <v>1</v>
      </c>
      <c r="M77" s="500">
        <f>IF('[1]Tasa de Falla'!ID77=0,"",'[1]Tasa de Falla'!ID77)</f>
        <v>1</v>
      </c>
      <c r="N77" s="500">
        <f>IF('[1]Tasa de Falla'!IE77=0,"",'[1]Tasa de Falla'!IE77)</f>
      </c>
      <c r="O77" s="500">
        <f>IF('[1]Tasa de Falla'!IF77=0,"",'[1]Tasa de Falla'!IF77)</f>
      </c>
      <c r="P77" s="500">
        <f>IF('[1]Tasa de Falla'!IG77=0,"",'[1]Tasa de Falla'!IG77)</f>
      </c>
      <c r="Q77" s="500">
        <f>IF('[1]Tasa de Falla'!IH77=0,"",'[1]Tasa de Falla'!IH77)</f>
      </c>
      <c r="R77" s="500">
        <f>IF('[1]Tasa de Falla'!II77=0,"",'[1]Tasa de Falla'!II77)</f>
        <v>1</v>
      </c>
      <c r="S77" s="501"/>
      <c r="T77" s="498"/>
    </row>
    <row r="78" spans="2:20" s="492" customFormat="1" ht="19.5" customHeight="1">
      <c r="B78" s="493"/>
      <c r="C78" s="499">
        <f>'[1]Tasa de Falla'!C78</f>
        <v>60</v>
      </c>
      <c r="D78" s="499" t="str">
        <f>'[1]Tasa de Falla'!D78</f>
        <v>ANDALGALA - BELEN</v>
      </c>
      <c r="E78" s="499">
        <f>'[1]Tasa de Falla'!E78</f>
        <v>132</v>
      </c>
      <c r="F78" s="499">
        <f>'[1]Tasa de Falla'!F78</f>
        <v>80.3</v>
      </c>
      <c r="G78" s="500">
        <f>IF('[1]Tasa de Falla'!HX78=0,"",'[1]Tasa de Falla'!HX78)</f>
      </c>
      <c r="H78" s="500">
        <f>IF('[1]Tasa de Falla'!HY78=0,"",'[1]Tasa de Falla'!HY78)</f>
      </c>
      <c r="I78" s="500">
        <f>IF('[1]Tasa de Falla'!HZ78=0,"",'[1]Tasa de Falla'!HZ78)</f>
      </c>
      <c r="J78" s="500">
        <f>IF('[1]Tasa de Falla'!IA78=0,"",'[1]Tasa de Falla'!IA78)</f>
      </c>
      <c r="K78" s="500">
        <f>IF('[1]Tasa de Falla'!IB78=0,"",'[1]Tasa de Falla'!IB78)</f>
      </c>
      <c r="L78" s="500">
        <f>IF('[1]Tasa de Falla'!IC78=0,"",'[1]Tasa de Falla'!IC78)</f>
      </c>
      <c r="M78" s="500">
        <f>IF('[1]Tasa de Falla'!ID78=0,"",'[1]Tasa de Falla'!ID78)</f>
      </c>
      <c r="N78" s="500">
        <f>IF('[1]Tasa de Falla'!IE78=0,"",'[1]Tasa de Falla'!IE78)</f>
      </c>
      <c r="O78" s="500">
        <f>IF('[1]Tasa de Falla'!IF78=0,"",'[1]Tasa de Falla'!IF78)</f>
      </c>
      <c r="P78" s="500">
        <f>IF('[1]Tasa de Falla'!IG78=0,"",'[1]Tasa de Falla'!IG78)</f>
      </c>
      <c r="Q78" s="500">
        <f>IF('[1]Tasa de Falla'!IH78=0,"",'[1]Tasa de Falla'!IH78)</f>
        <v>2</v>
      </c>
      <c r="R78" s="500">
        <f>IF('[1]Tasa de Falla'!II78=0,"",'[1]Tasa de Falla'!II78)</f>
        <v>1</v>
      </c>
      <c r="S78" s="501"/>
      <c r="T78" s="498"/>
    </row>
    <row r="79" spans="2:20" s="492" customFormat="1" ht="19.5" customHeight="1">
      <c r="B79" s="493"/>
      <c r="C79" s="499">
        <f>'[1]Tasa de Falla'!C79</f>
        <v>61</v>
      </c>
      <c r="D79" s="499" t="str">
        <f>'[1]Tasa de Falla'!D79</f>
        <v>TUCUMAN NORTE - TRANCAS</v>
      </c>
      <c r="E79" s="499">
        <f>'[1]Tasa de Falla'!E79</f>
        <v>132</v>
      </c>
      <c r="F79" s="499">
        <f>'[1]Tasa de Falla'!F79</f>
        <v>75</v>
      </c>
      <c r="G79" s="500">
        <f>IF('[1]Tasa de Falla'!HX79=0,"",'[1]Tasa de Falla'!HX79)</f>
      </c>
      <c r="H79" s="500">
        <f>IF('[1]Tasa de Falla'!HY79=0,"",'[1]Tasa de Falla'!HY79)</f>
      </c>
      <c r="I79" s="500">
        <f>IF('[1]Tasa de Falla'!HZ79=0,"",'[1]Tasa de Falla'!HZ79)</f>
      </c>
      <c r="J79" s="500">
        <f>IF('[1]Tasa de Falla'!IA79=0,"",'[1]Tasa de Falla'!IA79)</f>
      </c>
      <c r="K79" s="500">
        <f>IF('[1]Tasa de Falla'!IB79=0,"",'[1]Tasa de Falla'!IB79)</f>
      </c>
      <c r="L79" s="500">
        <f>IF('[1]Tasa de Falla'!IC79=0,"",'[1]Tasa de Falla'!IC79)</f>
      </c>
      <c r="M79" s="500">
        <f>IF('[1]Tasa de Falla'!ID79=0,"",'[1]Tasa de Falla'!ID79)</f>
        <v>1</v>
      </c>
      <c r="N79" s="500">
        <f>IF('[1]Tasa de Falla'!IE79=0,"",'[1]Tasa de Falla'!IE79)</f>
      </c>
      <c r="O79" s="500">
        <f>IF('[1]Tasa de Falla'!IF79=0,"",'[1]Tasa de Falla'!IF79)</f>
      </c>
      <c r="P79" s="500">
        <f>IF('[1]Tasa de Falla'!IG79=0,"",'[1]Tasa de Falla'!IG79)</f>
      </c>
      <c r="Q79" s="500">
        <f>IF('[1]Tasa de Falla'!IH79=0,"",'[1]Tasa de Falla'!IH79)</f>
      </c>
      <c r="R79" s="500">
        <f>IF('[1]Tasa de Falla'!II79=0,"",'[1]Tasa de Falla'!II79)</f>
      </c>
      <c r="S79" s="501"/>
      <c r="T79" s="498"/>
    </row>
    <row r="80" spans="2:20" s="492" customFormat="1" ht="19.5" customHeight="1">
      <c r="B80" s="493"/>
      <c r="C80" s="499">
        <f>'[1]Tasa de Falla'!C80</f>
        <v>62</v>
      </c>
      <c r="D80" s="499" t="str">
        <f>'[1]Tasa de Falla'!D80</f>
        <v>CABRA CORRAL - TRANCAS</v>
      </c>
      <c r="E80" s="499">
        <f>'[1]Tasa de Falla'!E80</f>
        <v>132</v>
      </c>
      <c r="F80" s="499">
        <f>'[1]Tasa de Falla'!F80</f>
        <v>115</v>
      </c>
      <c r="G80" s="500" t="str">
        <f>IF('[1]Tasa de Falla'!HX80=0,"",'[1]Tasa de Falla'!HX80)</f>
        <v>XXXX</v>
      </c>
      <c r="H80" s="500" t="str">
        <f>IF('[1]Tasa de Falla'!HY80=0,"",'[1]Tasa de Falla'!HY80)</f>
        <v>XXXX</v>
      </c>
      <c r="I80" s="500" t="str">
        <f>IF('[1]Tasa de Falla'!HZ80=0,"",'[1]Tasa de Falla'!HZ80)</f>
        <v>XXXX</v>
      </c>
      <c r="J80" s="500" t="str">
        <f>IF('[1]Tasa de Falla'!IA80=0,"",'[1]Tasa de Falla'!IA80)</f>
        <v>XXXX</v>
      </c>
      <c r="K80" s="500" t="str">
        <f>IF('[1]Tasa de Falla'!IB80=0,"",'[1]Tasa de Falla'!IB80)</f>
        <v>XXXX</v>
      </c>
      <c r="L80" s="500" t="str">
        <f>IF('[1]Tasa de Falla'!IC80=0,"",'[1]Tasa de Falla'!IC80)</f>
        <v>XXXX</v>
      </c>
      <c r="M80" s="500" t="str">
        <f>IF('[1]Tasa de Falla'!ID80=0,"",'[1]Tasa de Falla'!ID80)</f>
        <v>XXXX</v>
      </c>
      <c r="N80" s="500" t="str">
        <f>IF('[1]Tasa de Falla'!IE80=0,"",'[1]Tasa de Falla'!IE80)</f>
        <v>XXXX</v>
      </c>
      <c r="O80" s="500" t="str">
        <f>IF('[1]Tasa de Falla'!IF80=0,"",'[1]Tasa de Falla'!IF80)</f>
        <v>XXXX</v>
      </c>
      <c r="P80" s="500" t="str">
        <f>IF('[1]Tasa de Falla'!IG80=0,"",'[1]Tasa de Falla'!IG80)</f>
        <v>XXXX</v>
      </c>
      <c r="Q80" s="500" t="str">
        <f>IF('[1]Tasa de Falla'!IH80=0,"",'[1]Tasa de Falla'!IH80)</f>
        <v>XXXX</v>
      </c>
      <c r="R80" s="500" t="str">
        <f>IF('[1]Tasa de Falla'!II80=0,"",'[1]Tasa de Falla'!II80)</f>
        <v>XXXX</v>
      </c>
      <c r="S80" s="501"/>
      <c r="T80" s="498"/>
    </row>
    <row r="81" spans="2:20" s="492" customFormat="1" ht="19.5" customHeight="1">
      <c r="B81" s="493"/>
      <c r="C81" s="499">
        <f>'[1]Tasa de Falla'!C81</f>
        <v>63</v>
      </c>
      <c r="D81" s="499" t="str">
        <f>'[1]Tasa de Falla'!D81</f>
        <v>LAS MADERAS - JUJUY SUR</v>
      </c>
      <c r="E81" s="499">
        <f>'[1]Tasa de Falla'!E81</f>
        <v>132</v>
      </c>
      <c r="F81" s="499">
        <f>'[1]Tasa de Falla'!F81</f>
        <v>29</v>
      </c>
      <c r="G81" s="500">
        <f>IF('[1]Tasa de Falla'!HX81=0,"",'[1]Tasa de Falla'!HX81)</f>
      </c>
      <c r="H81" s="500">
        <f>IF('[1]Tasa de Falla'!HY81=0,"",'[1]Tasa de Falla'!HY81)</f>
      </c>
      <c r="I81" s="500">
        <f>IF('[1]Tasa de Falla'!HZ81=0,"",'[1]Tasa de Falla'!HZ81)</f>
      </c>
      <c r="J81" s="500">
        <f>IF('[1]Tasa de Falla'!IA81=0,"",'[1]Tasa de Falla'!IA81)</f>
      </c>
      <c r="K81" s="500">
        <f>IF('[1]Tasa de Falla'!IB81=0,"",'[1]Tasa de Falla'!IB81)</f>
        <v>1</v>
      </c>
      <c r="L81" s="500">
        <f>IF('[1]Tasa de Falla'!IC81=0,"",'[1]Tasa de Falla'!IC81)</f>
        <v>1</v>
      </c>
      <c r="M81" s="500">
        <f>IF('[1]Tasa de Falla'!ID81=0,"",'[1]Tasa de Falla'!ID81)</f>
      </c>
      <c r="N81" s="500">
        <f>IF('[1]Tasa de Falla'!IE81=0,"",'[1]Tasa de Falla'!IE81)</f>
      </c>
      <c r="O81" s="500">
        <f>IF('[1]Tasa de Falla'!IF81=0,"",'[1]Tasa de Falla'!IF81)</f>
      </c>
      <c r="P81" s="500">
        <f>IF('[1]Tasa de Falla'!IG81=0,"",'[1]Tasa de Falla'!IG81)</f>
        <v>1</v>
      </c>
      <c r="Q81" s="500">
        <f>IF('[1]Tasa de Falla'!IH81=0,"",'[1]Tasa de Falla'!IH81)</f>
        <v>3</v>
      </c>
      <c r="R81" s="500">
        <f>IF('[1]Tasa de Falla'!II81=0,"",'[1]Tasa de Falla'!II81)</f>
        <v>1</v>
      </c>
      <c r="S81" s="501"/>
      <c r="T81" s="498"/>
    </row>
    <row r="82" spans="2:20" s="492" customFormat="1" ht="19.5" customHeight="1">
      <c r="B82" s="493"/>
      <c r="C82" s="499">
        <f>'[1]Tasa de Falla'!C82</f>
        <v>64</v>
      </c>
      <c r="D82" s="499" t="str">
        <f>'[1]Tasa de Falla'!D82</f>
        <v>BELEN - TINOGASTA</v>
      </c>
      <c r="E82" s="499">
        <f>'[1]Tasa de Falla'!E82</f>
        <v>132</v>
      </c>
      <c r="F82" s="499">
        <f>'[1]Tasa de Falla'!F82</f>
        <v>72</v>
      </c>
      <c r="G82" s="500">
        <f>IF('[1]Tasa de Falla'!HX82=0,"",'[1]Tasa de Falla'!HX82)</f>
      </c>
      <c r="H82" s="500">
        <f>IF('[1]Tasa de Falla'!HY82=0,"",'[1]Tasa de Falla'!HY82)</f>
      </c>
      <c r="I82" s="500">
        <f>IF('[1]Tasa de Falla'!HZ82=0,"",'[1]Tasa de Falla'!HZ82)</f>
      </c>
      <c r="J82" s="500">
        <f>IF('[1]Tasa de Falla'!IA82=0,"",'[1]Tasa de Falla'!IA82)</f>
      </c>
      <c r="K82" s="500">
        <f>IF('[1]Tasa de Falla'!IB82=0,"",'[1]Tasa de Falla'!IB82)</f>
      </c>
      <c r="L82" s="500">
        <f>IF('[1]Tasa de Falla'!IC82=0,"",'[1]Tasa de Falla'!IC82)</f>
      </c>
      <c r="M82" s="500">
        <f>IF('[1]Tasa de Falla'!ID82=0,"",'[1]Tasa de Falla'!ID82)</f>
      </c>
      <c r="N82" s="500">
        <f>IF('[1]Tasa de Falla'!IE82=0,"",'[1]Tasa de Falla'!IE82)</f>
      </c>
      <c r="O82" s="500">
        <f>IF('[1]Tasa de Falla'!IF82=0,"",'[1]Tasa de Falla'!IF82)</f>
      </c>
      <c r="P82" s="500">
        <f>IF('[1]Tasa de Falla'!IG82=0,"",'[1]Tasa de Falla'!IG82)</f>
      </c>
      <c r="Q82" s="500">
        <f>IF('[1]Tasa de Falla'!IH82=0,"",'[1]Tasa de Falla'!IH82)</f>
        <v>2</v>
      </c>
      <c r="R82" s="500">
        <f>IF('[1]Tasa de Falla'!II82=0,"",'[1]Tasa de Falla'!II82)</f>
        <v>2</v>
      </c>
      <c r="S82" s="501"/>
      <c r="T82" s="498"/>
    </row>
    <row r="83" spans="2:20" s="492" customFormat="1" ht="19.5" customHeight="1">
      <c r="B83" s="493"/>
      <c r="C83" s="499">
        <f>'[1]Tasa de Falla'!C83</f>
        <v>65</v>
      </c>
      <c r="D83" s="499" t="str">
        <f>'[1]Tasa de Falla'!D83</f>
        <v>BURRUYACU - CEVIL POZO</v>
      </c>
      <c r="E83" s="499">
        <f>'[1]Tasa de Falla'!E83</f>
        <v>132</v>
      </c>
      <c r="F83" s="499">
        <f>'[1]Tasa de Falla'!F83</f>
        <v>56</v>
      </c>
      <c r="G83" s="500">
        <f>IF('[1]Tasa de Falla'!HX83=0,"",'[1]Tasa de Falla'!HX83)</f>
      </c>
      <c r="H83" s="500">
        <f>IF('[1]Tasa de Falla'!HY83=0,"",'[1]Tasa de Falla'!HY83)</f>
      </c>
      <c r="I83" s="500">
        <f>IF('[1]Tasa de Falla'!HZ83=0,"",'[1]Tasa de Falla'!HZ83)</f>
        <v>1</v>
      </c>
      <c r="J83" s="500">
        <f>IF('[1]Tasa de Falla'!IA83=0,"",'[1]Tasa de Falla'!IA83)</f>
      </c>
      <c r="K83" s="500">
        <f>IF('[1]Tasa de Falla'!IB83=0,"",'[1]Tasa de Falla'!IB83)</f>
        <v>1</v>
      </c>
      <c r="L83" s="500">
        <f>IF('[1]Tasa de Falla'!IC83=0,"",'[1]Tasa de Falla'!IC83)</f>
      </c>
      <c r="M83" s="500">
        <f>IF('[1]Tasa de Falla'!ID83=0,"",'[1]Tasa de Falla'!ID83)</f>
        <v>2</v>
      </c>
      <c r="N83" s="500">
        <f>IF('[1]Tasa de Falla'!IE83=0,"",'[1]Tasa de Falla'!IE83)</f>
      </c>
      <c r="O83" s="500">
        <f>IF('[1]Tasa de Falla'!IF83=0,"",'[1]Tasa de Falla'!IF83)</f>
        <v>1</v>
      </c>
      <c r="P83" s="500">
        <f>IF('[1]Tasa de Falla'!IG83=0,"",'[1]Tasa de Falla'!IG83)</f>
      </c>
      <c r="Q83" s="500">
        <f>IF('[1]Tasa de Falla'!IH83=0,"",'[1]Tasa de Falla'!IH83)</f>
      </c>
      <c r="R83" s="500">
        <f>IF('[1]Tasa de Falla'!II83=0,"",'[1]Tasa de Falla'!II83)</f>
      </c>
      <c r="S83" s="501"/>
      <c r="T83" s="498"/>
    </row>
    <row r="84" spans="2:20" s="492" customFormat="1" ht="19.5" customHeight="1">
      <c r="B84" s="493"/>
      <c r="C84" s="499">
        <f>'[1]Tasa de Falla'!C84</f>
        <v>66</v>
      </c>
      <c r="D84" s="499" t="str">
        <f>'[1]Tasa de Falla'!D84</f>
        <v>GÜEMES - BURRUYACU</v>
      </c>
      <c r="E84" s="499">
        <f>'[1]Tasa de Falla'!E84</f>
        <v>132</v>
      </c>
      <c r="F84" s="499">
        <f>'[1]Tasa de Falla'!F84</f>
        <v>235.1</v>
      </c>
      <c r="G84" s="500" t="str">
        <f>IF('[1]Tasa de Falla'!HX84=0,"",'[1]Tasa de Falla'!HX84)</f>
        <v>XXXX</v>
      </c>
      <c r="H84" s="500" t="str">
        <f>IF('[1]Tasa de Falla'!HY84=0,"",'[1]Tasa de Falla'!HY84)</f>
        <v>XXXX</v>
      </c>
      <c r="I84" s="500" t="str">
        <f>IF('[1]Tasa de Falla'!HZ84=0,"",'[1]Tasa de Falla'!HZ84)</f>
        <v>XXXX</v>
      </c>
      <c r="J84" s="500" t="str">
        <f>IF('[1]Tasa de Falla'!IA84=0,"",'[1]Tasa de Falla'!IA84)</f>
        <v>XXXX</v>
      </c>
      <c r="K84" s="500" t="str">
        <f>IF('[1]Tasa de Falla'!IB84=0,"",'[1]Tasa de Falla'!IB84)</f>
        <v>XXXX</v>
      </c>
      <c r="L84" s="500" t="str">
        <f>IF('[1]Tasa de Falla'!IC84=0,"",'[1]Tasa de Falla'!IC84)</f>
        <v>XXXX</v>
      </c>
      <c r="M84" s="500" t="str">
        <f>IF('[1]Tasa de Falla'!ID84=0,"",'[1]Tasa de Falla'!ID84)</f>
        <v>XXXX</v>
      </c>
      <c r="N84" s="500" t="str">
        <f>IF('[1]Tasa de Falla'!IE84=0,"",'[1]Tasa de Falla'!IE84)</f>
        <v>XXXX</v>
      </c>
      <c r="O84" s="500" t="str">
        <f>IF('[1]Tasa de Falla'!IF84=0,"",'[1]Tasa de Falla'!IF84)</f>
        <v>XXXX</v>
      </c>
      <c r="P84" s="500" t="str">
        <f>IF('[1]Tasa de Falla'!IG84=0,"",'[1]Tasa de Falla'!IG84)</f>
        <v>XXXX</v>
      </c>
      <c r="Q84" s="500" t="str">
        <f>IF('[1]Tasa de Falla'!IH84=0,"",'[1]Tasa de Falla'!IH84)</f>
        <v>XXXX</v>
      </c>
      <c r="R84" s="500" t="str">
        <f>IF('[1]Tasa de Falla'!II84=0,"",'[1]Tasa de Falla'!II84)</f>
        <v>XXXX</v>
      </c>
      <c r="S84" s="501"/>
      <c r="T84" s="498"/>
    </row>
    <row r="85" spans="2:20" s="492" customFormat="1" ht="19.5" customHeight="1">
      <c r="B85" s="493"/>
      <c r="C85" s="499">
        <f>'[1]Tasa de Falla'!C85</f>
        <v>67</v>
      </c>
      <c r="D85" s="499" t="str">
        <f>'[1]Tasa de Falla'!D85</f>
        <v>FRIAS - RECREO</v>
      </c>
      <c r="E85" s="499">
        <f>'[1]Tasa de Falla'!E85</f>
        <v>132</v>
      </c>
      <c r="F85" s="499">
        <f>'[1]Tasa de Falla'!F85</f>
        <v>74.54</v>
      </c>
      <c r="G85" s="500">
        <f>IF('[1]Tasa de Falla'!HX85=0,"",'[1]Tasa de Falla'!HX85)</f>
      </c>
      <c r="H85" s="500">
        <f>IF('[1]Tasa de Falla'!HY85=0,"",'[1]Tasa de Falla'!HY85)</f>
      </c>
      <c r="I85" s="500">
        <f>IF('[1]Tasa de Falla'!HZ85=0,"",'[1]Tasa de Falla'!HZ85)</f>
      </c>
      <c r="J85" s="500">
        <f>IF('[1]Tasa de Falla'!IA85=0,"",'[1]Tasa de Falla'!IA85)</f>
      </c>
      <c r="K85" s="500">
        <f>IF('[1]Tasa de Falla'!IB85=0,"",'[1]Tasa de Falla'!IB85)</f>
      </c>
      <c r="L85" s="500">
        <f>IF('[1]Tasa de Falla'!IC85=0,"",'[1]Tasa de Falla'!IC85)</f>
        <v>1</v>
      </c>
      <c r="M85" s="500">
        <f>IF('[1]Tasa de Falla'!ID85=0,"",'[1]Tasa de Falla'!ID85)</f>
      </c>
      <c r="N85" s="500">
        <f>IF('[1]Tasa de Falla'!IE85=0,"",'[1]Tasa de Falla'!IE85)</f>
      </c>
      <c r="O85" s="500">
        <f>IF('[1]Tasa de Falla'!IF85=0,"",'[1]Tasa de Falla'!IF85)</f>
      </c>
      <c r="P85" s="500">
        <f>IF('[1]Tasa de Falla'!IG85=0,"",'[1]Tasa de Falla'!IG85)</f>
      </c>
      <c r="Q85" s="500">
        <f>IF('[1]Tasa de Falla'!IH85=0,"",'[1]Tasa de Falla'!IH85)</f>
      </c>
      <c r="R85" s="500">
        <f>IF('[1]Tasa de Falla'!II85=0,"",'[1]Tasa de Falla'!II85)</f>
        <v>1</v>
      </c>
      <c r="S85" s="501"/>
      <c r="T85" s="498"/>
    </row>
    <row r="86" spans="2:20" s="492" customFormat="1" ht="19.5" customHeight="1">
      <c r="B86" s="493"/>
      <c r="C86" s="499">
        <f>'[1]Tasa de Falla'!C86</f>
        <v>68</v>
      </c>
      <c r="D86" s="499" t="str">
        <f>'[1]Tasa de Falla'!D86</f>
        <v>RECREO - LA RIOJA 1</v>
      </c>
      <c r="E86" s="499">
        <f>'[1]Tasa de Falla'!E86</f>
        <v>132</v>
      </c>
      <c r="F86" s="499">
        <f>'[1]Tasa de Falla'!F86</f>
        <v>221</v>
      </c>
      <c r="G86" s="500">
        <f>IF('[1]Tasa de Falla'!HX86=0,"",'[1]Tasa de Falla'!HX86)</f>
      </c>
      <c r="H86" s="500">
        <f>IF('[1]Tasa de Falla'!HY86=0,"",'[1]Tasa de Falla'!HY86)</f>
      </c>
      <c r="I86" s="500">
        <f>IF('[1]Tasa de Falla'!HZ86=0,"",'[1]Tasa de Falla'!HZ86)</f>
      </c>
      <c r="J86" s="500">
        <f>IF('[1]Tasa de Falla'!IA86=0,"",'[1]Tasa de Falla'!IA86)</f>
        <v>1</v>
      </c>
      <c r="K86" s="500">
        <f>IF('[1]Tasa de Falla'!IB86=0,"",'[1]Tasa de Falla'!IB86)</f>
      </c>
      <c r="L86" s="500">
        <f>IF('[1]Tasa de Falla'!IC86=0,"",'[1]Tasa de Falla'!IC86)</f>
      </c>
      <c r="M86" s="500">
        <f>IF('[1]Tasa de Falla'!ID86=0,"",'[1]Tasa de Falla'!ID86)</f>
      </c>
      <c r="N86" s="500">
        <f>IF('[1]Tasa de Falla'!IE86=0,"",'[1]Tasa de Falla'!IE86)</f>
      </c>
      <c r="O86" s="500">
        <f>IF('[1]Tasa de Falla'!IF86=0,"",'[1]Tasa de Falla'!IF86)</f>
      </c>
      <c r="P86" s="500">
        <f>IF('[1]Tasa de Falla'!IG86=0,"",'[1]Tasa de Falla'!IG86)</f>
        <v>1</v>
      </c>
      <c r="Q86" s="500">
        <f>IF('[1]Tasa de Falla'!IH86=0,"",'[1]Tasa de Falla'!IH86)</f>
      </c>
      <c r="R86" s="500">
        <f>IF('[1]Tasa de Falla'!II86=0,"",'[1]Tasa de Falla'!II86)</f>
        <v>1</v>
      </c>
      <c r="S86" s="501"/>
      <c r="T86" s="498"/>
    </row>
    <row r="87" spans="2:20" s="492" customFormat="1" ht="19.5" customHeight="1">
      <c r="B87" s="493"/>
      <c r="C87" s="499">
        <f>'[1]Tasa de Falla'!C87</f>
        <v>69</v>
      </c>
      <c r="D87" s="499" t="str">
        <f>'[1]Tasa de Falla'!D87</f>
        <v>RECREO - LA RIOJA 2</v>
      </c>
      <c r="E87" s="499">
        <f>'[1]Tasa de Falla'!E87</f>
        <v>132</v>
      </c>
      <c r="F87" s="499">
        <f>'[1]Tasa de Falla'!F87</f>
        <v>220</v>
      </c>
      <c r="G87" s="500">
        <f>IF('[1]Tasa de Falla'!HX87=0,"",'[1]Tasa de Falla'!HX87)</f>
      </c>
      <c r="H87" s="500">
        <f>IF('[1]Tasa de Falla'!HY87=0,"",'[1]Tasa de Falla'!HY87)</f>
      </c>
      <c r="I87" s="500">
        <f>IF('[1]Tasa de Falla'!HZ87=0,"",'[1]Tasa de Falla'!HZ87)</f>
      </c>
      <c r="J87" s="500">
        <f>IF('[1]Tasa de Falla'!IA87=0,"",'[1]Tasa de Falla'!IA87)</f>
      </c>
      <c r="K87" s="500">
        <f>IF('[1]Tasa de Falla'!IB87=0,"",'[1]Tasa de Falla'!IB87)</f>
      </c>
      <c r="L87" s="500">
        <f>IF('[1]Tasa de Falla'!IC87=0,"",'[1]Tasa de Falla'!IC87)</f>
        <v>1</v>
      </c>
      <c r="M87" s="500">
        <f>IF('[1]Tasa de Falla'!ID87=0,"",'[1]Tasa de Falla'!ID87)</f>
      </c>
      <c r="N87" s="500">
        <f>IF('[1]Tasa de Falla'!IE87=0,"",'[1]Tasa de Falla'!IE87)</f>
      </c>
      <c r="O87" s="500">
        <f>IF('[1]Tasa de Falla'!IF87=0,"",'[1]Tasa de Falla'!IF87)</f>
      </c>
      <c r="P87" s="500">
        <f>IF('[1]Tasa de Falla'!IG87=0,"",'[1]Tasa de Falla'!IG87)</f>
      </c>
      <c r="Q87" s="500">
        <f>IF('[1]Tasa de Falla'!IH87=0,"",'[1]Tasa de Falla'!IH87)</f>
        <v>1</v>
      </c>
      <c r="R87" s="500">
        <f>IF('[1]Tasa de Falla'!II87=0,"",'[1]Tasa de Falla'!II87)</f>
        <v>3</v>
      </c>
      <c r="S87" s="501"/>
      <c r="T87" s="498"/>
    </row>
    <row r="88" spans="2:20" s="492" customFormat="1" ht="19.5" customHeight="1">
      <c r="B88" s="493"/>
      <c r="C88" s="499">
        <f>'[1]Tasa de Falla'!C88</f>
        <v>70</v>
      </c>
      <c r="D88" s="499" t="str">
        <f>'[1]Tasa de Falla'!D88</f>
        <v>RECREO - CATAMARCA</v>
      </c>
      <c r="E88" s="499">
        <f>'[1]Tasa de Falla'!E88</f>
        <v>132</v>
      </c>
      <c r="F88" s="499">
        <f>'[1]Tasa de Falla'!F88</f>
        <v>203</v>
      </c>
      <c r="G88" s="500">
        <f>IF('[1]Tasa de Falla'!HX88=0,"",'[1]Tasa de Falla'!HX88)</f>
      </c>
      <c r="H88" s="500">
        <f>IF('[1]Tasa de Falla'!HY88=0,"",'[1]Tasa de Falla'!HY88)</f>
      </c>
      <c r="I88" s="500">
        <f>IF('[1]Tasa de Falla'!HZ88=0,"",'[1]Tasa de Falla'!HZ88)</f>
      </c>
      <c r="J88" s="500">
        <f>IF('[1]Tasa de Falla'!IA88=0,"",'[1]Tasa de Falla'!IA88)</f>
      </c>
      <c r="K88" s="500">
        <f>IF('[1]Tasa de Falla'!IB88=0,"",'[1]Tasa de Falla'!IB88)</f>
      </c>
      <c r="L88" s="500">
        <f>IF('[1]Tasa de Falla'!IC88=0,"",'[1]Tasa de Falla'!IC88)</f>
      </c>
      <c r="M88" s="500">
        <f>IF('[1]Tasa de Falla'!ID88=0,"",'[1]Tasa de Falla'!ID88)</f>
        <v>2</v>
      </c>
      <c r="N88" s="500">
        <f>IF('[1]Tasa de Falla'!IE88=0,"",'[1]Tasa de Falla'!IE88)</f>
      </c>
      <c r="O88" s="500">
        <f>IF('[1]Tasa de Falla'!IF88=0,"",'[1]Tasa de Falla'!IF88)</f>
      </c>
      <c r="P88" s="500">
        <f>IF('[1]Tasa de Falla'!IG88=0,"",'[1]Tasa de Falla'!IG88)</f>
      </c>
      <c r="Q88" s="500">
        <f>IF('[1]Tasa de Falla'!IH88=0,"",'[1]Tasa de Falla'!IH88)</f>
      </c>
      <c r="R88" s="500">
        <f>IF('[1]Tasa de Falla'!II88=0,"",'[1]Tasa de Falla'!II88)</f>
      </c>
      <c r="S88" s="501"/>
      <c r="T88" s="498"/>
    </row>
    <row r="89" spans="2:20" s="492" customFormat="1" ht="19.5" customHeight="1">
      <c r="B89" s="493"/>
      <c r="C89" s="499">
        <f>'[1]Tasa de Falla'!C89</f>
        <v>71</v>
      </c>
      <c r="D89" s="499" t="str">
        <f>'[1]Tasa de Falla'!D89</f>
        <v>CABRA CORRAL - EL CARRIL</v>
      </c>
      <c r="E89" s="499">
        <f>'[1]Tasa de Falla'!E89</f>
        <v>132</v>
      </c>
      <c r="F89" s="499">
        <f>'[1]Tasa de Falla'!F89</f>
        <v>33.55</v>
      </c>
      <c r="G89" s="500">
        <f>IF('[1]Tasa de Falla'!HX89=0,"",'[1]Tasa de Falla'!HX89)</f>
      </c>
      <c r="H89" s="500">
        <f>IF('[1]Tasa de Falla'!HY89=0,"",'[1]Tasa de Falla'!HY89)</f>
      </c>
      <c r="I89" s="500">
        <f>IF('[1]Tasa de Falla'!HZ89=0,"",'[1]Tasa de Falla'!HZ89)</f>
      </c>
      <c r="J89" s="500">
        <f>IF('[1]Tasa de Falla'!IA89=0,"",'[1]Tasa de Falla'!IA89)</f>
      </c>
      <c r="K89" s="500">
        <f>IF('[1]Tasa de Falla'!IB89=0,"",'[1]Tasa de Falla'!IB89)</f>
      </c>
      <c r="L89" s="500">
        <f>IF('[1]Tasa de Falla'!IC89=0,"",'[1]Tasa de Falla'!IC89)</f>
      </c>
      <c r="M89" s="500">
        <f>IF('[1]Tasa de Falla'!ID89=0,"",'[1]Tasa de Falla'!ID89)</f>
        <v>1</v>
      </c>
      <c r="N89" s="500">
        <f>IF('[1]Tasa de Falla'!IE89=0,"",'[1]Tasa de Falla'!IE89)</f>
      </c>
      <c r="O89" s="500">
        <f>IF('[1]Tasa de Falla'!IF89=0,"",'[1]Tasa de Falla'!IF89)</f>
        <v>1</v>
      </c>
      <c r="P89" s="500">
        <f>IF('[1]Tasa de Falla'!IG89=0,"",'[1]Tasa de Falla'!IG89)</f>
      </c>
      <c r="Q89" s="500">
        <f>IF('[1]Tasa de Falla'!IH89=0,"",'[1]Tasa de Falla'!IH89)</f>
      </c>
      <c r="R89" s="500">
        <f>IF('[1]Tasa de Falla'!II89=0,"",'[1]Tasa de Falla'!II89)</f>
      </c>
      <c r="S89" s="501"/>
      <c r="T89" s="498"/>
    </row>
    <row r="90" spans="2:20" s="492" customFormat="1" ht="19.5" customHeight="1">
      <c r="B90" s="493"/>
      <c r="C90" s="499">
        <f>'[1]Tasa de Falla'!C90</f>
        <v>72</v>
      </c>
      <c r="D90" s="499" t="str">
        <f>'[1]Tasa de Falla'!D90</f>
        <v>PAMPA GRANDE - CABRA CORRAL</v>
      </c>
      <c r="E90" s="499">
        <f>'[1]Tasa de Falla'!E90</f>
        <v>132</v>
      </c>
      <c r="F90" s="499">
        <f>'[1]Tasa de Falla'!F90</f>
        <v>60</v>
      </c>
      <c r="G90" s="500">
        <f>IF('[1]Tasa de Falla'!HX90=0,"",'[1]Tasa de Falla'!HX90)</f>
        <v>1</v>
      </c>
      <c r="H90" s="500">
        <f>IF('[1]Tasa de Falla'!HY90=0,"",'[1]Tasa de Falla'!HY90)</f>
      </c>
      <c r="I90" s="500">
        <f>IF('[1]Tasa de Falla'!HZ90=0,"",'[1]Tasa de Falla'!HZ90)</f>
      </c>
      <c r="J90" s="500">
        <f>IF('[1]Tasa de Falla'!IA90=0,"",'[1]Tasa de Falla'!IA90)</f>
      </c>
      <c r="K90" s="500">
        <f>IF('[1]Tasa de Falla'!IB90=0,"",'[1]Tasa de Falla'!IB90)</f>
      </c>
      <c r="L90" s="500">
        <f>IF('[1]Tasa de Falla'!IC90=0,"",'[1]Tasa de Falla'!IC90)</f>
      </c>
      <c r="M90" s="500">
        <f>IF('[1]Tasa de Falla'!ID90=0,"",'[1]Tasa de Falla'!ID90)</f>
      </c>
      <c r="N90" s="500">
        <f>IF('[1]Tasa de Falla'!IE90=0,"",'[1]Tasa de Falla'!IE90)</f>
        <v>1</v>
      </c>
      <c r="O90" s="500">
        <f>IF('[1]Tasa de Falla'!IF90=0,"",'[1]Tasa de Falla'!IF90)</f>
        <v>1</v>
      </c>
      <c r="P90" s="500">
        <f>IF('[1]Tasa de Falla'!IG90=0,"",'[1]Tasa de Falla'!IG90)</f>
        <v>1</v>
      </c>
      <c r="Q90" s="500">
        <f>IF('[1]Tasa de Falla'!IH90=0,"",'[1]Tasa de Falla'!IH90)</f>
      </c>
      <c r="R90" s="500">
        <f>IF('[1]Tasa de Falla'!II90=0,"",'[1]Tasa de Falla'!II90)</f>
        <v>1</v>
      </c>
      <c r="S90" s="501"/>
      <c r="T90" s="498"/>
    </row>
    <row r="91" spans="2:20" s="492" customFormat="1" ht="19.5" customHeight="1">
      <c r="B91" s="493"/>
      <c r="C91" s="499">
        <f>'[1]Tasa de Falla'!C91</f>
        <v>73</v>
      </c>
      <c r="D91" s="499" t="str">
        <f>'[1]Tasa de Falla'!D91</f>
        <v>PAMPA GRANDE - CAFAYATE</v>
      </c>
      <c r="E91" s="499">
        <f>'[1]Tasa de Falla'!E91</f>
        <v>132</v>
      </c>
      <c r="F91" s="499">
        <f>'[1]Tasa de Falla'!F91</f>
        <v>63</v>
      </c>
      <c r="G91" s="500">
        <f>IF('[1]Tasa de Falla'!HX91=0,"",'[1]Tasa de Falla'!HX91)</f>
      </c>
      <c r="H91" s="500">
        <f>IF('[1]Tasa de Falla'!HY91=0,"",'[1]Tasa de Falla'!HY91)</f>
      </c>
      <c r="I91" s="500">
        <f>IF('[1]Tasa de Falla'!HZ91=0,"",'[1]Tasa de Falla'!HZ91)</f>
      </c>
      <c r="J91" s="500">
        <f>IF('[1]Tasa de Falla'!IA91=0,"",'[1]Tasa de Falla'!IA91)</f>
      </c>
      <c r="K91" s="500">
        <f>IF('[1]Tasa de Falla'!IB91=0,"",'[1]Tasa de Falla'!IB91)</f>
      </c>
      <c r="L91" s="500">
        <f>IF('[1]Tasa de Falla'!IC91=0,"",'[1]Tasa de Falla'!IC91)</f>
      </c>
      <c r="M91" s="500">
        <f>IF('[1]Tasa de Falla'!ID91=0,"",'[1]Tasa de Falla'!ID91)</f>
        <v>3</v>
      </c>
      <c r="N91" s="500">
        <f>IF('[1]Tasa de Falla'!IE91=0,"",'[1]Tasa de Falla'!IE91)</f>
      </c>
      <c r="O91" s="500">
        <f>IF('[1]Tasa de Falla'!IF91=0,"",'[1]Tasa de Falla'!IF91)</f>
      </c>
      <c r="P91" s="500">
        <f>IF('[1]Tasa de Falla'!IG91=0,"",'[1]Tasa de Falla'!IG91)</f>
      </c>
      <c r="Q91" s="500">
        <f>IF('[1]Tasa de Falla'!IH91=0,"",'[1]Tasa de Falla'!IH91)</f>
      </c>
      <c r="R91" s="500">
        <f>IF('[1]Tasa de Falla'!II91=0,"",'[1]Tasa de Falla'!II91)</f>
      </c>
      <c r="S91" s="501"/>
      <c r="T91" s="498"/>
    </row>
    <row r="92" spans="2:20" s="492" customFormat="1" ht="19.5" customHeight="1">
      <c r="B92" s="493"/>
      <c r="C92" s="499">
        <f>'[1]Tasa de Falla'!C92</f>
        <v>74</v>
      </c>
      <c r="D92" s="499" t="str">
        <f>'[1]Tasa de Falla'!D92</f>
        <v>PAMPA GRANDE - TRANCAS</v>
      </c>
      <c r="E92" s="499">
        <f>'[1]Tasa de Falla'!E92</f>
        <v>132</v>
      </c>
      <c r="F92" s="499">
        <f>'[1]Tasa de Falla'!F92</f>
        <v>55</v>
      </c>
      <c r="G92" s="500">
        <f>IF('[1]Tasa de Falla'!HX92=0,"",'[1]Tasa de Falla'!HX92)</f>
      </c>
      <c r="H92" s="500">
        <f>IF('[1]Tasa de Falla'!HY92=0,"",'[1]Tasa de Falla'!HY92)</f>
        <v>1</v>
      </c>
      <c r="I92" s="500">
        <f>IF('[1]Tasa de Falla'!HZ92=0,"",'[1]Tasa de Falla'!HZ92)</f>
      </c>
      <c r="J92" s="500">
        <f>IF('[1]Tasa de Falla'!IA92=0,"",'[1]Tasa de Falla'!IA92)</f>
      </c>
      <c r="K92" s="500">
        <f>IF('[1]Tasa de Falla'!IB92=0,"",'[1]Tasa de Falla'!IB92)</f>
      </c>
      <c r="L92" s="500">
        <f>IF('[1]Tasa de Falla'!IC92=0,"",'[1]Tasa de Falla'!IC92)</f>
      </c>
      <c r="M92" s="500">
        <f>IF('[1]Tasa de Falla'!ID92=0,"",'[1]Tasa de Falla'!ID92)</f>
      </c>
      <c r="N92" s="500">
        <f>IF('[1]Tasa de Falla'!IE92=0,"",'[1]Tasa de Falla'!IE92)</f>
      </c>
      <c r="O92" s="500">
        <f>IF('[1]Tasa de Falla'!IF92=0,"",'[1]Tasa de Falla'!IF92)</f>
      </c>
      <c r="P92" s="500">
        <f>IF('[1]Tasa de Falla'!IG92=0,"",'[1]Tasa de Falla'!IG92)</f>
      </c>
      <c r="Q92" s="500">
        <f>IF('[1]Tasa de Falla'!IH92=0,"",'[1]Tasa de Falla'!IH92)</f>
      </c>
      <c r="R92" s="500">
        <f>IF('[1]Tasa de Falla'!II92=0,"",'[1]Tasa de Falla'!II92)</f>
      </c>
      <c r="S92" s="501"/>
      <c r="T92" s="498"/>
    </row>
    <row r="93" spans="2:20" s="492" customFormat="1" ht="19.5" customHeight="1">
      <c r="B93" s="493"/>
      <c r="C93" s="499">
        <f>'[1]Tasa de Falla'!C93</f>
        <v>75</v>
      </c>
      <c r="D93" s="499" t="str">
        <f>'[1]Tasa de Falla'!D93</f>
        <v>SANTIAGO CENTRO - SUNCHO CORRAL </v>
      </c>
      <c r="E93" s="499">
        <f>'[1]Tasa de Falla'!E93</f>
        <v>132</v>
      </c>
      <c r="F93" s="499">
        <f>'[1]Tasa de Falla'!F93</f>
        <v>103</v>
      </c>
      <c r="G93" s="500">
        <f>IF('[1]Tasa de Falla'!HX93=0,"",'[1]Tasa de Falla'!HX93)</f>
        <v>1</v>
      </c>
      <c r="H93" s="500">
        <f>IF('[1]Tasa de Falla'!HY93=0,"",'[1]Tasa de Falla'!HY93)</f>
        <v>1</v>
      </c>
      <c r="I93" s="500">
        <f>IF('[1]Tasa de Falla'!HZ93=0,"",'[1]Tasa de Falla'!HZ93)</f>
      </c>
      <c r="J93" s="500">
        <f>IF('[1]Tasa de Falla'!IA93=0,"",'[1]Tasa de Falla'!IA93)</f>
        <v>1</v>
      </c>
      <c r="K93" s="500">
        <f>IF('[1]Tasa de Falla'!IB93=0,"",'[1]Tasa de Falla'!IB93)</f>
      </c>
      <c r="L93" s="500">
        <f>IF('[1]Tasa de Falla'!IC93=0,"",'[1]Tasa de Falla'!IC93)</f>
      </c>
      <c r="M93" s="500">
        <f>IF('[1]Tasa de Falla'!ID93=0,"",'[1]Tasa de Falla'!ID93)</f>
      </c>
      <c r="N93" s="500">
        <f>IF('[1]Tasa de Falla'!IE93=0,"",'[1]Tasa de Falla'!IE93)</f>
      </c>
      <c r="O93" s="500">
        <f>IF('[1]Tasa de Falla'!IF93=0,"",'[1]Tasa de Falla'!IF93)</f>
      </c>
      <c r="P93" s="500">
        <f>IF('[1]Tasa de Falla'!IG93=0,"",'[1]Tasa de Falla'!IG93)</f>
      </c>
      <c r="Q93" s="500">
        <f>IF('[1]Tasa de Falla'!IH93=0,"",'[1]Tasa de Falla'!IH93)</f>
      </c>
      <c r="R93" s="500">
        <f>IF('[1]Tasa de Falla'!II93=0,"",'[1]Tasa de Falla'!II93)</f>
      </c>
      <c r="S93" s="501"/>
      <c r="T93" s="498"/>
    </row>
    <row r="94" spans="2:20" s="492" customFormat="1" ht="19.5" customHeight="1">
      <c r="B94" s="493"/>
      <c r="C94" s="499">
        <f>'[1]Tasa de Falla'!C94</f>
        <v>76</v>
      </c>
      <c r="D94" s="499" t="str">
        <f>'[1]Tasa de Falla'!D94</f>
        <v>SUNCHO CORRAL - ANATUYA</v>
      </c>
      <c r="E94" s="499">
        <f>'[1]Tasa de Falla'!E94</f>
        <v>132</v>
      </c>
      <c r="F94" s="499">
        <f>'[1]Tasa de Falla'!F94</f>
        <v>81</v>
      </c>
      <c r="G94" s="500">
        <f>IF('[1]Tasa de Falla'!HX94=0,"",'[1]Tasa de Falla'!HX94)</f>
      </c>
      <c r="H94" s="500">
        <f>IF('[1]Tasa de Falla'!HY94=0,"",'[1]Tasa de Falla'!HY94)</f>
      </c>
      <c r="I94" s="500">
        <f>IF('[1]Tasa de Falla'!HZ94=0,"",'[1]Tasa de Falla'!HZ94)</f>
      </c>
      <c r="J94" s="500">
        <f>IF('[1]Tasa de Falla'!IA94=0,"",'[1]Tasa de Falla'!IA94)</f>
      </c>
      <c r="K94" s="500">
        <f>IF('[1]Tasa de Falla'!IB94=0,"",'[1]Tasa de Falla'!IB94)</f>
      </c>
      <c r="L94" s="500">
        <f>IF('[1]Tasa de Falla'!IC94=0,"",'[1]Tasa de Falla'!IC94)</f>
      </c>
      <c r="M94" s="500">
        <f>IF('[1]Tasa de Falla'!ID94=0,"",'[1]Tasa de Falla'!ID94)</f>
      </c>
      <c r="N94" s="500">
        <f>IF('[1]Tasa de Falla'!IE94=0,"",'[1]Tasa de Falla'!IE94)</f>
        <v>1</v>
      </c>
      <c r="O94" s="500">
        <f>IF('[1]Tasa de Falla'!IF94=0,"",'[1]Tasa de Falla'!IF94)</f>
        <v>1</v>
      </c>
      <c r="P94" s="500">
        <f>IF('[1]Tasa de Falla'!IG94=0,"",'[1]Tasa de Falla'!IG94)</f>
      </c>
      <c r="Q94" s="500">
        <f>IF('[1]Tasa de Falla'!IH94=0,"",'[1]Tasa de Falla'!IH94)</f>
      </c>
      <c r="R94" s="500">
        <f>IF('[1]Tasa de Falla'!II94=0,"",'[1]Tasa de Falla'!II94)</f>
      </c>
      <c r="S94" s="501"/>
      <c r="T94" s="498"/>
    </row>
    <row r="95" spans="2:20" s="492" customFormat="1" ht="19.5" customHeight="1">
      <c r="B95" s="493"/>
      <c r="C95" s="499">
        <f>'[1]Tasa de Falla'!C95</f>
        <v>77</v>
      </c>
      <c r="D95" s="499" t="str">
        <f>'[1]Tasa de Falla'!D95</f>
        <v>LAS MADERAS - GÜEMES SALTA</v>
      </c>
      <c r="E95" s="499">
        <f>'[1]Tasa de Falla'!E95</f>
        <v>132</v>
      </c>
      <c r="F95" s="499">
        <f>'[1]Tasa de Falla'!F95</f>
        <v>42</v>
      </c>
      <c r="G95" s="500">
        <f>IF('[1]Tasa de Falla'!HX95=0,"",'[1]Tasa de Falla'!HX95)</f>
        <v>1</v>
      </c>
      <c r="H95" s="500">
        <f>IF('[1]Tasa de Falla'!HY95=0,"",'[1]Tasa de Falla'!HY95)</f>
      </c>
      <c r="I95" s="500">
        <f>IF('[1]Tasa de Falla'!HZ95=0,"",'[1]Tasa de Falla'!HZ95)</f>
      </c>
      <c r="J95" s="500">
        <f>IF('[1]Tasa de Falla'!IA95=0,"",'[1]Tasa de Falla'!IA95)</f>
      </c>
      <c r="K95" s="500">
        <f>IF('[1]Tasa de Falla'!IB95=0,"",'[1]Tasa de Falla'!IB95)</f>
      </c>
      <c r="L95" s="500">
        <f>IF('[1]Tasa de Falla'!IC95=0,"",'[1]Tasa de Falla'!IC95)</f>
      </c>
      <c r="M95" s="500">
        <f>IF('[1]Tasa de Falla'!ID95=0,"",'[1]Tasa de Falla'!ID95)</f>
      </c>
      <c r="N95" s="500">
        <f>IF('[1]Tasa de Falla'!IE95=0,"",'[1]Tasa de Falla'!IE95)</f>
      </c>
      <c r="O95" s="500">
        <f>IF('[1]Tasa de Falla'!IF95=0,"",'[1]Tasa de Falla'!IF95)</f>
      </c>
      <c r="P95" s="500">
        <f>IF('[1]Tasa de Falla'!IG95=0,"",'[1]Tasa de Falla'!IG95)</f>
      </c>
      <c r="Q95" s="500">
        <f>IF('[1]Tasa de Falla'!IH95=0,"",'[1]Tasa de Falla'!IH95)</f>
      </c>
      <c r="R95" s="500">
        <f>IF('[1]Tasa de Falla'!II95=0,"",'[1]Tasa de Falla'!II95)</f>
      </c>
      <c r="S95" s="501"/>
      <c r="T95" s="498"/>
    </row>
    <row r="96" spans="2:20" s="492" customFormat="1" ht="19.5" customHeight="1">
      <c r="B96" s="493"/>
      <c r="C96" s="499">
        <f>'[1]Tasa de Falla'!C96</f>
        <v>78</v>
      </c>
      <c r="D96" s="499" t="str">
        <f>'[1]Tasa de Falla'!D96</f>
        <v>INDEPENDENCIA - EL BRACHO 2</v>
      </c>
      <c r="E96" s="499">
        <f>'[1]Tasa de Falla'!E96</f>
        <v>132</v>
      </c>
      <c r="F96" s="499">
        <f>'[1]Tasa de Falla'!F96</f>
        <v>17.1</v>
      </c>
      <c r="G96" s="500">
        <f>IF('[1]Tasa de Falla'!HX96=0,"",'[1]Tasa de Falla'!HX96)</f>
      </c>
      <c r="H96" s="500">
        <f>IF('[1]Tasa de Falla'!HY96=0,"",'[1]Tasa de Falla'!HY96)</f>
      </c>
      <c r="I96" s="500">
        <f>IF('[1]Tasa de Falla'!HZ96=0,"",'[1]Tasa de Falla'!HZ96)</f>
      </c>
      <c r="J96" s="500">
        <f>IF('[1]Tasa de Falla'!IA96=0,"",'[1]Tasa de Falla'!IA96)</f>
      </c>
      <c r="K96" s="500">
        <f>IF('[1]Tasa de Falla'!IB96=0,"",'[1]Tasa de Falla'!IB96)</f>
      </c>
      <c r="L96" s="500">
        <f>IF('[1]Tasa de Falla'!IC96=0,"",'[1]Tasa de Falla'!IC96)</f>
      </c>
      <c r="M96" s="500">
        <f>IF('[1]Tasa de Falla'!ID96=0,"",'[1]Tasa de Falla'!ID96)</f>
        <v>1</v>
      </c>
      <c r="N96" s="500">
        <f>IF('[1]Tasa de Falla'!IE96=0,"",'[1]Tasa de Falla'!IE96)</f>
      </c>
      <c r="O96" s="500">
        <f>IF('[1]Tasa de Falla'!IF96=0,"",'[1]Tasa de Falla'!IF96)</f>
      </c>
      <c r="P96" s="500">
        <f>IF('[1]Tasa de Falla'!IG96=0,"",'[1]Tasa de Falla'!IG96)</f>
      </c>
      <c r="Q96" s="500">
        <f>IF('[1]Tasa de Falla'!IH96=0,"",'[1]Tasa de Falla'!IH96)</f>
      </c>
      <c r="R96" s="500">
        <f>IF('[1]Tasa de Falla'!II96=0,"",'[1]Tasa de Falla'!II96)</f>
      </c>
      <c r="S96" s="501"/>
      <c r="T96" s="498"/>
    </row>
    <row r="97" spans="2:20" s="492" customFormat="1" ht="19.5" customHeight="1">
      <c r="B97" s="493"/>
      <c r="C97" s="499">
        <f>'[1]Tasa de Falla'!C97</f>
        <v>79</v>
      </c>
      <c r="D97" s="499" t="str">
        <f>'[1]Tasa de Falla'!D97</f>
        <v>GÜEMES - SALTA SUR</v>
      </c>
      <c r="E97" s="499">
        <f>'[1]Tasa de Falla'!E97</f>
        <v>132</v>
      </c>
      <c r="F97" s="499">
        <f>'[1]Tasa de Falla'!F97</f>
        <v>47.6</v>
      </c>
      <c r="G97" s="500">
        <f>IF('[1]Tasa de Falla'!HX97=0,"",'[1]Tasa de Falla'!HX97)</f>
      </c>
      <c r="H97" s="500">
        <f>IF('[1]Tasa de Falla'!HY97=0,"",'[1]Tasa de Falla'!HY97)</f>
      </c>
      <c r="I97" s="500">
        <f>IF('[1]Tasa de Falla'!HZ97=0,"",'[1]Tasa de Falla'!HZ97)</f>
      </c>
      <c r="J97" s="500">
        <f>IF('[1]Tasa de Falla'!IA97=0,"",'[1]Tasa de Falla'!IA97)</f>
      </c>
      <c r="K97" s="500">
        <f>IF('[1]Tasa de Falla'!IB97=0,"",'[1]Tasa de Falla'!IB97)</f>
      </c>
      <c r="L97" s="500">
        <f>IF('[1]Tasa de Falla'!IC97=0,"",'[1]Tasa de Falla'!IC97)</f>
      </c>
      <c r="M97" s="500">
        <f>IF('[1]Tasa de Falla'!ID97=0,"",'[1]Tasa de Falla'!ID97)</f>
      </c>
      <c r="N97" s="500">
        <f>IF('[1]Tasa de Falla'!IE97=0,"",'[1]Tasa de Falla'!IE97)</f>
      </c>
      <c r="O97" s="500">
        <f>IF('[1]Tasa de Falla'!IF97=0,"",'[1]Tasa de Falla'!IF97)</f>
      </c>
      <c r="P97" s="500">
        <f>IF('[1]Tasa de Falla'!IG97=0,"",'[1]Tasa de Falla'!IG97)</f>
      </c>
      <c r="Q97" s="500">
        <f>IF('[1]Tasa de Falla'!IH97=0,"",'[1]Tasa de Falla'!IH97)</f>
        <v>1</v>
      </c>
      <c r="R97" s="500">
        <f>IF('[1]Tasa de Falla'!II97=0,"",'[1]Tasa de Falla'!II97)</f>
        <v>2</v>
      </c>
      <c r="S97" s="501"/>
      <c r="T97" s="498"/>
    </row>
    <row r="98" spans="2:20" s="492" customFormat="1" ht="19.5" customHeight="1">
      <c r="B98" s="493"/>
      <c r="C98" s="499">
        <f>'[1]Tasa de Falla'!C98</f>
        <v>80</v>
      </c>
      <c r="D98" s="499" t="str">
        <f>'[1]Tasa de Falla'!D98</f>
        <v>BURRUYACU - COBOS</v>
      </c>
      <c r="E98" s="499">
        <f>'[1]Tasa de Falla'!E98</f>
        <v>132</v>
      </c>
      <c r="F98" s="499">
        <f>'[1]Tasa de Falla'!F98</f>
        <v>229.5</v>
      </c>
      <c r="G98" s="500" t="str">
        <f>IF('[1]Tasa de Falla'!HX98=0,"",'[1]Tasa de Falla'!HX98)</f>
        <v>XXXX</v>
      </c>
      <c r="H98" s="500" t="str">
        <f>IF('[1]Tasa de Falla'!HY98=0,"",'[1]Tasa de Falla'!HY98)</f>
        <v>XXXX</v>
      </c>
      <c r="I98" s="500" t="str">
        <f>IF('[1]Tasa de Falla'!HZ98=0,"",'[1]Tasa de Falla'!HZ98)</f>
        <v>XXXX</v>
      </c>
      <c r="J98" s="500" t="str">
        <f>IF('[1]Tasa de Falla'!IA98=0,"",'[1]Tasa de Falla'!IA98)</f>
        <v>XXXX</v>
      </c>
      <c r="K98" s="500" t="str">
        <f>IF('[1]Tasa de Falla'!IB98=0,"",'[1]Tasa de Falla'!IB98)</f>
        <v>XXXX</v>
      </c>
      <c r="L98" s="500" t="str">
        <f>IF('[1]Tasa de Falla'!IC98=0,"",'[1]Tasa de Falla'!IC98)</f>
        <v>XXXX</v>
      </c>
      <c r="M98" s="500" t="str">
        <f>IF('[1]Tasa de Falla'!ID98=0,"",'[1]Tasa de Falla'!ID98)</f>
        <v>XXXX</v>
      </c>
      <c r="N98" s="500" t="str">
        <f>IF('[1]Tasa de Falla'!IE98=0,"",'[1]Tasa de Falla'!IE98)</f>
        <v>XXXX</v>
      </c>
      <c r="O98" s="500" t="str">
        <f>IF('[1]Tasa de Falla'!IF98=0,"",'[1]Tasa de Falla'!IF98)</f>
        <v>XXXX</v>
      </c>
      <c r="P98" s="500" t="str">
        <f>IF('[1]Tasa de Falla'!IG98=0,"",'[1]Tasa de Falla'!IG98)</f>
        <v>XXXX</v>
      </c>
      <c r="Q98" s="500" t="str">
        <f>IF('[1]Tasa de Falla'!IH98=0,"",'[1]Tasa de Falla'!IH98)</f>
        <v>XXXX</v>
      </c>
      <c r="R98" s="500" t="str">
        <f>IF('[1]Tasa de Falla'!II98=0,"",'[1]Tasa de Falla'!II98)</f>
        <v>XXXX</v>
      </c>
      <c r="S98" s="501"/>
      <c r="T98" s="498"/>
    </row>
    <row r="99" spans="2:20" s="492" customFormat="1" ht="19.5" customHeight="1">
      <c r="B99" s="493"/>
      <c r="C99" s="499">
        <f>'[1]Tasa de Falla'!C99</f>
        <v>81</v>
      </c>
      <c r="D99" s="499" t="str">
        <f>'[1]Tasa de Falla'!D99</f>
        <v>METAN - COBOS</v>
      </c>
      <c r="E99" s="499">
        <f>'[1]Tasa de Falla'!E99</f>
        <v>132</v>
      </c>
      <c r="F99" s="499">
        <f>'[1]Tasa de Falla'!F99</f>
        <v>89.2</v>
      </c>
      <c r="G99" s="500">
        <f>IF('[1]Tasa de Falla'!HX99=0,"",'[1]Tasa de Falla'!HX99)</f>
      </c>
      <c r="H99" s="500">
        <f>IF('[1]Tasa de Falla'!HY99=0,"",'[1]Tasa de Falla'!HY99)</f>
      </c>
      <c r="I99" s="500">
        <f>IF('[1]Tasa de Falla'!HZ99=0,"",'[1]Tasa de Falla'!HZ99)</f>
      </c>
      <c r="J99" s="500">
        <f>IF('[1]Tasa de Falla'!IA99=0,"",'[1]Tasa de Falla'!IA99)</f>
      </c>
      <c r="K99" s="500">
        <f>IF('[1]Tasa de Falla'!IB99=0,"",'[1]Tasa de Falla'!IB99)</f>
      </c>
      <c r="L99" s="500">
        <f>IF('[1]Tasa de Falla'!IC99=0,"",'[1]Tasa de Falla'!IC99)</f>
      </c>
      <c r="M99" s="500">
        <f>IF('[1]Tasa de Falla'!ID99=0,"",'[1]Tasa de Falla'!ID99)</f>
      </c>
      <c r="N99" s="500">
        <f>IF('[1]Tasa de Falla'!IE99=0,"",'[1]Tasa de Falla'!IE99)</f>
      </c>
      <c r="O99" s="500">
        <f>IF('[1]Tasa de Falla'!IF99=0,"",'[1]Tasa de Falla'!IF99)</f>
      </c>
      <c r="P99" s="500">
        <f>IF('[1]Tasa de Falla'!IG99=0,"",'[1]Tasa de Falla'!IG99)</f>
      </c>
      <c r="Q99" s="500">
        <f>IF('[1]Tasa de Falla'!IH99=0,"",'[1]Tasa de Falla'!IH99)</f>
      </c>
      <c r="R99" s="500">
        <f>IF('[1]Tasa de Falla'!II99=0,"",'[1]Tasa de Falla'!II99)</f>
      </c>
      <c r="S99" s="501"/>
      <c r="T99" s="498"/>
    </row>
    <row r="100" spans="2:20" s="492" customFormat="1" ht="19.5" customHeight="1">
      <c r="B100" s="493"/>
      <c r="C100" s="499">
        <f>'[1]Tasa de Falla'!C100</f>
        <v>82</v>
      </c>
      <c r="D100" s="499" t="str">
        <f>'[1]Tasa de Falla'!D100</f>
        <v>AÑATUYA - BANDERA</v>
      </c>
      <c r="E100" s="499">
        <f>'[1]Tasa de Falla'!E100</f>
        <v>132</v>
      </c>
      <c r="F100" s="499">
        <f>'[1]Tasa de Falla'!F100</f>
        <v>76</v>
      </c>
      <c r="G100" s="500">
        <f>IF('[1]Tasa de Falla'!HX100=0,"",'[1]Tasa de Falla'!HX100)</f>
      </c>
      <c r="H100" s="500">
        <f>IF('[1]Tasa de Falla'!HY100=0,"",'[1]Tasa de Falla'!HY100)</f>
      </c>
      <c r="I100" s="500">
        <f>IF('[1]Tasa de Falla'!HZ100=0,"",'[1]Tasa de Falla'!HZ100)</f>
      </c>
      <c r="J100" s="500">
        <f>IF('[1]Tasa de Falla'!IA100=0,"",'[1]Tasa de Falla'!IA100)</f>
      </c>
      <c r="K100" s="500">
        <f>IF('[1]Tasa de Falla'!IB100=0,"",'[1]Tasa de Falla'!IB100)</f>
      </c>
      <c r="L100" s="500">
        <f>IF('[1]Tasa de Falla'!IC100=0,"",'[1]Tasa de Falla'!IC100)</f>
        <v>1</v>
      </c>
      <c r="M100" s="500">
        <f>IF('[1]Tasa de Falla'!ID100=0,"",'[1]Tasa de Falla'!ID100)</f>
      </c>
      <c r="N100" s="500">
        <f>IF('[1]Tasa de Falla'!IE100=0,"",'[1]Tasa de Falla'!IE100)</f>
      </c>
      <c r="O100" s="500">
        <f>IF('[1]Tasa de Falla'!IF100=0,"",'[1]Tasa de Falla'!IF100)</f>
      </c>
      <c r="P100" s="500">
        <f>IF('[1]Tasa de Falla'!IG100=0,"",'[1]Tasa de Falla'!IG100)</f>
      </c>
      <c r="Q100" s="500">
        <f>IF('[1]Tasa de Falla'!IH100=0,"",'[1]Tasa de Falla'!IH100)</f>
      </c>
      <c r="R100" s="500">
        <f>IF('[1]Tasa de Falla'!II100=0,"",'[1]Tasa de Falla'!II100)</f>
      </c>
      <c r="S100" s="501"/>
      <c r="T100" s="498"/>
    </row>
    <row r="101" spans="2:20" s="492" customFormat="1" ht="19.5" customHeight="1">
      <c r="B101" s="493"/>
      <c r="C101" s="499">
        <f>'[1]Tasa de Falla'!C101</f>
        <v>84</v>
      </c>
      <c r="D101" s="499" t="str">
        <f>'[1]Tasa de Falla'!D101</f>
        <v>GÜEMES SALTA - COBOS 1</v>
      </c>
      <c r="E101" s="499">
        <f>'[1]Tasa de Falla'!E101</f>
        <v>132</v>
      </c>
      <c r="F101" s="499">
        <f>'[1]Tasa de Falla'!F101</f>
        <v>12.1</v>
      </c>
      <c r="G101" s="500">
        <f>IF('[1]Tasa de Falla'!HX101=0,"",'[1]Tasa de Falla'!HX101)</f>
      </c>
      <c r="H101" s="500">
        <f>IF('[1]Tasa de Falla'!HY101=0,"",'[1]Tasa de Falla'!HY101)</f>
      </c>
      <c r="I101" s="500">
        <f>IF('[1]Tasa de Falla'!HZ101=0,"",'[1]Tasa de Falla'!HZ101)</f>
      </c>
      <c r="J101" s="500">
        <f>IF('[1]Tasa de Falla'!IA101=0,"",'[1]Tasa de Falla'!IA101)</f>
      </c>
      <c r="K101" s="500">
        <f>IF('[1]Tasa de Falla'!IB101=0,"",'[1]Tasa de Falla'!IB101)</f>
      </c>
      <c r="L101" s="500">
        <f>IF('[1]Tasa de Falla'!IC101=0,"",'[1]Tasa de Falla'!IC101)</f>
      </c>
      <c r="M101" s="500">
        <f>IF('[1]Tasa de Falla'!ID101=0,"",'[1]Tasa de Falla'!ID101)</f>
      </c>
      <c r="N101" s="500">
        <f>IF('[1]Tasa de Falla'!IE101=0,"",'[1]Tasa de Falla'!IE101)</f>
      </c>
      <c r="O101" s="500">
        <f>IF('[1]Tasa de Falla'!IF101=0,"",'[1]Tasa de Falla'!IF101)</f>
      </c>
      <c r="P101" s="500">
        <f>IF('[1]Tasa de Falla'!IG101=0,"",'[1]Tasa de Falla'!IG101)</f>
      </c>
      <c r="Q101" s="500">
        <f>IF('[1]Tasa de Falla'!IH101=0,"",'[1]Tasa de Falla'!IH101)</f>
      </c>
      <c r="R101" s="500">
        <f>IF('[1]Tasa de Falla'!II101=0,"",'[1]Tasa de Falla'!II101)</f>
      </c>
      <c r="S101" s="501"/>
      <c r="T101" s="498"/>
    </row>
    <row r="102" spans="2:20" s="492" customFormat="1" ht="19.5" customHeight="1">
      <c r="B102" s="493"/>
      <c r="C102" s="499">
        <f>'[1]Tasa de Falla'!C102</f>
        <v>85</v>
      </c>
      <c r="D102" s="499" t="str">
        <f>'[1]Tasa de Falla'!D102</f>
        <v>GÜEMES SALTA - COBOS 2</v>
      </c>
      <c r="E102" s="499">
        <f>'[1]Tasa de Falla'!E102</f>
        <v>132</v>
      </c>
      <c r="F102" s="499">
        <f>'[1]Tasa de Falla'!F102</f>
        <v>12.1</v>
      </c>
      <c r="G102" s="500">
        <f>IF('[1]Tasa de Falla'!HX102=0,"",'[1]Tasa de Falla'!HX102)</f>
      </c>
      <c r="H102" s="500">
        <f>IF('[1]Tasa de Falla'!HY102=0,"",'[1]Tasa de Falla'!HY102)</f>
      </c>
      <c r="I102" s="500">
        <f>IF('[1]Tasa de Falla'!HZ102=0,"",'[1]Tasa de Falla'!HZ102)</f>
      </c>
      <c r="J102" s="500">
        <f>IF('[1]Tasa de Falla'!IA102=0,"",'[1]Tasa de Falla'!IA102)</f>
      </c>
      <c r="K102" s="500">
        <f>IF('[1]Tasa de Falla'!IB102=0,"",'[1]Tasa de Falla'!IB102)</f>
      </c>
      <c r="L102" s="500">
        <f>IF('[1]Tasa de Falla'!IC102=0,"",'[1]Tasa de Falla'!IC102)</f>
      </c>
      <c r="M102" s="500">
        <f>IF('[1]Tasa de Falla'!ID102=0,"",'[1]Tasa de Falla'!ID102)</f>
      </c>
      <c r="N102" s="500">
        <f>IF('[1]Tasa de Falla'!IE102=0,"",'[1]Tasa de Falla'!IE102)</f>
      </c>
      <c r="O102" s="500">
        <f>IF('[1]Tasa de Falla'!IF102=0,"",'[1]Tasa de Falla'!IF102)</f>
      </c>
      <c r="P102" s="500">
        <f>IF('[1]Tasa de Falla'!IG102=0,"",'[1]Tasa de Falla'!IG102)</f>
      </c>
      <c r="Q102" s="500">
        <f>IF('[1]Tasa de Falla'!IH102=0,"",'[1]Tasa de Falla'!IH102)</f>
      </c>
      <c r="R102" s="500">
        <f>IF('[1]Tasa de Falla'!II102=0,"",'[1]Tasa de Falla'!II102)</f>
      </c>
      <c r="S102" s="501"/>
      <c r="T102" s="498"/>
    </row>
    <row r="103" spans="2:20" s="492" customFormat="1" ht="19.5" customHeight="1">
      <c r="B103" s="493"/>
      <c r="C103" s="499">
        <f>'[1]Tasa de Falla'!C103</f>
        <v>86</v>
      </c>
      <c r="D103" s="499" t="str">
        <f>'[1]Tasa de Falla'!D103</f>
        <v>EL BRACHO - LA BANDA</v>
      </c>
      <c r="E103" s="499">
        <f>'[1]Tasa de Falla'!E103</f>
        <v>132</v>
      </c>
      <c r="F103" s="499">
        <f>'[1]Tasa de Falla'!F103</f>
        <v>133.5</v>
      </c>
      <c r="G103" s="500" t="str">
        <f>IF('[1]Tasa de Falla'!HX103=0,"",'[1]Tasa de Falla'!HX103)</f>
        <v>XXXX</v>
      </c>
      <c r="H103" s="500" t="str">
        <f>IF('[1]Tasa de Falla'!HY103=0,"",'[1]Tasa de Falla'!HY103)</f>
        <v>XXXX</v>
      </c>
      <c r="I103" s="500" t="str">
        <f>IF('[1]Tasa de Falla'!HZ103=0,"",'[1]Tasa de Falla'!HZ103)</f>
        <v>XXXX</v>
      </c>
      <c r="J103" s="500" t="str">
        <f>IF('[1]Tasa de Falla'!IA103=0,"",'[1]Tasa de Falla'!IA103)</f>
        <v>XXXX</v>
      </c>
      <c r="K103" s="500" t="str">
        <f>IF('[1]Tasa de Falla'!IB103=0,"",'[1]Tasa de Falla'!IB103)</f>
        <v>XXXX</v>
      </c>
      <c r="L103" s="500" t="str">
        <f>IF('[1]Tasa de Falla'!IC103=0,"",'[1]Tasa de Falla'!IC103)</f>
        <v>XXXX</v>
      </c>
      <c r="M103" s="500" t="str">
        <f>IF('[1]Tasa de Falla'!ID103=0,"",'[1]Tasa de Falla'!ID103)</f>
        <v>XXXX</v>
      </c>
      <c r="N103" s="500" t="str">
        <f>IF('[1]Tasa de Falla'!IE103=0,"",'[1]Tasa de Falla'!IE103)</f>
        <v>XXXX</v>
      </c>
      <c r="O103" s="500" t="str">
        <f>IF('[1]Tasa de Falla'!IF103=0,"",'[1]Tasa de Falla'!IF103)</f>
        <v>XXXX</v>
      </c>
      <c r="P103" s="500" t="str">
        <f>IF('[1]Tasa de Falla'!IG103=0,"",'[1]Tasa de Falla'!IG103)</f>
        <v>XXXX</v>
      </c>
      <c r="Q103" s="500" t="str">
        <f>IF('[1]Tasa de Falla'!IH103=0,"",'[1]Tasa de Falla'!IH103)</f>
        <v>XXXX</v>
      </c>
      <c r="R103" s="500" t="str">
        <f>IF('[1]Tasa de Falla'!II103=0,"",'[1]Tasa de Falla'!II103)</f>
        <v>XXXX</v>
      </c>
      <c r="S103" s="501"/>
      <c r="T103" s="498"/>
    </row>
    <row r="104" spans="2:20" s="492" customFormat="1" ht="19.5" customHeight="1">
      <c r="B104" s="493"/>
      <c r="C104" s="499">
        <f>'[1]Tasa de Falla'!C104</f>
        <v>87</v>
      </c>
      <c r="D104" s="499" t="str">
        <f>'[1]Tasa de Falla'!D104</f>
        <v>SANTIAGO OESTE - SANTIAGO SUR </v>
      </c>
      <c r="E104" s="499">
        <f>'[1]Tasa de Falla'!E104</f>
        <v>132</v>
      </c>
      <c r="F104" s="499">
        <f>'[1]Tasa de Falla'!F104</f>
        <v>10.6</v>
      </c>
      <c r="G104" s="500">
        <f>IF('[1]Tasa de Falla'!HX104=0,"",'[1]Tasa de Falla'!HX104)</f>
      </c>
      <c r="H104" s="500">
        <f>IF('[1]Tasa de Falla'!HY104=0,"",'[1]Tasa de Falla'!HY104)</f>
      </c>
      <c r="I104" s="500">
        <f>IF('[1]Tasa de Falla'!HZ104=0,"",'[1]Tasa de Falla'!HZ104)</f>
      </c>
      <c r="J104" s="500">
        <f>IF('[1]Tasa de Falla'!IA104=0,"",'[1]Tasa de Falla'!IA104)</f>
      </c>
      <c r="K104" s="500">
        <f>IF('[1]Tasa de Falla'!IB104=0,"",'[1]Tasa de Falla'!IB104)</f>
      </c>
      <c r="L104" s="500">
        <f>IF('[1]Tasa de Falla'!IC104=0,"",'[1]Tasa de Falla'!IC104)</f>
      </c>
      <c r="M104" s="500">
        <f>IF('[1]Tasa de Falla'!ID104=0,"",'[1]Tasa de Falla'!ID104)</f>
      </c>
      <c r="N104" s="500">
        <f>IF('[1]Tasa de Falla'!IE104=0,"",'[1]Tasa de Falla'!IE104)</f>
        <v>1</v>
      </c>
      <c r="O104" s="500">
        <f>IF('[1]Tasa de Falla'!IF104=0,"",'[1]Tasa de Falla'!IF104)</f>
      </c>
      <c r="P104" s="500">
        <f>IF('[1]Tasa de Falla'!IG104=0,"",'[1]Tasa de Falla'!IG104)</f>
      </c>
      <c r="Q104" s="500">
        <f>IF('[1]Tasa de Falla'!IH104=0,"",'[1]Tasa de Falla'!IH104)</f>
        <v>1</v>
      </c>
      <c r="R104" s="500">
        <f>IF('[1]Tasa de Falla'!II104=0,"",'[1]Tasa de Falla'!II104)</f>
      </c>
      <c r="S104" s="501"/>
      <c r="T104" s="498"/>
    </row>
    <row r="105" spans="2:20" s="492" customFormat="1" ht="19.5" customHeight="1">
      <c r="B105" s="493"/>
      <c r="C105" s="499">
        <f>'[1]Tasa de Falla'!C105</f>
        <v>88</v>
      </c>
      <c r="D105" s="499" t="str">
        <f>'[1]Tasa de Falla'!D105</f>
        <v>SANTIAGO SUR - SANTIAGO CENTRO</v>
      </c>
      <c r="E105" s="499">
        <f>'[1]Tasa de Falla'!E105</f>
        <v>132</v>
      </c>
      <c r="F105" s="499">
        <f>'[1]Tasa de Falla'!F105</f>
        <v>4</v>
      </c>
      <c r="G105" s="500">
        <f>IF('[1]Tasa de Falla'!HX105=0,"",'[1]Tasa de Falla'!HX105)</f>
      </c>
      <c r="H105" s="500">
        <f>IF('[1]Tasa de Falla'!HY105=0,"",'[1]Tasa de Falla'!HY105)</f>
      </c>
      <c r="I105" s="500">
        <f>IF('[1]Tasa de Falla'!HZ105=0,"",'[1]Tasa de Falla'!HZ105)</f>
      </c>
      <c r="J105" s="500">
        <f>IF('[1]Tasa de Falla'!IA105=0,"",'[1]Tasa de Falla'!IA105)</f>
      </c>
      <c r="K105" s="500">
        <f>IF('[1]Tasa de Falla'!IB105=0,"",'[1]Tasa de Falla'!IB105)</f>
      </c>
      <c r="L105" s="500">
        <f>IF('[1]Tasa de Falla'!IC105=0,"",'[1]Tasa de Falla'!IC105)</f>
      </c>
      <c r="M105" s="500">
        <f>IF('[1]Tasa de Falla'!ID105=0,"",'[1]Tasa de Falla'!ID105)</f>
      </c>
      <c r="N105" s="500">
        <f>IF('[1]Tasa de Falla'!IE105=0,"",'[1]Tasa de Falla'!IE105)</f>
        <v>1</v>
      </c>
      <c r="O105" s="500">
        <f>IF('[1]Tasa de Falla'!IF105=0,"",'[1]Tasa de Falla'!IF105)</f>
      </c>
      <c r="P105" s="500">
        <f>IF('[1]Tasa de Falla'!IG105=0,"",'[1]Tasa de Falla'!IG105)</f>
      </c>
      <c r="Q105" s="500">
        <f>IF('[1]Tasa de Falla'!IH105=0,"",'[1]Tasa de Falla'!IH105)</f>
        <v>4</v>
      </c>
      <c r="R105" s="500">
        <f>IF('[1]Tasa de Falla'!II105=0,"",'[1]Tasa de Falla'!II105)</f>
      </c>
      <c r="S105" s="501"/>
      <c r="T105" s="498"/>
    </row>
    <row r="106" spans="2:20" s="492" customFormat="1" ht="19.5" customHeight="1">
      <c r="B106" s="493"/>
      <c r="C106" s="499">
        <f>'[1]Tasa de Falla'!C106</f>
        <v>89</v>
      </c>
      <c r="D106" s="499" t="str">
        <f>'[1]Tasa de Falla'!D106</f>
        <v>C.H. RIO HONDO - SANTIAGO OESTE</v>
      </c>
      <c r="E106" s="499">
        <f>'[1]Tasa de Falla'!E106</f>
        <v>132</v>
      </c>
      <c r="F106" s="499">
        <f>'[1]Tasa de Falla'!F106</f>
        <v>69.8</v>
      </c>
      <c r="G106" s="500">
        <f>IF('[1]Tasa de Falla'!HX106=0,"",'[1]Tasa de Falla'!HX106)</f>
      </c>
      <c r="H106" s="500">
        <f>IF('[1]Tasa de Falla'!HY106=0,"",'[1]Tasa de Falla'!HY106)</f>
      </c>
      <c r="I106" s="500">
        <f>IF('[1]Tasa de Falla'!HZ106=0,"",'[1]Tasa de Falla'!HZ106)</f>
      </c>
      <c r="J106" s="500">
        <f>IF('[1]Tasa de Falla'!IA106=0,"",'[1]Tasa de Falla'!IA106)</f>
      </c>
      <c r="K106" s="500">
        <f>IF('[1]Tasa de Falla'!IB106=0,"",'[1]Tasa de Falla'!IB106)</f>
      </c>
      <c r="L106" s="500">
        <f>IF('[1]Tasa de Falla'!IC106=0,"",'[1]Tasa de Falla'!IC106)</f>
        <v>1</v>
      </c>
      <c r="M106" s="500">
        <f>IF('[1]Tasa de Falla'!ID106=0,"",'[1]Tasa de Falla'!ID106)</f>
      </c>
      <c r="N106" s="500">
        <f>IF('[1]Tasa de Falla'!IE106=0,"",'[1]Tasa de Falla'!IE106)</f>
      </c>
      <c r="O106" s="500">
        <f>IF('[1]Tasa de Falla'!IF106=0,"",'[1]Tasa de Falla'!IF106)</f>
      </c>
      <c r="P106" s="500">
        <f>IF('[1]Tasa de Falla'!IG106=0,"",'[1]Tasa de Falla'!IG106)</f>
      </c>
      <c r="Q106" s="500">
        <f>IF('[1]Tasa de Falla'!IH106=0,"",'[1]Tasa de Falla'!IH106)</f>
      </c>
      <c r="R106" s="500">
        <f>IF('[1]Tasa de Falla'!II106=0,"",'[1]Tasa de Falla'!II106)</f>
      </c>
      <c r="S106" s="501"/>
      <c r="T106" s="498"/>
    </row>
    <row r="107" spans="2:20" s="492" customFormat="1" ht="19.5" customHeight="1">
      <c r="B107" s="493"/>
      <c r="C107" s="499">
        <f>'[1]Tasa de Falla'!C107</f>
        <v>90</v>
      </c>
      <c r="D107" s="499" t="str">
        <f>'[1]Tasa de Falla'!D107</f>
        <v>GÜEMES - MINETTI</v>
      </c>
      <c r="E107" s="499">
        <f>'[1]Tasa de Falla'!E107</f>
        <v>132</v>
      </c>
      <c r="F107" s="499">
        <f>'[1]Tasa de Falla'!F107</f>
        <v>41.4</v>
      </c>
      <c r="G107" s="500">
        <f>IF('[1]Tasa de Falla'!HX107=0,"",'[1]Tasa de Falla'!HX107)</f>
      </c>
      <c r="H107" s="500">
        <f>IF('[1]Tasa de Falla'!HY107=0,"",'[1]Tasa de Falla'!HY107)</f>
      </c>
      <c r="I107" s="500">
        <f>IF('[1]Tasa de Falla'!HZ107=0,"",'[1]Tasa de Falla'!HZ107)</f>
      </c>
      <c r="J107" s="500">
        <f>IF('[1]Tasa de Falla'!IA107=0,"",'[1]Tasa de Falla'!IA107)</f>
      </c>
      <c r="K107" s="500">
        <f>IF('[1]Tasa de Falla'!IB107=0,"",'[1]Tasa de Falla'!IB107)</f>
      </c>
      <c r="L107" s="500">
        <f>IF('[1]Tasa de Falla'!IC107=0,"",'[1]Tasa de Falla'!IC107)</f>
        <v>1</v>
      </c>
      <c r="M107" s="500">
        <f>IF('[1]Tasa de Falla'!ID107=0,"",'[1]Tasa de Falla'!ID107)</f>
      </c>
      <c r="N107" s="500">
        <f>IF('[1]Tasa de Falla'!IE107=0,"",'[1]Tasa de Falla'!IE107)</f>
      </c>
      <c r="O107" s="500">
        <f>IF('[1]Tasa de Falla'!IF107=0,"",'[1]Tasa de Falla'!IF107)</f>
      </c>
      <c r="P107" s="500">
        <f>IF('[1]Tasa de Falla'!IG107=0,"",'[1]Tasa de Falla'!IG107)</f>
        <v>3</v>
      </c>
      <c r="Q107" s="500">
        <f>IF('[1]Tasa de Falla'!IH107=0,"",'[1]Tasa de Falla'!IH107)</f>
        <v>6</v>
      </c>
      <c r="R107" s="500">
        <f>IF('[1]Tasa de Falla'!II107=0,"",'[1]Tasa de Falla'!II107)</f>
      </c>
      <c r="S107" s="501"/>
      <c r="T107" s="498"/>
    </row>
    <row r="108" spans="2:20" s="492" customFormat="1" ht="19.5" customHeight="1">
      <c r="B108" s="493"/>
      <c r="C108" s="499">
        <f>'[1]Tasa de Falla'!C108</f>
        <v>91</v>
      </c>
      <c r="D108" s="499" t="str">
        <f>'[1]Tasa de Falla'!D108</f>
        <v>GÜEMES - SALTA NORTE</v>
      </c>
      <c r="E108" s="499">
        <f>'[1]Tasa de Falla'!E108</f>
        <v>132</v>
      </c>
      <c r="F108" s="499">
        <f>'[1]Tasa de Falla'!F108</f>
        <v>38.97</v>
      </c>
      <c r="G108" s="500">
        <f>IF('[1]Tasa de Falla'!HX108=0,"",'[1]Tasa de Falla'!HX108)</f>
      </c>
      <c r="H108" s="500">
        <f>IF('[1]Tasa de Falla'!HY108=0,"",'[1]Tasa de Falla'!HY108)</f>
      </c>
      <c r="I108" s="500">
        <f>IF('[1]Tasa de Falla'!HZ108=0,"",'[1]Tasa de Falla'!HZ108)</f>
      </c>
      <c r="J108" s="500">
        <f>IF('[1]Tasa de Falla'!IA108=0,"",'[1]Tasa de Falla'!IA108)</f>
      </c>
      <c r="K108" s="500">
        <f>IF('[1]Tasa de Falla'!IB108=0,"",'[1]Tasa de Falla'!IB108)</f>
      </c>
      <c r="L108" s="500">
        <f>IF('[1]Tasa de Falla'!IC108=0,"",'[1]Tasa de Falla'!IC108)</f>
      </c>
      <c r="M108" s="500">
        <f>IF('[1]Tasa de Falla'!ID108=0,"",'[1]Tasa de Falla'!ID108)</f>
      </c>
      <c r="N108" s="500">
        <f>IF('[1]Tasa de Falla'!IE108=0,"",'[1]Tasa de Falla'!IE108)</f>
      </c>
      <c r="O108" s="500">
        <f>IF('[1]Tasa de Falla'!IF108=0,"",'[1]Tasa de Falla'!IF108)</f>
      </c>
      <c r="P108" s="500">
        <f>IF('[1]Tasa de Falla'!IG108=0,"",'[1]Tasa de Falla'!IG108)</f>
      </c>
      <c r="Q108" s="500">
        <f>IF('[1]Tasa de Falla'!IH108=0,"",'[1]Tasa de Falla'!IH108)</f>
      </c>
      <c r="R108" s="500">
        <f>IF('[1]Tasa de Falla'!II108=0,"",'[1]Tasa de Falla'!II108)</f>
        <v>1</v>
      </c>
      <c r="S108" s="501"/>
      <c r="T108" s="498"/>
    </row>
    <row r="109" spans="2:20" s="492" customFormat="1" ht="19.5" customHeight="1">
      <c r="B109" s="493"/>
      <c r="C109" s="499">
        <f>'[1]Tasa de Falla'!C109</f>
        <v>92</v>
      </c>
      <c r="D109" s="499" t="str">
        <f>'[1]Tasa de Falla'!D109</f>
        <v>BURRUYACU - R. DE LA FRONTERA</v>
      </c>
      <c r="E109" s="499">
        <f>'[1]Tasa de Falla'!E109</f>
        <v>132</v>
      </c>
      <c r="F109" s="499">
        <f>'[1]Tasa de Falla'!F109</f>
        <v>99.1</v>
      </c>
      <c r="G109" s="500">
        <f>IF('[1]Tasa de Falla'!HX109=0,"",'[1]Tasa de Falla'!HX109)</f>
      </c>
      <c r="H109" s="500">
        <f>IF('[1]Tasa de Falla'!HY109=0,"",'[1]Tasa de Falla'!HY109)</f>
      </c>
      <c r="I109" s="500">
        <f>IF('[1]Tasa de Falla'!HZ109=0,"",'[1]Tasa de Falla'!HZ109)</f>
      </c>
      <c r="J109" s="500">
        <f>IF('[1]Tasa de Falla'!IA109=0,"",'[1]Tasa de Falla'!IA109)</f>
      </c>
      <c r="K109" s="500">
        <f>IF('[1]Tasa de Falla'!IB109=0,"",'[1]Tasa de Falla'!IB109)</f>
      </c>
      <c r="L109" s="500">
        <f>IF('[1]Tasa de Falla'!IC109=0,"",'[1]Tasa de Falla'!IC109)</f>
      </c>
      <c r="M109" s="500">
        <f>IF('[1]Tasa de Falla'!ID109=0,"",'[1]Tasa de Falla'!ID109)</f>
        <v>1</v>
      </c>
      <c r="N109" s="500">
        <f>IF('[1]Tasa de Falla'!IE109=0,"",'[1]Tasa de Falla'!IE109)</f>
      </c>
      <c r="O109" s="500">
        <f>IF('[1]Tasa de Falla'!IF109=0,"",'[1]Tasa de Falla'!IF109)</f>
      </c>
      <c r="P109" s="500">
        <f>IF('[1]Tasa de Falla'!IG109=0,"",'[1]Tasa de Falla'!IG109)</f>
      </c>
      <c r="Q109" s="500">
        <f>IF('[1]Tasa de Falla'!IH109=0,"",'[1]Tasa de Falla'!IH109)</f>
      </c>
      <c r="R109" s="500">
        <f>IF('[1]Tasa de Falla'!II109=0,"",'[1]Tasa de Falla'!II109)</f>
      </c>
      <c r="S109" s="501"/>
      <c r="T109" s="498"/>
    </row>
    <row r="110" spans="2:20" s="492" customFormat="1" ht="19.5" customHeight="1">
      <c r="B110" s="493"/>
      <c r="C110" s="499">
        <f>'[1]Tasa de Falla'!C110</f>
        <v>93</v>
      </c>
      <c r="D110" s="499" t="str">
        <f>'[1]Tasa de Falla'!D110</f>
        <v>R. DE LA FRONTERA - COBOS</v>
      </c>
      <c r="E110" s="499">
        <f>'[1]Tasa de Falla'!E110</f>
        <v>132</v>
      </c>
      <c r="F110" s="499">
        <f>'[1]Tasa de Falla'!F110</f>
        <v>130.4</v>
      </c>
      <c r="G110" s="500">
        <f>IF('[1]Tasa de Falla'!HX110=0,"",'[1]Tasa de Falla'!HX110)</f>
      </c>
      <c r="H110" s="500">
        <f>IF('[1]Tasa de Falla'!HY110=0,"",'[1]Tasa de Falla'!HY110)</f>
      </c>
      <c r="I110" s="500">
        <f>IF('[1]Tasa de Falla'!HZ110=0,"",'[1]Tasa de Falla'!HZ110)</f>
      </c>
      <c r="J110" s="500">
        <f>IF('[1]Tasa de Falla'!IA110=0,"",'[1]Tasa de Falla'!IA110)</f>
      </c>
      <c r="K110" s="500">
        <f>IF('[1]Tasa de Falla'!IB110=0,"",'[1]Tasa de Falla'!IB110)</f>
      </c>
      <c r="L110" s="500">
        <f>IF('[1]Tasa de Falla'!IC110=0,"",'[1]Tasa de Falla'!IC110)</f>
        <v>1</v>
      </c>
      <c r="M110" s="500">
        <f>IF('[1]Tasa de Falla'!ID110=0,"",'[1]Tasa de Falla'!ID110)</f>
      </c>
      <c r="N110" s="500">
        <f>IF('[1]Tasa de Falla'!IE110=0,"",'[1]Tasa de Falla'!IE110)</f>
      </c>
      <c r="O110" s="500">
        <f>IF('[1]Tasa de Falla'!IF110=0,"",'[1]Tasa de Falla'!IF110)</f>
      </c>
      <c r="P110" s="500">
        <f>IF('[1]Tasa de Falla'!IG110=0,"",'[1]Tasa de Falla'!IG110)</f>
      </c>
      <c r="Q110" s="500">
        <f>IF('[1]Tasa de Falla'!IH110=0,"",'[1]Tasa de Falla'!IH110)</f>
      </c>
      <c r="R110" s="500">
        <f>IF('[1]Tasa de Falla'!II110=0,"",'[1]Tasa de Falla'!II110)</f>
      </c>
      <c r="S110" s="501"/>
      <c r="T110" s="498"/>
    </row>
    <row r="111" spans="2:20" s="492" customFormat="1" ht="19.5" customHeight="1">
      <c r="B111" s="493"/>
      <c r="C111" s="499">
        <f>'[1]Tasa de Falla'!C111</f>
        <v>94</v>
      </c>
      <c r="D111" s="499" t="str">
        <f>'[1]Tasa de Falla'!D111</f>
        <v>J.V. GONZALEZ - APOLINARIO SARAVIA</v>
      </c>
      <c r="E111" s="499">
        <f>'[1]Tasa de Falla'!E111</f>
        <v>132</v>
      </c>
      <c r="F111" s="499">
        <f>'[1]Tasa de Falla'!F111</f>
        <v>94</v>
      </c>
      <c r="G111" s="500">
        <f>IF('[1]Tasa de Falla'!HX111=0,"",'[1]Tasa de Falla'!HX111)</f>
        <v>1</v>
      </c>
      <c r="H111" s="500">
        <f>IF('[1]Tasa de Falla'!HY111=0,"",'[1]Tasa de Falla'!HY111)</f>
      </c>
      <c r="I111" s="500">
        <f>IF('[1]Tasa de Falla'!HZ111=0,"",'[1]Tasa de Falla'!HZ111)</f>
      </c>
      <c r="J111" s="500">
        <f>IF('[1]Tasa de Falla'!IA111=0,"",'[1]Tasa de Falla'!IA111)</f>
      </c>
      <c r="K111" s="500">
        <f>IF('[1]Tasa de Falla'!IB111=0,"",'[1]Tasa de Falla'!IB111)</f>
      </c>
      <c r="L111" s="500">
        <f>IF('[1]Tasa de Falla'!IC111=0,"",'[1]Tasa de Falla'!IC111)</f>
      </c>
      <c r="M111" s="500">
        <f>IF('[1]Tasa de Falla'!ID111=0,"",'[1]Tasa de Falla'!ID111)</f>
      </c>
      <c r="N111" s="500">
        <f>IF('[1]Tasa de Falla'!IE111=0,"",'[1]Tasa de Falla'!IE111)</f>
      </c>
      <c r="O111" s="500">
        <f>IF('[1]Tasa de Falla'!IF111=0,"",'[1]Tasa de Falla'!IF111)</f>
      </c>
      <c r="P111" s="500">
        <f>IF('[1]Tasa de Falla'!IG111=0,"",'[1]Tasa de Falla'!IG111)</f>
      </c>
      <c r="Q111" s="500">
        <f>IF('[1]Tasa de Falla'!IH111=0,"",'[1]Tasa de Falla'!IH111)</f>
      </c>
      <c r="R111" s="500">
        <f>IF('[1]Tasa de Falla'!II111=0,"",'[1]Tasa de Falla'!II111)</f>
      </c>
      <c r="S111" s="501"/>
      <c r="T111" s="498"/>
    </row>
    <row r="112" spans="2:20" s="492" customFormat="1" ht="19.5" customHeight="1">
      <c r="B112" s="493"/>
      <c r="C112" s="499">
        <f>'[1]Tasa de Falla'!C112</f>
        <v>95</v>
      </c>
      <c r="D112" s="499" t="str">
        <f>'[1]Tasa de Falla'!D112</f>
        <v>ANDALGALA - SAULIL</v>
      </c>
      <c r="E112" s="499">
        <f>'[1]Tasa de Falla'!E112</f>
        <v>132</v>
      </c>
      <c r="F112" s="499">
        <f>'[1]Tasa de Falla'!F112</f>
        <v>76</v>
      </c>
      <c r="G112" s="500">
        <f>IF('[1]Tasa de Falla'!HX112=0,"",'[1]Tasa de Falla'!HX112)</f>
      </c>
      <c r="H112" s="500">
        <f>IF('[1]Tasa de Falla'!HY112=0,"",'[1]Tasa de Falla'!HY112)</f>
      </c>
      <c r="I112" s="500">
        <f>IF('[1]Tasa de Falla'!HZ112=0,"",'[1]Tasa de Falla'!HZ112)</f>
      </c>
      <c r="J112" s="500">
        <f>IF('[1]Tasa de Falla'!IA112=0,"",'[1]Tasa de Falla'!IA112)</f>
      </c>
      <c r="K112" s="500">
        <f>IF('[1]Tasa de Falla'!IB112=0,"",'[1]Tasa de Falla'!IB112)</f>
      </c>
      <c r="L112" s="500">
        <f>IF('[1]Tasa de Falla'!IC112=0,"",'[1]Tasa de Falla'!IC112)</f>
      </c>
      <c r="M112" s="500">
        <f>IF('[1]Tasa de Falla'!ID112=0,"",'[1]Tasa de Falla'!ID112)</f>
      </c>
      <c r="N112" s="500">
        <f>IF('[1]Tasa de Falla'!IE112=0,"",'[1]Tasa de Falla'!IE112)</f>
      </c>
      <c r="O112" s="500">
        <f>IF('[1]Tasa de Falla'!IF112=0,"",'[1]Tasa de Falla'!IF112)</f>
      </c>
      <c r="P112" s="500">
        <f>IF('[1]Tasa de Falla'!IG112=0,"",'[1]Tasa de Falla'!IG112)</f>
      </c>
      <c r="Q112" s="500">
        <f>IF('[1]Tasa de Falla'!IH112=0,"",'[1]Tasa de Falla'!IH112)</f>
        <v>1</v>
      </c>
      <c r="R112" s="500">
        <f>IF('[1]Tasa de Falla'!II112=0,"",'[1]Tasa de Falla'!II112)</f>
        <v>1</v>
      </c>
      <c r="S112" s="501"/>
      <c r="T112" s="498"/>
    </row>
    <row r="113" spans="2:20" s="492" customFormat="1" ht="19.5" customHeight="1">
      <c r="B113" s="493"/>
      <c r="C113" s="499">
        <f>'[1]Tasa de Falla'!C113</f>
        <v>96</v>
      </c>
      <c r="D113" s="499" t="str">
        <f>'[1]Tasa de Falla'!D113</f>
        <v>SANTIAGO OESTE - SANT. SUR  - SANT. CENTRO</v>
      </c>
      <c r="E113" s="499">
        <f>'[1]Tasa de Falla'!E113</f>
        <v>132</v>
      </c>
      <c r="F113" s="499">
        <f>'[1]Tasa de Falla'!F113</f>
        <v>14.6</v>
      </c>
      <c r="G113" s="500" t="str">
        <f>IF('[1]Tasa de Falla'!HX113=0,"",'[1]Tasa de Falla'!HX113)</f>
        <v>XXXX</v>
      </c>
      <c r="H113" s="500" t="str">
        <f>IF('[1]Tasa de Falla'!HY113=0,"",'[1]Tasa de Falla'!HY113)</f>
        <v>XXXX</v>
      </c>
      <c r="I113" s="500" t="str">
        <f>IF('[1]Tasa de Falla'!HZ113=0,"",'[1]Tasa de Falla'!HZ113)</f>
        <v>XXXX</v>
      </c>
      <c r="J113" s="500" t="str">
        <f>IF('[1]Tasa de Falla'!IA113=0,"",'[1]Tasa de Falla'!IA113)</f>
        <v>XXXX</v>
      </c>
      <c r="K113" s="500" t="str">
        <f>IF('[1]Tasa de Falla'!IB113=0,"",'[1]Tasa de Falla'!IB113)</f>
        <v>XXXX</v>
      </c>
      <c r="L113" s="500" t="str">
        <f>IF('[1]Tasa de Falla'!IC113=0,"",'[1]Tasa de Falla'!IC113)</f>
        <v>XXXX</v>
      </c>
      <c r="M113" s="500" t="str">
        <f>IF('[1]Tasa de Falla'!ID113=0,"",'[1]Tasa de Falla'!ID113)</f>
        <v>XXXX</v>
      </c>
      <c r="N113" s="500" t="str">
        <f>IF('[1]Tasa de Falla'!IE113=0,"",'[1]Tasa de Falla'!IE113)</f>
        <v>XXXX</v>
      </c>
      <c r="O113" s="500" t="str">
        <f>IF('[1]Tasa de Falla'!IF113=0,"",'[1]Tasa de Falla'!IF113)</f>
        <v>XXXX</v>
      </c>
      <c r="P113" s="500" t="str">
        <f>IF('[1]Tasa de Falla'!IG113=0,"",'[1]Tasa de Falla'!IG113)</f>
        <v>XXXX</v>
      </c>
      <c r="Q113" s="500" t="str">
        <f>IF('[1]Tasa de Falla'!IH113=0,"",'[1]Tasa de Falla'!IH113)</f>
        <v>XXXX</v>
      </c>
      <c r="R113" s="500" t="str">
        <f>IF('[1]Tasa de Falla'!II113=0,"",'[1]Tasa de Falla'!II113)</f>
        <v>XXXX</v>
      </c>
      <c r="S113" s="501"/>
      <c r="T113" s="498"/>
    </row>
    <row r="114" spans="2:20" s="492" customFormat="1" ht="19.5" customHeight="1">
      <c r="B114" s="493"/>
      <c r="C114" s="499">
        <f>'[1]Tasa de Falla'!C114</f>
        <v>97</v>
      </c>
      <c r="D114" s="499" t="str">
        <f>'[1]Tasa de Falla'!D114</f>
        <v>LA RIOJA SUR - PI LA RIOJA  </v>
      </c>
      <c r="E114" s="499">
        <f>'[1]Tasa de Falla'!E114</f>
        <v>132</v>
      </c>
      <c r="F114" s="499">
        <f>'[1]Tasa de Falla'!F114</f>
        <v>40</v>
      </c>
      <c r="G114" s="500">
        <f>IF('[1]Tasa de Falla'!HX114=0,"",'[1]Tasa de Falla'!HX114)</f>
      </c>
      <c r="H114" s="500">
        <f>IF('[1]Tasa de Falla'!HY114=0,"",'[1]Tasa de Falla'!HY114)</f>
      </c>
      <c r="I114" s="500">
        <f>IF('[1]Tasa de Falla'!HZ114=0,"",'[1]Tasa de Falla'!HZ114)</f>
      </c>
      <c r="J114" s="500">
        <f>IF('[1]Tasa de Falla'!IA114=0,"",'[1]Tasa de Falla'!IA114)</f>
      </c>
      <c r="K114" s="500">
        <f>IF('[1]Tasa de Falla'!IB114=0,"",'[1]Tasa de Falla'!IB114)</f>
      </c>
      <c r="L114" s="500">
        <f>IF('[1]Tasa de Falla'!IC114=0,"",'[1]Tasa de Falla'!IC114)</f>
      </c>
      <c r="M114" s="500">
        <f>IF('[1]Tasa de Falla'!ID114=0,"",'[1]Tasa de Falla'!ID114)</f>
      </c>
      <c r="N114" s="500">
        <f>IF('[1]Tasa de Falla'!IE114=0,"",'[1]Tasa de Falla'!IE114)</f>
      </c>
      <c r="O114" s="500">
        <f>IF('[1]Tasa de Falla'!IF114=0,"",'[1]Tasa de Falla'!IF114)</f>
      </c>
      <c r="P114" s="500">
        <f>IF('[1]Tasa de Falla'!IG114=0,"",'[1]Tasa de Falla'!IG114)</f>
      </c>
      <c r="Q114" s="500">
        <f>IF('[1]Tasa de Falla'!IH114=0,"",'[1]Tasa de Falla'!IH114)</f>
      </c>
      <c r="R114" s="500">
        <f>IF('[1]Tasa de Falla'!II114=0,"",'[1]Tasa de Falla'!II114)</f>
      </c>
      <c r="S114" s="501"/>
      <c r="T114" s="498"/>
    </row>
    <row r="115" spans="2:20" s="492" customFormat="1" ht="19.5" customHeight="1">
      <c r="B115" s="493"/>
      <c r="C115" s="499">
        <f>'[1]Tasa de Falla'!C115</f>
        <v>98</v>
      </c>
      <c r="D115" s="499" t="str">
        <f>'[1]Tasa de Falla'!D115</f>
        <v>LA RIOJA SUR - PI. PATQUIA</v>
      </c>
      <c r="E115" s="499">
        <f>'[1]Tasa de Falla'!E115</f>
        <v>132</v>
      </c>
      <c r="F115" s="499">
        <f>'[1]Tasa de Falla'!F115</f>
        <v>40</v>
      </c>
      <c r="G115" s="500">
        <f>IF('[1]Tasa de Falla'!HX115=0,"",'[1]Tasa de Falla'!HX115)</f>
      </c>
      <c r="H115" s="500">
        <f>IF('[1]Tasa de Falla'!HY115=0,"",'[1]Tasa de Falla'!HY115)</f>
      </c>
      <c r="I115" s="500">
        <f>IF('[1]Tasa de Falla'!HZ115=0,"",'[1]Tasa de Falla'!HZ115)</f>
      </c>
      <c r="J115" s="500">
        <f>IF('[1]Tasa de Falla'!IA115=0,"",'[1]Tasa de Falla'!IA115)</f>
      </c>
      <c r="K115" s="500">
        <f>IF('[1]Tasa de Falla'!IB115=0,"",'[1]Tasa de Falla'!IB115)</f>
      </c>
      <c r="L115" s="500">
        <f>IF('[1]Tasa de Falla'!IC115=0,"",'[1]Tasa de Falla'!IC115)</f>
      </c>
      <c r="M115" s="500">
        <f>IF('[1]Tasa de Falla'!ID115=0,"",'[1]Tasa de Falla'!ID115)</f>
      </c>
      <c r="N115" s="500">
        <f>IF('[1]Tasa de Falla'!IE115=0,"",'[1]Tasa de Falla'!IE115)</f>
      </c>
      <c r="O115" s="500">
        <f>IF('[1]Tasa de Falla'!IF115=0,"",'[1]Tasa de Falla'!IF115)</f>
      </c>
      <c r="P115" s="500">
        <f>IF('[1]Tasa de Falla'!IG115=0,"",'[1]Tasa de Falla'!IG115)</f>
      </c>
      <c r="Q115" s="500">
        <f>IF('[1]Tasa de Falla'!IH115=0,"",'[1]Tasa de Falla'!IH115)</f>
      </c>
      <c r="R115" s="500">
        <f>IF('[1]Tasa de Falla'!II115=0,"",'[1]Tasa de Falla'!II115)</f>
      </c>
      <c r="S115" s="501"/>
      <c r="T115" s="498"/>
    </row>
    <row r="116" spans="2:20" s="492" customFormat="1" ht="19.5" customHeight="1">
      <c r="B116" s="493"/>
      <c r="C116" s="499">
        <f>'[1]Tasa de Falla'!C116</f>
        <v>99</v>
      </c>
      <c r="D116" s="499" t="str">
        <f>'[1]Tasa de Falla'!D116</f>
        <v>SUNCHO CORRAL - QUIMILI</v>
      </c>
      <c r="E116" s="499">
        <f>'[1]Tasa de Falla'!E116</f>
        <v>132</v>
      </c>
      <c r="F116" s="499">
        <f>'[1]Tasa de Falla'!F116</f>
        <v>108</v>
      </c>
      <c r="G116" s="500">
        <f>IF('[1]Tasa de Falla'!HX116=0,"",'[1]Tasa de Falla'!HX116)</f>
      </c>
      <c r="H116" s="500">
        <f>IF('[1]Tasa de Falla'!HY116=0,"",'[1]Tasa de Falla'!HY116)</f>
      </c>
      <c r="I116" s="500">
        <f>IF('[1]Tasa de Falla'!HZ116=0,"",'[1]Tasa de Falla'!HZ116)</f>
      </c>
      <c r="J116" s="500">
        <f>IF('[1]Tasa de Falla'!IA116=0,"",'[1]Tasa de Falla'!IA116)</f>
      </c>
      <c r="K116" s="500">
        <f>IF('[1]Tasa de Falla'!IB116=0,"",'[1]Tasa de Falla'!IB116)</f>
      </c>
      <c r="L116" s="500">
        <f>IF('[1]Tasa de Falla'!IC116=0,"",'[1]Tasa de Falla'!IC116)</f>
      </c>
      <c r="M116" s="500">
        <f>IF('[1]Tasa de Falla'!ID116=0,"",'[1]Tasa de Falla'!ID116)</f>
      </c>
      <c r="N116" s="500">
        <f>IF('[1]Tasa de Falla'!IE116=0,"",'[1]Tasa de Falla'!IE116)</f>
      </c>
      <c r="O116" s="500">
        <f>IF('[1]Tasa de Falla'!IF116=0,"",'[1]Tasa de Falla'!IF116)</f>
      </c>
      <c r="P116" s="500">
        <f>IF('[1]Tasa de Falla'!IG116=0,"",'[1]Tasa de Falla'!IG116)</f>
        <v>1</v>
      </c>
      <c r="Q116" s="500">
        <f>IF('[1]Tasa de Falla'!IH116=0,"",'[1]Tasa de Falla'!IH116)</f>
      </c>
      <c r="R116" s="500">
        <f>IF('[1]Tasa de Falla'!II116=0,"",'[1]Tasa de Falla'!II116)</f>
      </c>
      <c r="S116" s="501"/>
      <c r="T116" s="498"/>
    </row>
    <row r="117" spans="2:20" s="492" customFormat="1" ht="19.5" customHeight="1">
      <c r="B117" s="493"/>
      <c r="C117" s="499">
        <f>'[1]Tasa de Falla'!C117</f>
        <v>100</v>
      </c>
      <c r="D117" s="499" t="str">
        <f>'[1]Tasa de Falla'!D117</f>
        <v>EL BRACHO - LA BANDA ESTE</v>
      </c>
      <c r="E117" s="499">
        <f>'[1]Tasa de Falla'!E117</f>
        <v>132</v>
      </c>
      <c r="F117" s="499">
        <f>'[1]Tasa de Falla'!F117</f>
        <v>140.9</v>
      </c>
      <c r="G117" s="500">
        <f>IF('[1]Tasa de Falla'!HX117=0,"",'[1]Tasa de Falla'!HX117)</f>
      </c>
      <c r="H117" s="500">
        <f>IF('[1]Tasa de Falla'!HY117=0,"",'[1]Tasa de Falla'!HY117)</f>
      </c>
      <c r="I117" s="500">
        <f>IF('[1]Tasa de Falla'!HZ117=0,"",'[1]Tasa de Falla'!HZ117)</f>
      </c>
      <c r="J117" s="500">
        <f>IF('[1]Tasa de Falla'!IA117=0,"",'[1]Tasa de Falla'!IA117)</f>
      </c>
      <c r="K117" s="500">
        <f>IF('[1]Tasa de Falla'!IB117=0,"",'[1]Tasa de Falla'!IB117)</f>
      </c>
      <c r="L117" s="500">
        <f>IF('[1]Tasa de Falla'!IC117=0,"",'[1]Tasa de Falla'!IC117)</f>
        <v>1</v>
      </c>
      <c r="M117" s="500">
        <f>IF('[1]Tasa de Falla'!ID117=0,"",'[1]Tasa de Falla'!ID117)</f>
        <v>3</v>
      </c>
      <c r="N117" s="500">
        <f>IF('[1]Tasa de Falla'!IE117=0,"",'[1]Tasa de Falla'!IE117)</f>
        <v>2</v>
      </c>
      <c r="O117" s="500">
        <f>IF('[1]Tasa de Falla'!IF117=0,"",'[1]Tasa de Falla'!IF117)</f>
        <v>1</v>
      </c>
      <c r="P117" s="500">
        <f>IF('[1]Tasa de Falla'!IG117=0,"",'[1]Tasa de Falla'!IG117)</f>
        <v>1</v>
      </c>
      <c r="Q117" s="500">
        <f>IF('[1]Tasa de Falla'!IH117=0,"",'[1]Tasa de Falla'!IH117)</f>
      </c>
      <c r="R117" s="500">
        <f>IF('[1]Tasa de Falla'!II117=0,"",'[1]Tasa de Falla'!II117)</f>
      </c>
      <c r="S117" s="501"/>
      <c r="T117" s="498"/>
    </row>
    <row r="118" spans="2:20" s="492" customFormat="1" ht="19.5" customHeight="1">
      <c r="B118" s="493"/>
      <c r="C118" s="499">
        <f>'[1]Tasa de Falla'!C118</f>
        <v>101</v>
      </c>
      <c r="D118" s="499" t="str">
        <f>'[1]Tasa de Falla'!D118</f>
        <v>LA BANDA ESTE - LA BANDA</v>
      </c>
      <c r="E118" s="499">
        <f>'[1]Tasa de Falla'!E118</f>
        <v>132</v>
      </c>
      <c r="F118" s="499">
        <f>'[1]Tasa de Falla'!F118</f>
        <v>16.2</v>
      </c>
      <c r="G118" s="500">
        <f>IF('[1]Tasa de Falla'!HX118=0,"",'[1]Tasa de Falla'!HX118)</f>
      </c>
      <c r="H118" s="500">
        <f>IF('[1]Tasa de Falla'!HY118=0,"",'[1]Tasa de Falla'!HY118)</f>
      </c>
      <c r="I118" s="500">
        <f>IF('[1]Tasa de Falla'!HZ118=0,"",'[1]Tasa de Falla'!HZ118)</f>
      </c>
      <c r="J118" s="500">
        <f>IF('[1]Tasa de Falla'!IA118=0,"",'[1]Tasa de Falla'!IA118)</f>
      </c>
      <c r="K118" s="500">
        <f>IF('[1]Tasa de Falla'!IB118=0,"",'[1]Tasa de Falla'!IB118)</f>
      </c>
      <c r="L118" s="500">
        <f>IF('[1]Tasa de Falla'!IC118=0,"",'[1]Tasa de Falla'!IC118)</f>
      </c>
      <c r="M118" s="500">
        <f>IF('[1]Tasa de Falla'!ID118=0,"",'[1]Tasa de Falla'!ID118)</f>
        <v>1</v>
      </c>
      <c r="N118" s="500">
        <f>IF('[1]Tasa de Falla'!IE118=0,"",'[1]Tasa de Falla'!IE118)</f>
      </c>
      <c r="O118" s="500">
        <f>IF('[1]Tasa de Falla'!IF118=0,"",'[1]Tasa de Falla'!IF118)</f>
      </c>
      <c r="P118" s="500">
        <f>IF('[1]Tasa de Falla'!IG118=0,"",'[1]Tasa de Falla'!IG118)</f>
      </c>
      <c r="Q118" s="500">
        <f>IF('[1]Tasa de Falla'!IH118=0,"",'[1]Tasa de Falla'!IH118)</f>
      </c>
      <c r="R118" s="500">
        <f>IF('[1]Tasa de Falla'!II118=0,"",'[1]Tasa de Falla'!II118)</f>
      </c>
      <c r="S118" s="501"/>
      <c r="T118" s="498"/>
    </row>
    <row r="119" spans="2:20" s="492" customFormat="1" ht="19.5" customHeight="1">
      <c r="B119" s="493"/>
      <c r="C119" s="499">
        <f>'[1]Tasa de Falla'!C119</f>
        <v>102</v>
      </c>
      <c r="D119" s="499" t="str">
        <f>'[1]Tasa de Falla'!D119</f>
        <v>TABACAL - PICHANAL</v>
      </c>
      <c r="E119" s="499">
        <f>'[1]Tasa de Falla'!E119</f>
        <v>132</v>
      </c>
      <c r="F119" s="499">
        <f>'[1]Tasa de Falla'!F119</f>
        <v>7</v>
      </c>
      <c r="G119" s="500">
        <f>IF('[1]Tasa de Falla'!HX119=0,"",'[1]Tasa de Falla'!HX119)</f>
      </c>
      <c r="H119" s="500">
        <f>IF('[1]Tasa de Falla'!HY119=0,"",'[1]Tasa de Falla'!HY119)</f>
      </c>
      <c r="I119" s="500">
        <f>IF('[1]Tasa de Falla'!HZ119=0,"",'[1]Tasa de Falla'!HZ119)</f>
      </c>
      <c r="J119" s="500">
        <f>IF('[1]Tasa de Falla'!IA119=0,"",'[1]Tasa de Falla'!IA119)</f>
      </c>
      <c r="K119" s="500">
        <f>IF('[1]Tasa de Falla'!IB119=0,"",'[1]Tasa de Falla'!IB119)</f>
      </c>
      <c r="L119" s="500">
        <f>IF('[1]Tasa de Falla'!IC119=0,"",'[1]Tasa de Falla'!IC119)</f>
      </c>
      <c r="M119" s="500">
        <f>IF('[1]Tasa de Falla'!ID119=0,"",'[1]Tasa de Falla'!ID119)</f>
      </c>
      <c r="N119" s="500">
        <f>IF('[1]Tasa de Falla'!IE119=0,"",'[1]Tasa de Falla'!IE119)</f>
      </c>
      <c r="O119" s="500">
        <f>IF('[1]Tasa de Falla'!IF119=0,"",'[1]Tasa de Falla'!IF119)</f>
      </c>
      <c r="P119" s="500">
        <f>IF('[1]Tasa de Falla'!IG119=0,"",'[1]Tasa de Falla'!IG119)</f>
      </c>
      <c r="Q119" s="500">
        <f>IF('[1]Tasa de Falla'!IH119=0,"",'[1]Tasa de Falla'!IH119)</f>
      </c>
      <c r="R119" s="500">
        <f>IF('[1]Tasa de Falla'!II119=0,"",'[1]Tasa de Falla'!II119)</f>
      </c>
      <c r="S119" s="501"/>
      <c r="T119" s="498"/>
    </row>
    <row r="120" spans="2:20" s="492" customFormat="1" ht="19.5" customHeight="1">
      <c r="B120" s="493"/>
      <c r="C120" s="499">
        <f>'[1]Tasa de Falla'!C120</f>
        <v>103</v>
      </c>
      <c r="D120" s="499" t="str">
        <f>'[1]Tasa de Falla'!D120</f>
        <v>ORAN - TABACAL</v>
      </c>
      <c r="E120" s="499">
        <f>'[1]Tasa de Falla'!E120</f>
        <v>132</v>
      </c>
      <c r="F120" s="499">
        <f>'[1]Tasa de Falla'!F120</f>
        <v>10</v>
      </c>
      <c r="G120" s="500">
        <f>IF('[1]Tasa de Falla'!HX120=0,"",'[1]Tasa de Falla'!HX120)</f>
      </c>
      <c r="H120" s="500">
        <f>IF('[1]Tasa de Falla'!HY120=0,"",'[1]Tasa de Falla'!HY120)</f>
      </c>
      <c r="I120" s="500">
        <f>IF('[1]Tasa de Falla'!HZ120=0,"",'[1]Tasa de Falla'!HZ120)</f>
      </c>
      <c r="J120" s="500">
        <f>IF('[1]Tasa de Falla'!IA120=0,"",'[1]Tasa de Falla'!IA120)</f>
      </c>
      <c r="K120" s="500">
        <f>IF('[1]Tasa de Falla'!IB120=0,"",'[1]Tasa de Falla'!IB120)</f>
      </c>
      <c r="L120" s="500">
        <f>IF('[1]Tasa de Falla'!IC120=0,"",'[1]Tasa de Falla'!IC120)</f>
      </c>
      <c r="M120" s="500">
        <f>IF('[1]Tasa de Falla'!ID120=0,"",'[1]Tasa de Falla'!ID120)</f>
      </c>
      <c r="N120" s="500">
        <f>IF('[1]Tasa de Falla'!IE120=0,"",'[1]Tasa de Falla'!IE120)</f>
      </c>
      <c r="O120" s="500">
        <f>IF('[1]Tasa de Falla'!IF120=0,"",'[1]Tasa de Falla'!IF120)</f>
      </c>
      <c r="P120" s="500">
        <f>IF('[1]Tasa de Falla'!IG120=0,"",'[1]Tasa de Falla'!IG120)</f>
      </c>
      <c r="Q120" s="500">
        <f>IF('[1]Tasa de Falla'!IH120=0,"",'[1]Tasa de Falla'!IH120)</f>
      </c>
      <c r="R120" s="500">
        <f>IF('[1]Tasa de Falla'!II120=0,"",'[1]Tasa de Falla'!II120)</f>
      </c>
      <c r="S120" s="501"/>
      <c r="T120" s="498"/>
    </row>
    <row r="121" spans="2:20" s="492" customFormat="1" ht="19.5" customHeight="1">
      <c r="B121" s="493"/>
      <c r="C121" s="499">
        <f>'[1]Tasa de Falla'!C121</f>
        <v>104</v>
      </c>
      <c r="D121" s="499" t="str">
        <f>'[1]Tasa de Falla'!D121</f>
        <v>MONTE QUEMADO -COPO - QUIMILI</v>
      </c>
      <c r="E121" s="499">
        <f>'[1]Tasa de Falla'!E121</f>
        <v>132</v>
      </c>
      <c r="F121" s="499">
        <f>'[1]Tasa de Falla'!F121</f>
        <v>218</v>
      </c>
      <c r="G121" s="500">
        <f>IF('[1]Tasa de Falla'!HX121=0,"",'[1]Tasa de Falla'!HX121)</f>
      </c>
      <c r="H121" s="500">
        <f>IF('[1]Tasa de Falla'!HY121=0,"",'[1]Tasa de Falla'!HY121)</f>
      </c>
      <c r="I121" s="500">
        <f>IF('[1]Tasa de Falla'!HZ121=0,"",'[1]Tasa de Falla'!HZ121)</f>
      </c>
      <c r="J121" s="500">
        <f>IF('[1]Tasa de Falla'!IA121=0,"",'[1]Tasa de Falla'!IA121)</f>
      </c>
      <c r="K121" s="500">
        <f>IF('[1]Tasa de Falla'!IB121=0,"",'[1]Tasa de Falla'!IB121)</f>
      </c>
      <c r="L121" s="500">
        <f>IF('[1]Tasa de Falla'!IC121=0,"",'[1]Tasa de Falla'!IC121)</f>
      </c>
      <c r="M121" s="500">
        <f>IF('[1]Tasa de Falla'!ID121=0,"",'[1]Tasa de Falla'!ID121)</f>
      </c>
      <c r="N121" s="500">
        <f>IF('[1]Tasa de Falla'!IE121=0,"",'[1]Tasa de Falla'!IE121)</f>
      </c>
      <c r="O121" s="500">
        <f>IF('[1]Tasa de Falla'!IF121=0,"",'[1]Tasa de Falla'!IF121)</f>
      </c>
      <c r="P121" s="500">
        <f>IF('[1]Tasa de Falla'!IG121=0,"",'[1]Tasa de Falla'!IG121)</f>
      </c>
      <c r="Q121" s="500">
        <f>IF('[1]Tasa de Falla'!IH121=0,"",'[1]Tasa de Falla'!IH121)</f>
      </c>
      <c r="R121" s="500">
        <f>IF('[1]Tasa de Falla'!II121=0,"",'[1]Tasa de Falla'!II121)</f>
      </c>
      <c r="S121" s="501"/>
      <c r="T121" s="498"/>
    </row>
    <row r="122" spans="2:20" s="492" customFormat="1" ht="19.5" customHeight="1">
      <c r="B122" s="493"/>
      <c r="C122" s="499"/>
      <c r="D122" s="499"/>
      <c r="E122" s="499"/>
      <c r="F122" s="499"/>
      <c r="G122" s="500"/>
      <c r="H122" s="497"/>
      <c r="I122" s="497"/>
      <c r="J122" s="497"/>
      <c r="K122" s="497"/>
      <c r="L122" s="497"/>
      <c r="M122" s="497"/>
      <c r="N122" s="497"/>
      <c r="O122" s="497"/>
      <c r="P122" s="497"/>
      <c r="Q122" s="497"/>
      <c r="R122" s="497"/>
      <c r="S122" s="501"/>
      <c r="T122" s="498"/>
    </row>
    <row r="123" spans="2:20" s="492" customFormat="1" ht="19.5" customHeight="1">
      <c r="B123" s="493"/>
      <c r="C123" s="499"/>
      <c r="D123" s="499"/>
      <c r="E123" s="499"/>
      <c r="F123" s="502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501"/>
      <c r="T123" s="498"/>
    </row>
    <row r="124" spans="2:20" s="492" customFormat="1" ht="19.5" customHeight="1" thickBot="1">
      <c r="B124" s="493"/>
      <c r="C124" s="503"/>
      <c r="D124" s="504"/>
      <c r="E124" s="505"/>
      <c r="F124" s="506"/>
      <c r="G124" s="497"/>
      <c r="H124" s="497"/>
      <c r="I124" s="497"/>
      <c r="J124" s="497"/>
      <c r="K124" s="497"/>
      <c r="L124" s="497"/>
      <c r="M124" s="497"/>
      <c r="N124" s="497"/>
      <c r="O124" s="497"/>
      <c r="P124" s="497"/>
      <c r="Q124" s="497"/>
      <c r="R124" s="497"/>
      <c r="S124" s="501"/>
      <c r="T124" s="498"/>
    </row>
    <row r="125" spans="2:20" ht="15" customHeight="1" thickBot="1" thickTop="1">
      <c r="B125" s="480"/>
      <c r="C125" s="83"/>
      <c r="D125" s="507"/>
      <c r="E125" s="508" t="s">
        <v>231</v>
      </c>
      <c r="F125" s="509">
        <f>SUM(F16:F124)-F19-F21-F22-F26-F27-F37-F39-F40-F43-F44-F47-F48-F49-F53-F60-F65-F80-F84-F98-F103-F113</f>
        <v>4455.890000000002</v>
      </c>
      <c r="G125" s="510"/>
      <c r="H125" s="510"/>
      <c r="I125" s="510"/>
      <c r="J125" s="510"/>
      <c r="K125" s="510"/>
      <c r="L125" s="510"/>
      <c r="M125" s="510"/>
      <c r="N125" s="510"/>
      <c r="O125" s="510"/>
      <c r="P125" s="510"/>
      <c r="Q125" s="510"/>
      <c r="R125" s="510"/>
      <c r="S125" s="511"/>
      <c r="T125" s="474"/>
    </row>
    <row r="126" spans="2:20" ht="15" customHeight="1" thickBot="1" thickTop="1">
      <c r="B126" s="480"/>
      <c r="C126" s="6"/>
      <c r="D126" s="512"/>
      <c r="F126" s="513" t="s">
        <v>232</v>
      </c>
      <c r="G126" s="514">
        <f aca="true" t="shared" si="0" ref="G126:R126">SUM(G17:G124)</f>
        <v>11</v>
      </c>
      <c r="H126" s="514">
        <f t="shared" si="0"/>
        <v>7</v>
      </c>
      <c r="I126" s="514">
        <f t="shared" si="0"/>
        <v>2</v>
      </c>
      <c r="J126" s="514">
        <f t="shared" si="0"/>
        <v>5</v>
      </c>
      <c r="K126" s="514">
        <f t="shared" si="0"/>
        <v>2</v>
      </c>
      <c r="L126" s="514">
        <f t="shared" si="0"/>
        <v>23</v>
      </c>
      <c r="M126" s="514">
        <f t="shared" si="0"/>
        <v>23</v>
      </c>
      <c r="N126" s="514">
        <f t="shared" si="0"/>
        <v>14</v>
      </c>
      <c r="O126" s="514">
        <f t="shared" si="0"/>
        <v>12</v>
      </c>
      <c r="P126" s="514">
        <f t="shared" si="0"/>
        <v>22</v>
      </c>
      <c r="Q126" s="514">
        <f t="shared" si="0"/>
        <v>35</v>
      </c>
      <c r="R126" s="514">
        <f t="shared" si="0"/>
        <v>26</v>
      </c>
      <c r="S126" s="515"/>
      <c r="T126" s="474"/>
    </row>
    <row r="127" spans="2:20" ht="19.5" thickBot="1" thickTop="1">
      <c r="B127" s="480"/>
      <c r="C127" s="6"/>
      <c r="D127" s="6"/>
      <c r="E127" s="6"/>
      <c r="F127" s="516" t="s">
        <v>233</v>
      </c>
      <c r="G127" s="517">
        <f>+'[1]Tasa de Falla'!HX129</f>
        <v>2.51</v>
      </c>
      <c r="H127" s="517">
        <f>+'[1]Tasa de Falla'!HY129</f>
        <v>2.42</v>
      </c>
      <c r="I127" s="517">
        <f>+'[1]Tasa de Falla'!HZ129</f>
        <v>2.42</v>
      </c>
      <c r="J127" s="517">
        <f>+'[1]Tasa de Falla'!IA129</f>
        <v>2.4</v>
      </c>
      <c r="K127" s="517">
        <f>+'[1]Tasa de Falla'!IB129</f>
        <v>2.45</v>
      </c>
      <c r="L127" s="517">
        <f>+'[1]Tasa de Falla'!IC129</f>
        <v>2.24</v>
      </c>
      <c r="M127" s="517">
        <f>+'[1]Tasa de Falla'!ID129</f>
        <v>2.63</v>
      </c>
      <c r="N127" s="517">
        <f>+'[1]Tasa de Falla'!IE129</f>
        <v>2.76</v>
      </c>
      <c r="O127" s="517">
        <f>+'[1]Tasa de Falla'!IF129</f>
        <v>2.94</v>
      </c>
      <c r="P127" s="517">
        <f>+'[1]Tasa de Falla'!IG129</f>
        <v>3.03</v>
      </c>
      <c r="Q127" s="517">
        <f>+'[1]Tasa de Falla'!IH129</f>
        <v>3.21</v>
      </c>
      <c r="R127" s="517">
        <f>+'[1]Tasa de Falla'!II129</f>
        <v>3.79</v>
      </c>
      <c r="S127" s="517">
        <f>+'[1]Tasa de Falla'!IJ129</f>
        <v>4.08</v>
      </c>
      <c r="T127" s="474"/>
    </row>
    <row r="128" spans="2:21" ht="18.75" customHeight="1" thickBot="1" thickTop="1">
      <c r="B128" s="480"/>
      <c r="C128" s="46"/>
      <c r="D128" s="46"/>
      <c r="E128" s="518"/>
      <c r="F128" s="519"/>
      <c r="G128" s="520"/>
      <c r="H128" s="520"/>
      <c r="I128" s="520"/>
      <c r="J128" s="520"/>
      <c r="K128" s="520"/>
      <c r="L128" s="520"/>
      <c r="M128" s="520"/>
      <c r="N128" s="520"/>
      <c r="O128" s="520"/>
      <c r="P128" s="520"/>
      <c r="Q128" s="520"/>
      <c r="R128" s="520"/>
      <c r="S128" s="520"/>
      <c r="T128" s="521"/>
      <c r="U128" s="522"/>
    </row>
    <row r="129" spans="2:20" ht="19.5" thickBot="1" thickTop="1">
      <c r="B129" s="523"/>
      <c r="C129" s="524" t="s">
        <v>234</v>
      </c>
      <c r="D129" s="46" t="s">
        <v>235</v>
      </c>
      <c r="J129" s="525" t="s">
        <v>236</v>
      </c>
      <c r="K129" s="526"/>
      <c r="L129" s="526"/>
      <c r="M129" s="527">
        <f>S127</f>
        <v>4.08</v>
      </c>
      <c r="N129" s="528" t="s">
        <v>237</v>
      </c>
      <c r="O129" s="528"/>
      <c r="P129" s="528"/>
      <c r="Q129" s="529"/>
      <c r="R129" s="1"/>
      <c r="S129" s="1"/>
      <c r="T129" s="474"/>
    </row>
    <row r="130" spans="2:20" ht="18.75" customHeight="1" thickBot="1">
      <c r="B130" s="530"/>
      <c r="C130" s="531"/>
      <c r="D130" s="92"/>
      <c r="E130" s="92"/>
      <c r="F130" s="532"/>
      <c r="G130" s="533"/>
      <c r="H130" s="533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4"/>
    </row>
    <row r="131" spans="2:21" ht="15" customHeight="1" thickTop="1">
      <c r="B131" s="535"/>
      <c r="C131" s="1"/>
      <c r="D131" s="1"/>
      <c r="E131" s="1"/>
      <c r="F131" s="53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537"/>
      <c r="C132" s="538"/>
      <c r="D132" s="538"/>
      <c r="E132" s="538"/>
      <c r="F132" s="538"/>
      <c r="G132" s="538"/>
      <c r="H132" s="538"/>
      <c r="I132" s="538"/>
      <c r="J132" s="538"/>
      <c r="K132" s="538"/>
      <c r="L132" s="538"/>
      <c r="M132" s="538"/>
      <c r="N132" s="538"/>
      <c r="O132" s="538"/>
      <c r="P132" s="538"/>
      <c r="Q132" s="538"/>
      <c r="R132" s="538"/>
      <c r="S132" s="538"/>
      <c r="T132" s="538"/>
      <c r="U132" s="538"/>
    </row>
    <row r="133" ht="12.75">
      <c r="B133" s="539"/>
    </row>
    <row r="134" spans="2:21" ht="22.5" customHeight="1"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22.5" customHeight="1">
      <c r="B135" s="1"/>
      <c r="C135" s="1"/>
      <c r="D135" s="540"/>
      <c r="E135" s="540"/>
      <c r="F135" s="482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541"/>
      <c r="U135" s="541"/>
    </row>
    <row r="136" spans="2:21" ht="22.5" customHeight="1">
      <c r="B136" s="1"/>
      <c r="C136" s="1"/>
      <c r="D136" s="540"/>
      <c r="E136" s="540"/>
      <c r="F136" s="54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22.5" customHeight="1">
      <c r="B137" s="1"/>
      <c r="C137" s="1"/>
      <c r="D137" s="483"/>
      <c r="E137" s="483"/>
      <c r="F137" s="4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22.5" customHeight="1">
      <c r="B138" s="1"/>
      <c r="C138" s="1"/>
      <c r="D138" s="540"/>
      <c r="E138" s="540"/>
      <c r="F138" s="4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</sheetData>
  <sheetProtection/>
  <mergeCells count="2">
    <mergeCell ref="A3:C3"/>
    <mergeCell ref="A4:C4"/>
  </mergeCells>
  <printOptions/>
  <pageMargins left="1.07" right="1.18" top="0.75" bottom="0.75" header="0.3" footer="0.3"/>
  <pageSetup fitToHeight="1" fitToWidth="1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2014-08-27T15:24:04Z</cp:lastPrinted>
  <dcterms:created xsi:type="dcterms:W3CDTF">1998-04-21T14:04:37Z</dcterms:created>
  <dcterms:modified xsi:type="dcterms:W3CDTF">2014-10-27T13:24:01Z</dcterms:modified>
  <cp:category/>
  <cp:version/>
  <cp:contentType/>
  <cp:contentStatus/>
</cp:coreProperties>
</file>