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0914" sheetId="1" r:id="rId1"/>
    <sheet name="LI-09 (1)" sheetId="2" r:id="rId2"/>
    <sheet name="T-09 (1)" sheetId="3" r:id="rId3"/>
    <sheet name="SA-09 (1)" sheetId="4" r:id="rId4"/>
    <sheet name="TASA FALLA" sheetId="5" r:id="rId5"/>
    <sheet name="DATO" sheetId="6" r:id="rId6"/>
  </sheets>
  <externalReferences>
    <externalReference r:id="rId9"/>
    <externalReference r:id="rId10"/>
  </externalReferences>
  <definedNames>
    <definedName name="_xlnm.Print_Area" localSheetId="4">'TASA FALLA'!$A$1:$T$44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  <definedName name="x" localSheetId="4">'TASA FALLA'!x</definedName>
    <definedName name="x">[0]!x</definedName>
    <definedName name="XX" localSheetId="4">'TASA FALLA'!XX</definedName>
    <definedName name="XX">[0]!XX</definedName>
    <definedName name="Z_CED65634_EC76_48B7_BCDE_CE4F22E2E6C4_.wvu.PrintArea" localSheetId="4" hidden="1">'TASA FALLA'!$A$1:$T$44</definedName>
    <definedName name="Z_CED65634_EC76_48B7_BCDE_CE4F22E2E6C4_.wvu.Rows" localSheetId="4" hidden="1">'TASA FALLA'!$16:$16</definedName>
  </definedNames>
  <calcPr fullCalcOnLoad="1"/>
</workbook>
</file>

<file path=xl/sharedStrings.xml><?xml version="1.0" encoding="utf-8"?>
<sst xmlns="http://schemas.openxmlformats.org/spreadsheetml/2006/main" count="314" uniqueCount="174">
  <si>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</si>
  <si>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</si>
  <si>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</si>
  <si>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</si>
  <si>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</si>
  <si>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</si>
  <si>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</si>
  <si>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</si>
  <si>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</si>
  <si>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</si>
  <si>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</si>
  <si>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</si>
  <si>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</si>
  <si>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</si>
  <si>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</si>
  <si>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</si>
  <si>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</si>
  <si>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</si>
  <si>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</si>
  <si>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</si>
  <si>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</si>
  <si>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</si>
  <si>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</si>
  <si>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</si>
  <si>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</si>
  <si>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</si>
  <si>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</si>
  <si>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</si>
  <si>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</si>
  <si>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</si>
  <si>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</si>
  <si>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</si>
  <si>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</si>
  <si>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</si>
  <si>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</si>
  <si>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</si>
  <si>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</si>
  <si>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</si>
  <si>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</si>
  <si>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</si>
  <si>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</si>
  <si>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</si>
  <si>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</si>
  <si>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</si>
  <si>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</si>
  <si>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</si>
  <si>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</si>
  <si>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</si>
  <si>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</si>
  <si>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</si>
  <si>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</si>
  <si>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</si>
  <si>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</si>
  <si>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</si>
  <si>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</si>
  <si>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</si>
  <si>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</si>
  <si>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</si>
  <si>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</si>
  <si>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</si>
  <si>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</si>
  <si>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</si>
  <si>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</si>
  <si>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</si>
  <si>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</si>
  <si>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</si>
  <si>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</si>
  <si>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</si>
  <si>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</si>
  <si>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</si>
  <si>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</si>
  <si>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</si>
  <si>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</si>
  <si>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</si>
  <si>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</si>
  <si>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</si>
  <si>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</si>
  <si>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</si>
  <si>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</si>
  <si>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</si>
  <si>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</si>
  <si>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</si>
  <si>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</si>
  <si>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</si>
  <si>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</si>
  <si>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</si>
  <si>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</si>
  <si>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</si>
  <si>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</si>
  <si>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</si>
  <si>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</si>
  <si>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</si>
  <si>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</si>
  <si>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</si>
  <si>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</si>
  <si>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</si>
  <si>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</si>
  <si>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</si>
  <si>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</si>
  <si>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</si>
  <si>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</si>
  <si>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</si>
  <si>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</si>
  <si>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</si>
  <si>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</si>
  <si>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</si>
  <si>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</si>
  <si>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</si>
  <si>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</si>
  <si>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</si>
  <si>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</si>
  <si>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</si>
  <si>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</si>
  <si>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</si>
  <si>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</si>
  <si>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</si>
  <si>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</si>
  <si>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</si>
  <si>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</si>
  <si>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</si>
  <si>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</si>
  <si>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</si>
  <si>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</si>
  <si>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</si>
  <si>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</si>
  <si>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</si>
  <si>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</si>
  <si>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</si>
  <si>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</si>
  <si>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</si>
  <si>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30 de septiembre de 2014</t>
  </si>
  <si>
    <t>AGUA DEL TORO - NIHUIL II</t>
  </si>
  <si>
    <t>P</t>
  </si>
  <si>
    <t>0,000</t>
  </si>
  <si>
    <t>ANCHORIS - CRUZ DE PIEDRA</t>
  </si>
  <si>
    <t>F</t>
  </si>
  <si>
    <t>ANCHORIS - CAPIZ</t>
  </si>
  <si>
    <t>AGUA DEL TORO - CRUZ DE PIEDRA</t>
  </si>
  <si>
    <t>C.H. NIHUIL 1 - PEDRO VARGAS</t>
  </si>
  <si>
    <t>CRUZ DE PIEDRA - SAN JUAN</t>
  </si>
  <si>
    <t>CRUZ DE PIEDRA - LUJAN DE CUYO 2</t>
  </si>
  <si>
    <t>SI</t>
  </si>
  <si>
    <t>ANCHORIS</t>
  </si>
  <si>
    <t>TRAFO 1</t>
  </si>
  <si>
    <t>132/66/13,2</t>
  </si>
  <si>
    <t>LUJAN DE CUYO</t>
  </si>
  <si>
    <t>TRAFO 17</t>
  </si>
  <si>
    <t>132/13,2</t>
  </si>
  <si>
    <t>TRAFO 5</t>
  </si>
  <si>
    <t>132/33/13,2</t>
  </si>
  <si>
    <t>SAN JUAN</t>
  </si>
  <si>
    <t>TRAFO 2</t>
  </si>
  <si>
    <t>ALIMENT. SCOP</t>
  </si>
  <si>
    <t>ALIMENT. CD ANCHORIS 1</t>
  </si>
  <si>
    <t>ALIMENT. 3 DESTILERIA</t>
  </si>
  <si>
    <t>ALIMENT. 1 DESTILERIA</t>
  </si>
  <si>
    <t>LINEA YPF POZOS 1</t>
  </si>
  <si>
    <t xml:space="preserve"> - </t>
  </si>
  <si>
    <t>Res. S.E. 1/03</t>
  </si>
  <si>
    <t>P - PROGRAMADA  ; F - FORZADA</t>
  </si>
  <si>
    <t>LINEA A LILLA KRAUSE</t>
  </si>
  <si>
    <t>Valores remuneratorios según el Convenio de Renovación. Nota ENRE Nº 113602</t>
  </si>
  <si>
    <t>TOTAL DE PENALIZACIONES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</si>
  <si>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</si>
  <si>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</si>
  <si>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</si>
  <si>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</si>
  <si>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</si>
  <si>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</si>
  <si>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VALOR PROVISORIO</t>
  </si>
  <si>
    <t>TASA DE FALLA</t>
  </si>
  <si>
    <t>SALIDAS x AÑO/ 100 km</t>
  </si>
  <si>
    <t xml:space="preserve">Tasa de falla Correspondiente al mes de Septiembre de 2014 </t>
  </si>
  <si>
    <t>ANEXO IV al Memorandum D.T.E.E. N°    306   / 2015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</si>
</sst>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111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2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2" fillId="29" borderId="1" applyNumberFormat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101" fillId="0" borderId="8" applyNumberFormat="0" applyFill="0" applyAlignment="0" applyProtection="0"/>
    <xf numFmtId="0" fontId="110" fillId="0" borderId="9" applyNumberFormat="0" applyFill="0" applyAlignment="0" applyProtection="0"/>
  </cellStyleXfs>
  <cellXfs count="506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Fill="1" applyBorder="1">
      <alignment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6" fillId="0" borderId="0" xfId="55" applyNumberFormat="1" applyFont="1" applyBorder="1" applyAlignment="1" applyProtection="1">
      <alignment horizontal="center"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6" fillId="0" borderId="0" xfId="55" applyFont="1" applyBorder="1">
      <alignment/>
      <protection/>
    </xf>
    <xf numFmtId="0" fontId="11" fillId="0" borderId="0" xfId="55" applyFont="1">
      <alignment/>
      <protection/>
    </xf>
    <xf numFmtId="0" fontId="11" fillId="0" borderId="0" xfId="55" applyFont="1" applyBorder="1">
      <alignment/>
      <protection/>
    </xf>
    <xf numFmtId="0" fontId="12" fillId="0" borderId="0" xfId="55" applyFont="1" applyFill="1" applyBorder="1" applyAlignment="1" applyProtection="1">
      <alignment horizontal="left"/>
      <protection/>
    </xf>
    <xf numFmtId="0" fontId="8" fillId="0" borderId="0" xfId="55" applyFont="1" applyBorder="1">
      <alignment/>
      <protection/>
    </xf>
    <xf numFmtId="0" fontId="13" fillId="0" borderId="0" xfId="55" applyFont="1">
      <alignment/>
      <protection/>
    </xf>
    <xf numFmtId="0" fontId="14" fillId="0" borderId="0" xfId="55" applyFont="1" applyBorder="1" applyAlignment="1">
      <alignment horizontal="centerContinuous"/>
      <protection/>
    </xf>
    <xf numFmtId="0" fontId="15" fillId="0" borderId="0" xfId="55" applyFont="1" applyAlignment="1">
      <alignment horizontal="centerContinuous"/>
      <protection/>
    </xf>
    <xf numFmtId="0" fontId="13" fillId="0" borderId="0" xfId="55" applyFont="1" applyAlignment="1">
      <alignment horizontal="centerContinuous"/>
      <protection/>
    </xf>
    <xf numFmtId="0" fontId="13" fillId="0" borderId="0" xfId="55" applyFont="1" applyBorder="1" applyAlignment="1">
      <alignment horizontal="centerContinuous"/>
      <protection/>
    </xf>
    <xf numFmtId="0" fontId="13" fillId="0" borderId="0" xfId="55" applyFont="1" applyBorder="1">
      <alignment/>
      <protection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55" applyFont="1" applyBorder="1">
      <alignment/>
      <protection/>
    </xf>
    <xf numFmtId="0" fontId="17" fillId="0" borderId="0" xfId="55" applyFont="1" applyBorder="1">
      <alignment/>
      <protection/>
    </xf>
    <xf numFmtId="0" fontId="19" fillId="0" borderId="10" xfId="55" applyFont="1" applyBorder="1">
      <alignment/>
      <protection/>
    </xf>
    <xf numFmtId="0" fontId="19" fillId="0" borderId="11" xfId="55" applyFont="1" applyBorder="1">
      <alignment/>
      <protection/>
    </xf>
    <xf numFmtId="0" fontId="17" fillId="0" borderId="11" xfId="55" applyFont="1" applyBorder="1">
      <alignment/>
      <protection/>
    </xf>
    <xf numFmtId="0" fontId="17" fillId="0" borderId="12" xfId="55" applyFont="1" applyBorder="1">
      <alignment/>
      <protection/>
    </xf>
    <xf numFmtId="0" fontId="2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13" fillId="0" borderId="0" xfId="55" applyNumberFormat="1" applyFont="1" applyAlignment="1">
      <alignment horizontal="centerContinuous"/>
      <protection/>
    </xf>
    <xf numFmtId="0" fontId="20" fillId="0" borderId="0" xfId="55" applyFont="1" applyBorder="1" applyAlignment="1">
      <alignment horizontal="centerContinuous"/>
      <protection/>
    </xf>
    <xf numFmtId="0" fontId="13" fillId="0" borderId="14" xfId="55" applyFont="1" applyBorder="1" applyAlignment="1">
      <alignment horizontal="centerContinuous"/>
      <protection/>
    </xf>
    <xf numFmtId="0" fontId="13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20" fillId="0" borderId="0" xfId="55" applyFont="1" applyBorder="1">
      <alignment/>
      <protection/>
    </xf>
    <xf numFmtId="0" fontId="13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6" fillId="0" borderId="13" xfId="55" applyFont="1" applyBorder="1">
      <alignment/>
      <protection/>
    </xf>
    <xf numFmtId="0" fontId="3" fillId="0" borderId="0" xfId="55" applyNumberFormat="1" applyFont="1" applyBorder="1" applyAlignment="1">
      <alignment horizontal="right"/>
      <protection/>
    </xf>
    <xf numFmtId="0" fontId="3" fillId="0" borderId="0" xfId="55" applyNumberFormat="1" applyFont="1" applyBorder="1" applyAlignment="1">
      <alignment/>
      <protection/>
    </xf>
    <xf numFmtId="0" fontId="22" fillId="0" borderId="0" xfId="55" applyFont="1" applyBorder="1">
      <alignment/>
      <protection/>
    </xf>
    <xf numFmtId="7" fontId="3" fillId="0" borderId="0" xfId="55" applyNumberFormat="1" applyFont="1" applyBorder="1" applyAlignment="1">
      <alignment horizontal="right"/>
      <protection/>
    </xf>
    <xf numFmtId="0" fontId="6" fillId="0" borderId="14" xfId="55" applyFont="1" applyBorder="1">
      <alignment/>
      <protection/>
    </xf>
    <xf numFmtId="0" fontId="6" fillId="0" borderId="0" xfId="55" applyFont="1" applyBorder="1" applyAlignment="1">
      <alignment horizontal="right"/>
      <protection/>
    </xf>
    <xf numFmtId="0" fontId="21" fillId="0" borderId="0" xfId="55" applyFont="1" applyBorder="1">
      <alignment/>
      <protection/>
    </xf>
    <xf numFmtId="0" fontId="13" fillId="0" borderId="0" xfId="55" applyFont="1" applyBorder="1" applyAlignment="1">
      <alignment horizontal="right"/>
      <protection/>
    </xf>
    <xf numFmtId="0" fontId="21" fillId="0" borderId="15" xfId="55" applyFont="1" applyBorder="1" applyAlignment="1">
      <alignment horizontal="center"/>
      <protection/>
    </xf>
    <xf numFmtId="7" fontId="21" fillId="0" borderId="16" xfId="55" applyNumberFormat="1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17" fillId="0" borderId="17" xfId="55" applyFont="1" applyBorder="1">
      <alignment/>
      <protection/>
    </xf>
    <xf numFmtId="0" fontId="17" fillId="0" borderId="18" xfId="55" applyNumberFormat="1" applyFont="1" applyBorder="1">
      <alignment/>
      <protection/>
    </xf>
    <xf numFmtId="0" fontId="17" fillId="0" borderId="18" xfId="55" applyFont="1" applyBorder="1">
      <alignment/>
      <protection/>
    </xf>
    <xf numFmtId="0" fontId="17" fillId="0" borderId="19" xfId="55" applyFont="1" applyBorder="1">
      <alignment/>
      <protection/>
    </xf>
    <xf numFmtId="0" fontId="17" fillId="0" borderId="0" xfId="55" applyFont="1" applyFill="1" applyBorder="1">
      <alignment/>
      <protection/>
    </xf>
    <xf numFmtId="4" fontId="17" fillId="0" borderId="0" xfId="55" applyNumberFormat="1" applyFont="1" applyFill="1" applyBorder="1">
      <alignment/>
      <protection/>
    </xf>
    <xf numFmtId="7" fontId="17" fillId="0" borderId="0" xfId="55" applyNumberFormat="1" applyFont="1" applyBorder="1">
      <alignment/>
      <protection/>
    </xf>
    <xf numFmtId="172" fontId="17" fillId="0" borderId="0" xfId="55" applyNumberFormat="1" applyFont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4" fontId="6" fillId="0" borderId="0" xfId="55" applyNumberFormat="1" applyFont="1" applyFill="1" applyBorder="1">
      <alignment/>
      <protection/>
    </xf>
    <xf numFmtId="4" fontId="6" fillId="0" borderId="0" xfId="55" applyNumberFormat="1" applyFont="1" applyBorder="1">
      <alignment/>
      <protection/>
    </xf>
    <xf numFmtId="4" fontId="3" fillId="0" borderId="0" xfId="55" applyNumberFormat="1" applyFont="1" applyBorder="1" applyAlignment="1">
      <alignment horizontal="center"/>
      <protection/>
    </xf>
    <xf numFmtId="0" fontId="9" fillId="0" borderId="0" xfId="55" applyFont="1" applyAlignment="1" applyProtection="1">
      <alignment horizontal="centerContinuous"/>
      <protection locked="0"/>
    </xf>
    <xf numFmtId="0" fontId="16" fillId="0" borderId="0" xfId="55" applyFont="1" applyAlignment="1" applyProtection="1">
      <alignment horizontal="centerContinuous"/>
      <protection locked="0"/>
    </xf>
    <xf numFmtId="0" fontId="4" fillId="0" borderId="0" xfId="55" applyFont="1" applyBorder="1" applyAlignment="1" applyProtection="1">
      <alignment horizontal="centerContinuous"/>
      <protection/>
    </xf>
    <xf numFmtId="0" fontId="6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23" fillId="0" borderId="0" xfId="55" applyFont="1">
      <alignment/>
      <protection/>
    </xf>
    <xf numFmtId="0" fontId="23" fillId="0" borderId="13" xfId="55" applyFont="1" applyBorder="1">
      <alignment/>
      <protection/>
    </xf>
    <xf numFmtId="0" fontId="24" fillId="0" borderId="0" xfId="55" applyFont="1" applyBorder="1">
      <alignment/>
      <protection/>
    </xf>
    <xf numFmtId="0" fontId="23" fillId="0" borderId="0" xfId="55" applyFont="1" applyBorder="1">
      <alignment/>
      <protection/>
    </xf>
    <xf numFmtId="0" fontId="23" fillId="0" borderId="14" xfId="55" applyFont="1" applyBorder="1">
      <alignment/>
      <protection/>
    </xf>
    <xf numFmtId="0" fontId="3" fillId="0" borderId="0" xfId="55" applyFont="1" applyBorder="1">
      <alignment/>
      <protection/>
    </xf>
    <xf numFmtId="0" fontId="20" fillId="0" borderId="0" xfId="55" applyFont="1" applyFill="1" applyBorder="1" applyAlignment="1" applyProtection="1">
      <alignment horizontal="centerContinuous"/>
      <protection locked="0"/>
    </xf>
    <xf numFmtId="0" fontId="20" fillId="0" borderId="0" xfId="55" applyFont="1" applyAlignment="1">
      <alignment horizontal="centerContinuous"/>
      <protection/>
    </xf>
    <xf numFmtId="0" fontId="20" fillId="0" borderId="0" xfId="55" applyFont="1" applyBorder="1" applyAlignment="1" applyProtection="1">
      <alignment horizontal="centerContinuous"/>
      <protection/>
    </xf>
    <xf numFmtId="0" fontId="20" fillId="0" borderId="14" xfId="55" applyFont="1" applyBorder="1" applyAlignment="1">
      <alignment horizontal="centerContinuous"/>
      <protection/>
    </xf>
    <xf numFmtId="0" fontId="16" fillId="0" borderId="0" xfId="55" applyFont="1" applyBorder="1">
      <alignment/>
      <protection/>
    </xf>
    <xf numFmtId="0" fontId="3" fillId="0" borderId="0" xfId="55" applyFont="1" applyBorder="1" applyProtection="1">
      <alignment/>
      <protection/>
    </xf>
    <xf numFmtId="0" fontId="6" fillId="0" borderId="0" xfId="55" applyFont="1" applyBorder="1" applyProtection="1">
      <alignment/>
      <protection/>
    </xf>
    <xf numFmtId="0" fontId="1" fillId="0" borderId="15" xfId="55" applyFont="1" applyBorder="1" applyAlignment="1" applyProtection="1">
      <alignment horizontal="center"/>
      <protection/>
    </xf>
    <xf numFmtId="176" fontId="1" fillId="0" borderId="15" xfId="55" applyNumberFormat="1" applyFont="1" applyBorder="1" applyAlignment="1">
      <alignment horizontal="centerContinuous"/>
      <protection/>
    </xf>
    <xf numFmtId="0" fontId="3" fillId="0" borderId="16" xfId="55" applyFont="1" applyBorder="1" applyAlignment="1" applyProtection="1">
      <alignment horizontal="centerContinuous"/>
      <protection/>
    </xf>
    <xf numFmtId="171" fontId="6" fillId="0" borderId="16" xfId="55" applyNumberFormat="1" applyFont="1" applyBorder="1" applyAlignment="1">
      <alignment horizontal="centerContinuous"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 applyAlignment="1" applyProtection="1">
      <alignment horizontal="left"/>
      <protection locked="0"/>
    </xf>
    <xf numFmtId="0" fontId="1" fillId="0" borderId="0" xfId="55" applyFont="1" applyAlignment="1" applyProtection="1">
      <alignment/>
      <protection/>
    </xf>
    <xf numFmtId="0" fontId="6" fillId="0" borderId="0" xfId="55" applyFont="1" applyBorder="1" applyAlignment="1">
      <alignment horizontal="left"/>
      <protection/>
    </xf>
    <xf numFmtId="0" fontId="6" fillId="0" borderId="0" xfId="55" applyFont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 wrapText="1"/>
      <protection/>
    </xf>
    <xf numFmtId="0" fontId="26" fillId="33" borderId="20" xfId="55" applyFont="1" applyFill="1" applyBorder="1" applyAlignment="1" applyProtection="1">
      <alignment horizontal="center" vertical="center"/>
      <protection/>
    </xf>
    <xf numFmtId="0" fontId="28" fillId="34" borderId="20" xfId="55" applyFont="1" applyFill="1" applyBorder="1" applyAlignment="1">
      <alignment horizontal="center" vertical="center" wrapText="1"/>
      <protection/>
    </xf>
    <xf numFmtId="0" fontId="29" fillId="35" borderId="20" xfId="55" applyFont="1" applyFill="1" applyBorder="1" applyAlignment="1">
      <alignment horizontal="center" vertical="center" wrapText="1"/>
      <protection/>
    </xf>
    <xf numFmtId="0" fontId="30" fillId="33" borderId="15" xfId="55" applyFont="1" applyFill="1" applyBorder="1" applyAlignment="1" applyProtection="1">
      <alignment horizontal="centerContinuous" vertical="center" wrapText="1"/>
      <protection/>
    </xf>
    <xf numFmtId="0" fontId="7" fillId="33" borderId="21" xfId="55" applyFont="1" applyFill="1" applyBorder="1" applyAlignment="1">
      <alignment horizontal="centerContinuous"/>
      <protection/>
    </xf>
    <xf numFmtId="0" fontId="30" fillId="33" borderId="16" xfId="55" applyFont="1" applyFill="1" applyBorder="1" applyAlignment="1">
      <alignment horizontal="centerContinuous" vertical="center"/>
      <protection/>
    </xf>
    <xf numFmtId="0" fontId="28" fillId="36" borderId="15" xfId="55" applyFont="1" applyFill="1" applyBorder="1" applyAlignment="1" applyProtection="1">
      <alignment horizontal="centerContinuous" vertical="center" wrapText="1"/>
      <protection/>
    </xf>
    <xf numFmtId="0" fontId="28" fillId="36" borderId="21" xfId="55" applyFont="1" applyFill="1" applyBorder="1" applyAlignment="1">
      <alignment horizontal="centerContinuous" vertical="center"/>
      <protection/>
    </xf>
    <xf numFmtId="0" fontId="28" fillId="36" borderId="16" xfId="55" applyFont="1" applyFill="1" applyBorder="1" applyAlignment="1">
      <alignment horizontal="centerContinuous" vertical="center"/>
      <protection/>
    </xf>
    <xf numFmtId="0" fontId="31" fillId="37" borderId="20" xfId="55" applyFont="1" applyFill="1" applyBorder="1" applyAlignment="1">
      <alignment horizontal="center" vertical="center" wrapText="1"/>
      <protection/>
    </xf>
    <xf numFmtId="0" fontId="32" fillId="38" borderId="20" xfId="55" applyFont="1" applyFill="1" applyBorder="1" applyAlignment="1">
      <alignment horizontal="center" vertical="center" wrapText="1"/>
      <protection/>
    </xf>
    <xf numFmtId="0" fontId="25" fillId="0" borderId="20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22" xfId="55" applyFont="1" applyBorder="1" applyProtection="1">
      <alignment/>
      <protection locked="0"/>
    </xf>
    <xf numFmtId="0" fontId="6" fillId="0" borderId="22" xfId="55" applyFont="1" applyBorder="1" applyAlignment="1" applyProtection="1">
      <alignment horizontal="center"/>
      <protection locked="0"/>
    </xf>
    <xf numFmtId="0" fontId="33" fillId="33" borderId="22" xfId="55" applyFont="1" applyFill="1" applyBorder="1" applyProtection="1">
      <alignment/>
      <protection locked="0"/>
    </xf>
    <xf numFmtId="0" fontId="6" fillId="0" borderId="22" xfId="55" applyFont="1" applyBorder="1" applyAlignment="1">
      <alignment horizontal="center"/>
      <protection/>
    </xf>
    <xf numFmtId="0" fontId="34" fillId="34" borderId="22" xfId="55" applyFont="1" applyFill="1" applyBorder="1" applyProtection="1">
      <alignment/>
      <protection locked="0"/>
    </xf>
    <xf numFmtId="0" fontId="35" fillId="35" borderId="22" xfId="55" applyFont="1" applyFill="1" applyBorder="1" applyProtection="1">
      <alignment/>
      <protection locked="0"/>
    </xf>
    <xf numFmtId="0" fontId="36" fillId="33" borderId="22" xfId="55" applyFont="1" applyFill="1" applyBorder="1" applyAlignment="1" applyProtection="1">
      <alignment horizontal="center"/>
      <protection locked="0"/>
    </xf>
    <xf numFmtId="0" fontId="36" fillId="33" borderId="22" xfId="55" applyFont="1" applyFill="1" applyBorder="1" applyProtection="1">
      <alignment/>
      <protection locked="0"/>
    </xf>
    <xf numFmtId="0" fontId="34" fillId="36" borderId="22" xfId="55" applyFont="1" applyFill="1" applyBorder="1" applyProtection="1">
      <alignment/>
      <protection locked="0"/>
    </xf>
    <xf numFmtId="0" fontId="37" fillId="37" borderId="22" xfId="55" applyFont="1" applyFill="1" applyBorder="1" applyProtection="1">
      <alignment/>
      <protection locked="0"/>
    </xf>
    <xf numFmtId="0" fontId="38" fillId="38" borderId="22" xfId="55" applyFont="1" applyFill="1" applyBorder="1" applyProtection="1">
      <alignment/>
      <protection locked="0"/>
    </xf>
    <xf numFmtId="0" fontId="39" fillId="0" borderId="22" xfId="55" applyFont="1" applyBorder="1" applyAlignment="1">
      <alignment horizontal="center"/>
      <protection/>
    </xf>
    <xf numFmtId="0" fontId="6" fillId="0" borderId="23" xfId="55" applyFont="1" applyBorder="1" applyProtection="1">
      <alignment/>
      <protection locked="0"/>
    </xf>
    <xf numFmtId="0" fontId="6" fillId="0" borderId="24" xfId="55" applyFont="1" applyBorder="1" applyAlignment="1" applyProtection="1">
      <alignment horizontal="center"/>
      <protection locked="0"/>
    </xf>
    <xf numFmtId="0" fontId="33" fillId="33" borderId="23" xfId="55" applyFont="1" applyFill="1" applyBorder="1" applyProtection="1">
      <alignment/>
      <protection locked="0"/>
    </xf>
    <xf numFmtId="0" fontId="6" fillId="0" borderId="23" xfId="55" applyFont="1" applyBorder="1" applyAlignment="1" applyProtection="1">
      <alignment horizontal="center"/>
      <protection locked="0"/>
    </xf>
    <xf numFmtId="0" fontId="6" fillId="0" borderId="23" xfId="55" applyFont="1" applyBorder="1" applyAlignment="1">
      <alignment horizontal="center"/>
      <protection/>
    </xf>
    <xf numFmtId="0" fontId="34" fillId="34" borderId="23" xfId="55" applyFont="1" applyFill="1" applyBorder="1" applyProtection="1">
      <alignment/>
      <protection locked="0"/>
    </xf>
    <xf numFmtId="0" fontId="35" fillId="35" borderId="23" xfId="55" applyFont="1" applyFill="1" applyBorder="1" applyProtection="1">
      <alignment/>
      <protection locked="0"/>
    </xf>
    <xf numFmtId="0" fontId="36" fillId="33" borderId="23" xfId="55" applyFont="1" applyFill="1" applyBorder="1" applyAlignment="1" applyProtection="1">
      <alignment horizontal="center"/>
      <protection locked="0"/>
    </xf>
    <xf numFmtId="0" fontId="36" fillId="33" borderId="23" xfId="55" applyFont="1" applyFill="1" applyBorder="1" applyProtection="1">
      <alignment/>
      <protection locked="0"/>
    </xf>
    <xf numFmtId="0" fontId="34" fillId="36" borderId="23" xfId="55" applyFont="1" applyFill="1" applyBorder="1" applyProtection="1">
      <alignment/>
      <protection locked="0"/>
    </xf>
    <xf numFmtId="0" fontId="37" fillId="37" borderId="23" xfId="55" applyFont="1" applyFill="1" applyBorder="1" applyProtection="1">
      <alignment/>
      <protection locked="0"/>
    </xf>
    <xf numFmtId="0" fontId="38" fillId="38" borderId="23" xfId="55" applyFont="1" applyFill="1" applyBorder="1" applyProtection="1">
      <alignment/>
      <protection locked="0"/>
    </xf>
    <xf numFmtId="0" fontId="39" fillId="0" borderId="23" xfId="55" applyFont="1" applyBorder="1" applyAlignment="1">
      <alignment horizontal="center"/>
      <protection/>
    </xf>
    <xf numFmtId="2" fontId="6" fillId="0" borderId="24" xfId="55" applyNumberFormat="1" applyFont="1" applyBorder="1" applyAlignment="1" applyProtection="1">
      <alignment horizontal="center"/>
      <protection locked="0"/>
    </xf>
    <xf numFmtId="172" fontId="33" fillId="33" borderId="23" xfId="55" applyNumberFormat="1" applyFont="1" applyFill="1" applyBorder="1" applyAlignment="1" applyProtection="1">
      <alignment horizontal="center"/>
      <protection locked="0"/>
    </xf>
    <xf numFmtId="22" fontId="6" fillId="0" borderId="23" xfId="55" applyNumberFormat="1" applyFont="1" applyBorder="1" applyAlignment="1" applyProtection="1">
      <alignment horizontal="center"/>
      <protection locked="0"/>
    </xf>
    <xf numFmtId="2" fontId="6" fillId="0" borderId="23" xfId="55" applyNumberFormat="1" applyFont="1" applyBorder="1" applyAlignment="1" applyProtection="1">
      <alignment horizontal="center"/>
      <protection/>
    </xf>
    <xf numFmtId="1" fontId="6" fillId="0" borderId="23" xfId="55" applyNumberFormat="1" applyFont="1" applyBorder="1" applyAlignment="1" applyProtection="1">
      <alignment horizontal="center"/>
      <protection/>
    </xf>
    <xf numFmtId="172" fontId="6" fillId="0" borderId="23" xfId="55" applyNumberFormat="1" applyFont="1" applyBorder="1" applyAlignment="1" applyProtection="1">
      <alignment horizontal="center"/>
      <protection locked="0"/>
    </xf>
    <xf numFmtId="172" fontId="6" fillId="0" borderId="23" xfId="55" applyNumberFormat="1" applyFont="1" applyBorder="1" applyAlignment="1" applyProtection="1" quotePrefix="1">
      <alignment horizontal="center"/>
      <protection locked="0"/>
    </xf>
    <xf numFmtId="2" fontId="34" fillId="34" borderId="23" xfId="55" applyNumberFormat="1" applyFont="1" applyFill="1" applyBorder="1" applyAlignment="1" applyProtection="1">
      <alignment horizontal="center"/>
      <protection locked="0"/>
    </xf>
    <xf numFmtId="2" fontId="35" fillId="35" borderId="23" xfId="55" applyNumberFormat="1" applyFont="1" applyFill="1" applyBorder="1" applyAlignment="1" applyProtection="1">
      <alignment horizontal="center"/>
      <protection locked="0"/>
    </xf>
    <xf numFmtId="172" fontId="36" fillId="33" borderId="23" xfId="55" applyNumberFormat="1" applyFont="1" applyFill="1" applyBorder="1" applyAlignment="1" applyProtection="1" quotePrefix="1">
      <alignment horizontal="center"/>
      <protection locked="0"/>
    </xf>
    <xf numFmtId="4" fontId="36" fillId="33" borderId="23" xfId="55" applyNumberFormat="1" applyFont="1" applyFill="1" applyBorder="1" applyAlignment="1" applyProtection="1">
      <alignment horizontal="center"/>
      <protection locked="0"/>
    </xf>
    <xf numFmtId="172" fontId="34" fillId="36" borderId="23" xfId="55" applyNumberFormat="1" applyFont="1" applyFill="1" applyBorder="1" applyAlignment="1" applyProtection="1" quotePrefix="1">
      <alignment horizontal="center"/>
      <protection locked="0"/>
    </xf>
    <xf numFmtId="4" fontId="34" fillId="36" borderId="23" xfId="55" applyNumberFormat="1" applyFont="1" applyFill="1" applyBorder="1" applyAlignment="1" applyProtection="1">
      <alignment horizontal="center"/>
      <protection locked="0"/>
    </xf>
    <xf numFmtId="4" fontId="37" fillId="37" borderId="23" xfId="55" applyNumberFormat="1" applyFont="1" applyFill="1" applyBorder="1" applyAlignment="1" applyProtection="1">
      <alignment horizontal="center"/>
      <protection locked="0"/>
    </xf>
    <xf numFmtId="4" fontId="38" fillId="38" borderId="23" xfId="55" applyNumberFormat="1" applyFont="1" applyFill="1" applyBorder="1" applyAlignment="1" applyProtection="1">
      <alignment horizontal="center"/>
      <protection locked="0"/>
    </xf>
    <xf numFmtId="4" fontId="6" fillId="0" borderId="23" xfId="55" applyNumberFormat="1" applyFont="1" applyBorder="1" applyAlignment="1" applyProtection="1">
      <alignment horizontal="center"/>
      <protection locked="0"/>
    </xf>
    <xf numFmtId="4" fontId="39" fillId="0" borderId="23" xfId="55" applyNumberFormat="1" applyFont="1" applyBorder="1" applyAlignment="1">
      <alignment horizontal="right"/>
      <protection/>
    </xf>
    <xf numFmtId="2" fontId="6" fillId="0" borderId="14" xfId="55" applyNumberFormat="1" applyFont="1" applyBorder="1">
      <alignment/>
      <protection/>
    </xf>
    <xf numFmtId="0" fontId="6" fillId="0" borderId="13" xfId="55" applyFont="1" applyBorder="1" applyAlignment="1">
      <alignment horizontal="center"/>
      <protection/>
    </xf>
    <xf numFmtId="0" fontId="6" fillId="0" borderId="25" xfId="55" applyFont="1" applyBorder="1" applyAlignment="1" applyProtection="1">
      <alignment horizontal="center"/>
      <protection locked="0"/>
    </xf>
    <xf numFmtId="0" fontId="6" fillId="0" borderId="26" xfId="55" applyFont="1" applyBorder="1" applyAlignment="1" applyProtection="1">
      <alignment horizontal="center"/>
      <protection/>
    </xf>
    <xf numFmtId="2" fontId="6" fillId="0" borderId="26" xfId="55" applyNumberFormat="1" applyFont="1" applyBorder="1" applyAlignment="1" applyProtection="1">
      <alignment horizontal="center"/>
      <protection/>
    </xf>
    <xf numFmtId="172" fontId="6" fillId="0" borderId="25" xfId="55" applyNumberFormat="1" applyFont="1" applyBorder="1" applyAlignment="1" applyProtection="1">
      <alignment horizontal="center"/>
      <protection/>
    </xf>
    <xf numFmtId="172" fontId="33" fillId="33" borderId="25" xfId="55" applyNumberFormat="1" applyFont="1" applyFill="1" applyBorder="1" applyAlignment="1" applyProtection="1">
      <alignment horizontal="center"/>
      <protection/>
    </xf>
    <xf numFmtId="22" fontId="6" fillId="0" borderId="25" xfId="55" applyNumberFormat="1" applyFont="1" applyBorder="1" applyAlignment="1">
      <alignment horizontal="center"/>
      <protection/>
    </xf>
    <xf numFmtId="172" fontId="34" fillId="34" borderId="25" xfId="55" applyNumberFormat="1" applyFont="1" applyFill="1" applyBorder="1" applyAlignment="1" applyProtection="1" quotePrefix="1">
      <alignment horizontal="center"/>
      <protection/>
    </xf>
    <xf numFmtId="172" fontId="35" fillId="35" borderId="25" xfId="55" applyNumberFormat="1" applyFont="1" applyFill="1" applyBorder="1" applyAlignment="1" applyProtection="1" quotePrefix="1">
      <alignment horizontal="center"/>
      <protection/>
    </xf>
    <xf numFmtId="172" fontId="36" fillId="33" borderId="25" xfId="55" applyNumberFormat="1" applyFont="1" applyFill="1" applyBorder="1" applyAlignment="1" applyProtection="1" quotePrefix="1">
      <alignment horizontal="center"/>
      <protection/>
    </xf>
    <xf numFmtId="4" fontId="36" fillId="33" borderId="25" xfId="55" applyNumberFormat="1" applyFont="1" applyFill="1" applyBorder="1" applyAlignment="1">
      <alignment horizontal="center"/>
      <protection/>
    </xf>
    <xf numFmtId="4" fontId="34" fillId="36" borderId="25" xfId="55" applyNumberFormat="1" applyFont="1" applyFill="1" applyBorder="1" applyAlignment="1">
      <alignment horizontal="center"/>
      <protection/>
    </xf>
    <xf numFmtId="4" fontId="37" fillId="37" borderId="25" xfId="55" applyNumberFormat="1" applyFont="1" applyFill="1" applyBorder="1" applyAlignment="1">
      <alignment horizontal="center"/>
      <protection/>
    </xf>
    <xf numFmtId="4" fontId="38" fillId="38" borderId="25" xfId="55" applyNumberFormat="1" applyFont="1" applyFill="1" applyBorder="1" applyAlignment="1">
      <alignment horizontal="center"/>
      <protection/>
    </xf>
    <xf numFmtId="4" fontId="6" fillId="0" borderId="25" xfId="55" applyNumberFormat="1" applyFont="1" applyBorder="1" applyAlignment="1">
      <alignment horizontal="center"/>
      <protection/>
    </xf>
    <xf numFmtId="7" fontId="39" fillId="0" borderId="27" xfId="55" applyNumberFormat="1" applyFont="1" applyBorder="1" applyAlignment="1">
      <alignment horizontal="center"/>
      <protection/>
    </xf>
    <xf numFmtId="0" fontId="41" fillId="0" borderId="28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/>
      <protection/>
    </xf>
    <xf numFmtId="172" fontId="6" fillId="0" borderId="0" xfId="55" applyNumberFormat="1" applyFont="1" applyBorder="1" applyAlignment="1" applyProtection="1">
      <alignment horizontal="center"/>
      <protection/>
    </xf>
    <xf numFmtId="172" fontId="6" fillId="0" borderId="0" xfId="55" applyNumberFormat="1" applyFont="1" applyBorder="1" applyAlignment="1" applyProtection="1" quotePrefix="1">
      <alignment horizontal="center"/>
      <protection/>
    </xf>
    <xf numFmtId="2" fontId="34" fillId="34" borderId="20" xfId="55" applyNumberFormat="1" applyFont="1" applyFill="1" applyBorder="1" applyAlignment="1">
      <alignment horizontal="center"/>
      <protection/>
    </xf>
    <xf numFmtId="2" fontId="35" fillId="35" borderId="20" xfId="55" applyNumberFormat="1" applyFont="1" applyFill="1" applyBorder="1" applyAlignment="1">
      <alignment horizontal="center"/>
      <protection/>
    </xf>
    <xf numFmtId="172" fontId="36" fillId="33" borderId="20" xfId="55" applyNumberFormat="1" applyFont="1" applyFill="1" applyBorder="1" applyAlignment="1" applyProtection="1" quotePrefix="1">
      <alignment horizontal="center"/>
      <protection/>
    </xf>
    <xf numFmtId="172" fontId="34" fillId="36" borderId="20" xfId="55" applyNumberFormat="1" applyFont="1" applyFill="1" applyBorder="1" applyAlignment="1" applyProtection="1" quotePrefix="1">
      <alignment horizontal="center"/>
      <protection/>
    </xf>
    <xf numFmtId="172" fontId="37" fillId="37" borderId="20" xfId="55" applyNumberFormat="1" applyFont="1" applyFill="1" applyBorder="1" applyAlignment="1" applyProtection="1" quotePrefix="1">
      <alignment horizontal="center"/>
      <protection/>
    </xf>
    <xf numFmtId="172" fontId="38" fillId="38" borderId="20" xfId="55" applyNumberFormat="1" applyFont="1" applyFill="1" applyBorder="1" applyAlignment="1" applyProtection="1" quotePrefix="1">
      <alignment horizontal="center"/>
      <protection/>
    </xf>
    <xf numFmtId="4" fontId="5" fillId="0" borderId="0" xfId="55" applyNumberFormat="1" applyFont="1" applyBorder="1" applyAlignment="1">
      <alignment horizontal="center"/>
      <protection/>
    </xf>
    <xf numFmtId="8" fontId="2" fillId="0" borderId="20" xfId="55" applyNumberFormat="1" applyFont="1" applyBorder="1" applyAlignment="1" applyProtection="1">
      <alignment horizontal="right"/>
      <protection locked="0"/>
    </xf>
    <xf numFmtId="2" fontId="6" fillId="0" borderId="14" xfId="55" applyNumberFormat="1" applyFont="1" applyBorder="1" applyAlignment="1">
      <alignment horizontal="center"/>
      <protection/>
    </xf>
    <xf numFmtId="0" fontId="41" fillId="0" borderId="0" xfId="55" applyFont="1">
      <alignment/>
      <protection/>
    </xf>
    <xf numFmtId="0" fontId="41" fillId="0" borderId="13" xfId="55" applyFont="1" applyBorder="1">
      <alignment/>
      <protection/>
    </xf>
    <xf numFmtId="0" fontId="41" fillId="0" borderId="0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 vertical="top"/>
      <protection/>
    </xf>
    <xf numFmtId="0" fontId="41" fillId="0" borderId="0" xfId="55" applyFont="1" applyBorder="1" applyAlignment="1" applyProtection="1">
      <alignment horizontal="center"/>
      <protection/>
    </xf>
    <xf numFmtId="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 quotePrefix="1">
      <alignment horizontal="center"/>
      <protection/>
    </xf>
    <xf numFmtId="2" fontId="43" fillId="0" borderId="0" xfId="55" applyNumberFormat="1" applyFont="1" applyBorder="1" applyAlignment="1">
      <alignment horizontal="center"/>
      <protection/>
    </xf>
    <xf numFmtId="172" fontId="44" fillId="0" borderId="0" xfId="55" applyNumberFormat="1" applyFont="1" applyBorder="1" applyAlignment="1" applyProtection="1" quotePrefix="1">
      <alignment horizontal="center"/>
      <protection/>
    </xf>
    <xf numFmtId="4" fontId="44" fillId="0" borderId="0" xfId="55" applyNumberFormat="1" applyFont="1" applyBorder="1" applyAlignment="1">
      <alignment horizontal="center"/>
      <protection/>
    </xf>
    <xf numFmtId="8" fontId="45" fillId="0" borderId="0" xfId="55" applyNumberFormat="1" applyFont="1" applyBorder="1" applyAlignment="1" applyProtection="1">
      <alignment horizontal="right"/>
      <protection locked="0"/>
    </xf>
    <xf numFmtId="2" fontId="41" fillId="0" borderId="14" xfId="55" applyNumberFormat="1" applyFont="1" applyBorder="1" applyAlignment="1">
      <alignment horizontal="center"/>
      <protection/>
    </xf>
    <xf numFmtId="0" fontId="6" fillId="0" borderId="17" xfId="55" applyFont="1" applyBorder="1">
      <alignment/>
      <protection/>
    </xf>
    <xf numFmtId="0" fontId="6" fillId="0" borderId="18" xfId="55" applyFont="1" applyBorder="1">
      <alignment/>
      <protection/>
    </xf>
    <xf numFmtId="0" fontId="6" fillId="0" borderId="19" xfId="55" applyFont="1" applyBorder="1">
      <alignment/>
      <protection/>
    </xf>
    <xf numFmtId="0" fontId="1" fillId="0" borderId="0" xfId="55" applyBorder="1">
      <alignment/>
      <protection/>
    </xf>
    <xf numFmtId="0" fontId="8" fillId="0" borderId="0" xfId="55" applyFont="1" applyFill="1">
      <alignment/>
      <protection/>
    </xf>
    <xf numFmtId="0" fontId="8" fillId="0" borderId="0" xfId="55" applyFont="1" applyFill="1" applyAlignment="1">
      <alignment horizontal="centerContinuous"/>
      <protection/>
    </xf>
    <xf numFmtId="0" fontId="6" fillId="0" borderId="0" xfId="55" applyFont="1" applyFill="1" applyAlignment="1">
      <alignment horizontal="centerContinuous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11" fillId="0" borderId="0" xfId="55" applyFont="1" applyFill="1" applyAlignment="1">
      <alignment horizontal="centerContinuous"/>
      <protection/>
    </xf>
    <xf numFmtId="0" fontId="11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6" fillId="0" borderId="10" xfId="55" applyFont="1" applyFill="1" applyBorder="1">
      <alignment/>
      <protection/>
    </xf>
    <xf numFmtId="0" fontId="6" fillId="0" borderId="11" xfId="55" applyFont="1" applyFill="1" applyBorder="1">
      <alignment/>
      <protection/>
    </xf>
    <xf numFmtId="0" fontId="6" fillId="0" borderId="12" xfId="55" applyFont="1" applyFill="1" applyBorder="1">
      <alignment/>
      <protection/>
    </xf>
    <xf numFmtId="0" fontId="23" fillId="0" borderId="13" xfId="55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4" fillId="0" borderId="0" xfId="55" applyFont="1" applyFill="1" applyBorder="1">
      <alignment/>
      <protection/>
    </xf>
    <xf numFmtId="0" fontId="23" fillId="0" borderId="0" xfId="55" applyFont="1" applyFill="1">
      <alignment/>
      <protection/>
    </xf>
    <xf numFmtId="0" fontId="23" fillId="0" borderId="14" xfId="55" applyFont="1" applyFill="1" applyBorder="1">
      <alignment/>
      <protection/>
    </xf>
    <xf numFmtId="0" fontId="6" fillId="0" borderId="13" xfId="55" applyFont="1" applyFill="1" applyBorder="1">
      <alignment/>
      <protection/>
    </xf>
    <xf numFmtId="0" fontId="6" fillId="0" borderId="14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24" fillId="0" borderId="0" xfId="55" applyFont="1" applyFill="1">
      <alignment/>
      <protection/>
    </xf>
    <xf numFmtId="0" fontId="23" fillId="0" borderId="0" xfId="55" applyFont="1" applyFill="1" applyBorder="1" applyProtection="1">
      <alignment/>
      <protection/>
    </xf>
    <xf numFmtId="0" fontId="6" fillId="0" borderId="0" xfId="55" applyFont="1" applyFill="1" applyBorder="1" applyAlignment="1" applyProtection="1">
      <alignment horizontal="left"/>
      <protection/>
    </xf>
    <xf numFmtId="168" fontId="6" fillId="0" borderId="0" xfId="55" applyNumberFormat="1" applyFont="1" applyFill="1" applyBorder="1" applyProtection="1">
      <alignment/>
      <protection/>
    </xf>
    <xf numFmtId="0" fontId="6" fillId="0" borderId="0" xfId="55" applyFont="1" applyFill="1" applyBorder="1" applyProtection="1">
      <alignment/>
      <protection/>
    </xf>
    <xf numFmtId="0" fontId="20" fillId="0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20" fillId="0" borderId="14" xfId="55" applyFont="1" applyFill="1" applyBorder="1" applyAlignment="1">
      <alignment horizontal="centerContinuous"/>
      <protection/>
    </xf>
    <xf numFmtId="0" fontId="6" fillId="0" borderId="0" xfId="55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left"/>
      <protection/>
    </xf>
    <xf numFmtId="0" fontId="1" fillId="0" borderId="15" xfId="55" applyFont="1" applyFill="1" applyBorder="1" applyAlignment="1" applyProtection="1">
      <alignment horizontal="left"/>
      <protection/>
    </xf>
    <xf numFmtId="0" fontId="1" fillId="0" borderId="28" xfId="55" applyFont="1" applyFill="1" applyBorder="1" applyAlignment="1" applyProtection="1">
      <alignment horizontal="center"/>
      <protection/>
    </xf>
    <xf numFmtId="0" fontId="1" fillId="0" borderId="28" xfId="55" applyFont="1" applyFill="1" applyBorder="1">
      <alignment/>
      <protection/>
    </xf>
    <xf numFmtId="0" fontId="1" fillId="0" borderId="20" xfId="55" applyFont="1" applyFill="1" applyBorder="1" applyAlignment="1">
      <alignment horizontal="center"/>
      <protection/>
    </xf>
    <xf numFmtId="0" fontId="1" fillId="0" borderId="15" xfId="55" applyFont="1" applyFill="1" applyBorder="1" applyAlignment="1" applyProtection="1" quotePrefix="1">
      <alignment horizontal="left"/>
      <protection/>
    </xf>
    <xf numFmtId="0" fontId="1" fillId="0" borderId="21" xfId="55" applyFont="1" applyFill="1" applyBorder="1" applyAlignment="1" applyProtection="1">
      <alignment horizontal="center"/>
      <protection/>
    </xf>
    <xf numFmtId="168" fontId="1" fillId="0" borderId="20" xfId="55" applyNumberFormat="1" applyFont="1" applyFill="1" applyBorder="1" applyAlignment="1" applyProtection="1">
      <alignment horizontal="center"/>
      <protection/>
    </xf>
    <xf numFmtId="0" fontId="6" fillId="0" borderId="0" xfId="55" applyFont="1" applyAlignment="1" applyProtection="1">
      <alignment/>
      <protection/>
    </xf>
    <xf numFmtId="22" fontId="6" fillId="0" borderId="0" xfId="55" applyNumberFormat="1" applyFont="1" applyFill="1" applyBorder="1">
      <alignment/>
      <protection/>
    </xf>
    <xf numFmtId="0" fontId="6" fillId="0" borderId="0" xfId="55" applyFont="1" applyAlignment="1">
      <alignment vertical="center"/>
      <protection/>
    </xf>
    <xf numFmtId="0" fontId="6" fillId="0" borderId="13" xfId="55" applyFont="1" applyFill="1" applyBorder="1" applyAlignment="1">
      <alignment vertical="center"/>
      <protection/>
    </xf>
    <xf numFmtId="0" fontId="25" fillId="0" borderId="20" xfId="55" applyFont="1" applyFill="1" applyBorder="1" applyAlignment="1" applyProtection="1">
      <alignment horizontal="center" vertical="center" wrapText="1"/>
      <protection/>
    </xf>
    <xf numFmtId="0" fontId="25" fillId="0" borderId="20" xfId="55" applyFont="1" applyFill="1" applyBorder="1" applyAlignment="1" applyProtection="1">
      <alignment horizontal="center" vertical="center"/>
      <protection/>
    </xf>
    <xf numFmtId="0" fontId="25" fillId="0" borderId="20" xfId="55" applyFont="1" applyFill="1" applyBorder="1" applyAlignment="1" applyProtection="1" quotePrefix="1">
      <alignment horizontal="center" vertical="center" wrapText="1"/>
      <protection/>
    </xf>
    <xf numFmtId="0" fontId="25" fillId="0" borderId="20" xfId="55" applyFont="1" applyFill="1" applyBorder="1" applyAlignment="1">
      <alignment horizontal="center" vertical="center" wrapText="1"/>
      <protection/>
    </xf>
    <xf numFmtId="0" fontId="26" fillId="33" borderId="20" xfId="55" applyFont="1" applyFill="1" applyBorder="1" applyAlignment="1" applyProtection="1">
      <alignment horizontal="center" vertical="center"/>
      <protection/>
    </xf>
    <xf numFmtId="0" fontId="32" fillId="38" borderId="20" xfId="55" applyFont="1" applyFill="1" applyBorder="1" applyAlignment="1" applyProtection="1">
      <alignment horizontal="center" vertical="center"/>
      <protection/>
    </xf>
    <xf numFmtId="0" fontId="28" fillId="36" borderId="20" xfId="55" applyFont="1" applyFill="1" applyBorder="1" applyAlignment="1">
      <alignment horizontal="center" vertical="center" wrapText="1"/>
      <protection/>
    </xf>
    <xf numFmtId="0" fontId="46" fillId="39" borderId="20" xfId="55" applyFont="1" applyFill="1" applyBorder="1" applyAlignment="1">
      <alignment horizontal="center" vertical="center" wrapText="1"/>
      <protection/>
    </xf>
    <xf numFmtId="0" fontId="46" fillId="40" borderId="15" xfId="55" applyFont="1" applyFill="1" applyBorder="1" applyAlignment="1" applyProtection="1">
      <alignment horizontal="centerContinuous" vertical="center" wrapText="1"/>
      <protection/>
    </xf>
    <xf numFmtId="0" fontId="46" fillId="40" borderId="16" xfId="55" applyFont="1" applyFill="1" applyBorder="1" applyAlignment="1">
      <alignment horizontal="centerContinuous" vertical="center"/>
      <protection/>
    </xf>
    <xf numFmtId="0" fontId="47" fillId="41" borderId="15" xfId="55" applyFont="1" applyFill="1" applyBorder="1" applyAlignment="1" applyProtection="1">
      <alignment horizontal="centerContinuous" vertical="center" wrapText="1"/>
      <protection/>
    </xf>
    <xf numFmtId="0" fontId="47" fillId="41" borderId="16" xfId="55" applyFont="1" applyFill="1" applyBorder="1" applyAlignment="1">
      <alignment horizontal="centerContinuous" vertical="center"/>
      <protection/>
    </xf>
    <xf numFmtId="0" fontId="31" fillId="42" borderId="20" xfId="55" applyFont="1" applyFill="1" applyBorder="1" applyAlignment="1">
      <alignment horizontal="center" vertical="center" wrapText="1"/>
      <protection/>
    </xf>
    <xf numFmtId="0" fontId="46" fillId="43" borderId="20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vertical="center"/>
      <protection/>
    </xf>
    <xf numFmtId="0" fontId="6" fillId="0" borderId="29" xfId="55" applyFont="1" applyFill="1" applyBorder="1" applyAlignment="1" applyProtection="1">
      <alignment horizontal="center"/>
      <protection locked="0"/>
    </xf>
    <xf numFmtId="0" fontId="6" fillId="0" borderId="22" xfId="55" applyFont="1" applyFill="1" applyBorder="1" applyAlignment="1" applyProtection="1">
      <alignment horizontal="center"/>
      <protection locked="0"/>
    </xf>
    <xf numFmtId="0" fontId="6" fillId="0" borderId="22" xfId="55" applyFont="1" applyFill="1" applyBorder="1" applyProtection="1">
      <alignment/>
      <protection locked="0"/>
    </xf>
    <xf numFmtId="0" fontId="48" fillId="33" borderId="22" xfId="55" applyFont="1" applyFill="1" applyBorder="1" applyProtection="1">
      <alignment/>
      <protection locked="0"/>
    </xf>
    <xf numFmtId="0" fontId="6" fillId="0" borderId="22" xfId="55" applyFont="1" applyFill="1" applyBorder="1" applyAlignment="1">
      <alignment horizontal="center"/>
      <protection/>
    </xf>
    <xf numFmtId="0" fontId="49" fillId="39" borderId="22" xfId="55" applyFont="1" applyFill="1" applyBorder="1" applyProtection="1">
      <alignment/>
      <protection locked="0"/>
    </xf>
    <xf numFmtId="0" fontId="49" fillId="40" borderId="30" xfId="55" applyFont="1" applyFill="1" applyBorder="1" applyAlignment="1" applyProtection="1">
      <alignment horizontal="center"/>
      <protection locked="0"/>
    </xf>
    <xf numFmtId="0" fontId="49" fillId="40" borderId="31" xfId="55" applyFont="1" applyFill="1" applyBorder="1" applyProtection="1">
      <alignment/>
      <protection locked="0"/>
    </xf>
    <xf numFmtId="0" fontId="50" fillId="41" borderId="30" xfId="55" applyFont="1" applyFill="1" applyBorder="1" applyAlignment="1" applyProtection="1">
      <alignment horizontal="center"/>
      <protection locked="0"/>
    </xf>
    <xf numFmtId="0" fontId="50" fillId="41" borderId="31" xfId="55" applyFont="1" applyFill="1" applyBorder="1" applyProtection="1">
      <alignment/>
      <protection locked="0"/>
    </xf>
    <xf numFmtId="0" fontId="37" fillId="42" borderId="22" xfId="55" applyFont="1" applyFill="1" applyBorder="1" applyProtection="1">
      <alignment/>
      <protection locked="0"/>
    </xf>
    <xf numFmtId="0" fontId="49" fillId="43" borderId="22" xfId="55" applyFont="1" applyFill="1" applyBorder="1" applyProtection="1">
      <alignment/>
      <protection locked="0"/>
    </xf>
    <xf numFmtId="0" fontId="39" fillId="0" borderId="22" xfId="55" applyFont="1" applyFill="1" applyBorder="1" applyAlignment="1">
      <alignment horizontal="right"/>
      <protection/>
    </xf>
    <xf numFmtId="0" fontId="6" fillId="0" borderId="32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Protection="1">
      <alignment/>
      <protection locked="0"/>
    </xf>
    <xf numFmtId="0" fontId="48" fillId="33" borderId="23" xfId="55" applyFont="1" applyFill="1" applyBorder="1" applyProtection="1">
      <alignment/>
      <protection locked="0"/>
    </xf>
    <xf numFmtId="0" fontId="6" fillId="0" borderId="23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Alignment="1">
      <alignment horizontal="center"/>
      <protection/>
    </xf>
    <xf numFmtId="0" fontId="49" fillId="39" borderId="23" xfId="55" applyFont="1" applyFill="1" applyBorder="1" applyProtection="1">
      <alignment/>
      <protection locked="0"/>
    </xf>
    <xf numFmtId="0" fontId="49" fillId="40" borderId="33" xfId="55" applyFont="1" applyFill="1" applyBorder="1" applyAlignment="1" applyProtection="1">
      <alignment horizontal="center"/>
      <protection locked="0"/>
    </xf>
    <xf numFmtId="0" fontId="49" fillId="40" borderId="34" xfId="55" applyFont="1" applyFill="1" applyBorder="1" applyProtection="1">
      <alignment/>
      <protection locked="0"/>
    </xf>
    <xf numFmtId="0" fontId="50" fillId="41" borderId="33" xfId="55" applyFont="1" applyFill="1" applyBorder="1" applyAlignment="1" applyProtection="1">
      <alignment horizontal="center"/>
      <protection locked="0"/>
    </xf>
    <xf numFmtId="0" fontId="50" fillId="41" borderId="34" xfId="55" applyFont="1" applyFill="1" applyBorder="1" applyProtection="1">
      <alignment/>
      <protection locked="0"/>
    </xf>
    <xf numFmtId="0" fontId="37" fillId="42" borderId="23" xfId="55" applyFont="1" applyFill="1" applyBorder="1" applyProtection="1">
      <alignment/>
      <protection locked="0"/>
    </xf>
    <xf numFmtId="0" fontId="49" fillId="43" borderId="23" xfId="55" applyFont="1" applyFill="1" applyBorder="1" applyProtection="1">
      <alignment/>
      <protection locked="0"/>
    </xf>
    <xf numFmtId="0" fontId="39" fillId="0" borderId="34" xfId="55" applyFont="1" applyFill="1" applyBorder="1" applyAlignment="1">
      <alignment horizontal="right"/>
      <protection/>
    </xf>
    <xf numFmtId="169" fontId="6" fillId="0" borderId="24" xfId="55" applyNumberFormat="1" applyFont="1" applyBorder="1" applyAlignment="1" applyProtection="1" quotePrefix="1">
      <alignment horizontal="center"/>
      <protection locked="0"/>
    </xf>
    <xf numFmtId="2" fontId="6" fillId="0" borderId="24" xfId="55" applyNumberFormat="1" applyFont="1" applyBorder="1" applyAlignment="1" applyProtection="1" quotePrefix="1">
      <alignment horizontal="center"/>
      <protection locked="0"/>
    </xf>
    <xf numFmtId="172" fontId="48" fillId="33" borderId="23" xfId="55" applyNumberFormat="1" applyFont="1" applyFill="1" applyBorder="1" applyAlignment="1" applyProtection="1">
      <alignment horizontal="center"/>
      <protection locked="0"/>
    </xf>
    <xf numFmtId="22" fontId="6" fillId="0" borderId="23" xfId="55" applyNumberFormat="1" applyFont="1" applyFill="1" applyBorder="1" applyAlignment="1" applyProtection="1">
      <alignment horizontal="center"/>
      <protection locked="0"/>
    </xf>
    <xf numFmtId="2" fontId="6" fillId="0" borderId="23" xfId="55" applyNumberFormat="1" applyFont="1" applyFill="1" applyBorder="1" applyAlignment="1" applyProtection="1">
      <alignment horizontal="center"/>
      <protection/>
    </xf>
    <xf numFmtId="3" fontId="6" fillId="0" borderId="23" xfId="55" applyNumberFormat="1" applyFont="1" applyFill="1" applyBorder="1" applyAlignment="1" applyProtection="1">
      <alignment horizontal="center"/>
      <protection/>
    </xf>
    <xf numFmtId="172" fontId="6" fillId="0" borderId="23" xfId="55" applyNumberFormat="1" applyFont="1" applyFill="1" applyBorder="1" applyAlignment="1" applyProtection="1">
      <alignment horizontal="center"/>
      <protection locked="0"/>
    </xf>
    <xf numFmtId="172" fontId="6" fillId="0" borderId="23" xfId="55" applyNumberFormat="1" applyFont="1" applyFill="1" applyBorder="1" applyAlignment="1" applyProtection="1" quotePrefix="1">
      <alignment horizontal="center"/>
      <protection locked="0"/>
    </xf>
    <xf numFmtId="2" fontId="34" fillId="36" borderId="23" xfId="55" applyNumberFormat="1" applyFont="1" applyFill="1" applyBorder="1" applyAlignment="1" applyProtection="1">
      <alignment horizontal="center"/>
      <protection locked="0"/>
    </xf>
    <xf numFmtId="2" fontId="49" fillId="39" borderId="23" xfId="55" applyNumberFormat="1" applyFont="1" applyFill="1" applyBorder="1" applyAlignment="1" applyProtection="1">
      <alignment horizontal="center"/>
      <protection locked="0"/>
    </xf>
    <xf numFmtId="172" fontId="49" fillId="40" borderId="33" xfId="55" applyNumberFormat="1" applyFont="1" applyFill="1" applyBorder="1" applyAlignment="1" applyProtection="1" quotePrefix="1">
      <alignment horizontal="center"/>
      <protection locked="0"/>
    </xf>
    <xf numFmtId="172" fontId="49" fillId="40" borderId="35" xfId="55" applyNumberFormat="1" applyFont="1" applyFill="1" applyBorder="1" applyAlignment="1" applyProtection="1" quotePrefix="1">
      <alignment horizontal="center"/>
      <protection locked="0"/>
    </xf>
    <xf numFmtId="172" fontId="50" fillId="41" borderId="33" xfId="55" applyNumberFormat="1" applyFont="1" applyFill="1" applyBorder="1" applyAlignment="1" applyProtection="1" quotePrefix="1">
      <alignment horizontal="center"/>
      <protection locked="0"/>
    </xf>
    <xf numFmtId="172" fontId="50" fillId="41" borderId="35" xfId="55" applyNumberFormat="1" applyFont="1" applyFill="1" applyBorder="1" applyAlignment="1" applyProtection="1" quotePrefix="1">
      <alignment horizontal="center"/>
      <protection locked="0"/>
    </xf>
    <xf numFmtId="172" fontId="37" fillId="42" borderId="23" xfId="55" applyNumberFormat="1" applyFont="1" applyFill="1" applyBorder="1" applyAlignment="1" applyProtection="1" quotePrefix="1">
      <alignment horizontal="center"/>
      <protection locked="0"/>
    </xf>
    <xf numFmtId="172" fontId="49" fillId="43" borderId="24" xfId="55" applyNumberFormat="1" applyFont="1" applyFill="1" applyBorder="1" applyAlignment="1" applyProtection="1" quotePrefix="1">
      <alignment horizontal="center"/>
      <protection locked="0"/>
    </xf>
    <xf numFmtId="172" fontId="39" fillId="0" borderId="34" xfId="55" applyNumberFormat="1" applyFont="1" applyFill="1" applyBorder="1" applyAlignment="1">
      <alignment horizontal="right"/>
      <protection/>
    </xf>
    <xf numFmtId="2" fontId="6" fillId="0" borderId="14" xfId="55" applyNumberFormat="1" applyFont="1" applyFill="1" applyBorder="1">
      <alignment/>
      <protection/>
    </xf>
    <xf numFmtId="0" fontId="6" fillId="0" borderId="25" xfId="55" applyFont="1" applyFill="1" applyBorder="1">
      <alignment/>
      <protection/>
    </xf>
    <xf numFmtId="0" fontId="48" fillId="33" borderId="25" xfId="55" applyFont="1" applyFill="1" applyBorder="1">
      <alignment/>
      <protection/>
    </xf>
    <xf numFmtId="0" fontId="38" fillId="38" borderId="25" xfId="55" applyFont="1" applyFill="1" applyBorder="1">
      <alignment/>
      <protection/>
    </xf>
    <xf numFmtId="0" fontId="34" fillId="36" borderId="25" xfId="55" applyFont="1" applyFill="1" applyBorder="1">
      <alignment/>
      <protection/>
    </xf>
    <xf numFmtId="0" fontId="49" fillId="39" borderId="25" xfId="55" applyFont="1" applyFill="1" applyBorder="1">
      <alignment/>
      <protection/>
    </xf>
    <xf numFmtId="0" fontId="49" fillId="40" borderId="36" xfId="55" applyFont="1" applyFill="1" applyBorder="1">
      <alignment/>
      <protection/>
    </xf>
    <xf numFmtId="0" fontId="49" fillId="40" borderId="37" xfId="55" applyFont="1" applyFill="1" applyBorder="1">
      <alignment/>
      <protection/>
    </xf>
    <xf numFmtId="0" fontId="50" fillId="41" borderId="36" xfId="55" applyFont="1" applyFill="1" applyBorder="1">
      <alignment/>
      <protection/>
    </xf>
    <xf numFmtId="0" fontId="50" fillId="41" borderId="37" xfId="55" applyFont="1" applyFill="1" applyBorder="1">
      <alignment/>
      <protection/>
    </xf>
    <xf numFmtId="0" fontId="37" fillId="42" borderId="25" xfId="55" applyFont="1" applyFill="1" applyBorder="1">
      <alignment/>
      <protection/>
    </xf>
    <xf numFmtId="0" fontId="49" fillId="43" borderId="25" xfId="55" applyFont="1" applyFill="1" applyBorder="1">
      <alignment/>
      <protection/>
    </xf>
    <xf numFmtId="0" fontId="39" fillId="0" borderId="27" xfId="55" applyFont="1" applyFill="1" applyBorder="1" applyAlignment="1">
      <alignment horizontal="right"/>
      <protection/>
    </xf>
    <xf numFmtId="7" fontId="34" fillId="36" borderId="20" xfId="55" applyNumberFormat="1" applyFont="1" applyFill="1" applyBorder="1" applyAlignment="1">
      <alignment horizontal="center"/>
      <protection/>
    </xf>
    <xf numFmtId="7" fontId="49" fillId="39" borderId="20" xfId="55" applyNumberFormat="1" applyFont="1" applyFill="1" applyBorder="1" applyAlignment="1">
      <alignment horizontal="center"/>
      <protection/>
    </xf>
    <xf numFmtId="7" fontId="49" fillId="40" borderId="20" xfId="55" applyNumberFormat="1" applyFont="1" applyFill="1" applyBorder="1" applyAlignment="1">
      <alignment horizontal="center"/>
      <protection/>
    </xf>
    <xf numFmtId="7" fontId="49" fillId="40" borderId="38" xfId="55" applyNumberFormat="1" applyFont="1" applyFill="1" applyBorder="1" applyAlignment="1">
      <alignment horizontal="center"/>
      <protection/>
    </xf>
    <xf numFmtId="7" fontId="50" fillId="41" borderId="20" xfId="55" applyNumberFormat="1" applyFont="1" applyFill="1" applyBorder="1" applyAlignment="1">
      <alignment horizontal="center"/>
      <protection/>
    </xf>
    <xf numFmtId="7" fontId="37" fillId="42" borderId="20" xfId="55" applyNumberFormat="1" applyFont="1" applyFill="1" applyBorder="1" applyAlignment="1">
      <alignment horizontal="center"/>
      <protection/>
    </xf>
    <xf numFmtId="7" fontId="49" fillId="43" borderId="20" xfId="55" applyNumberFormat="1" applyFont="1" applyFill="1" applyBorder="1" applyAlignment="1">
      <alignment horizontal="center"/>
      <protection/>
    </xf>
    <xf numFmtId="0" fontId="6" fillId="0" borderId="39" xfId="55" applyFont="1" applyFill="1" applyBorder="1">
      <alignment/>
      <protection/>
    </xf>
    <xf numFmtId="7" fontId="2" fillId="0" borderId="20" xfId="55" applyNumberFormat="1" applyFont="1" applyFill="1" applyBorder="1" applyAlignment="1" applyProtection="1">
      <alignment horizontal="right"/>
      <protection locked="0"/>
    </xf>
    <xf numFmtId="0" fontId="41" fillId="0" borderId="13" xfId="55" applyFont="1" applyFill="1" applyBorder="1">
      <alignment/>
      <protection/>
    </xf>
    <xf numFmtId="0" fontId="41" fillId="0" borderId="0" xfId="55" applyFont="1" applyFill="1" applyBorder="1">
      <alignment/>
      <protection/>
    </xf>
    <xf numFmtId="7" fontId="41" fillId="0" borderId="0" xfId="55" applyNumberFormat="1" applyFont="1" applyFill="1" applyBorder="1" applyAlignment="1">
      <alignment horizontal="center"/>
      <protection/>
    </xf>
    <xf numFmtId="7" fontId="41" fillId="0" borderId="0" xfId="55" applyNumberFormat="1" applyFont="1" applyFill="1" applyBorder="1" applyAlignment="1" applyProtection="1">
      <alignment horizontal="right"/>
      <protection locked="0"/>
    </xf>
    <xf numFmtId="0" fontId="41" fillId="0" borderId="14" xfId="55" applyFont="1" applyFill="1" applyBorder="1">
      <alignment/>
      <protection/>
    </xf>
    <xf numFmtId="0" fontId="6" fillId="0" borderId="17" xfId="55" applyFont="1" applyFill="1" applyBorder="1">
      <alignment/>
      <protection/>
    </xf>
    <xf numFmtId="0" fontId="6" fillId="0" borderId="18" xfId="55" applyFont="1" applyFill="1" applyBorder="1">
      <alignment/>
      <protection/>
    </xf>
    <xf numFmtId="0" fontId="6" fillId="0" borderId="19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8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11" fillId="0" borderId="0" xfId="55" applyFont="1" applyAlignment="1">
      <alignment horizontal="centerContinuous"/>
      <protection/>
    </xf>
    <xf numFmtId="0" fontId="51" fillId="0" borderId="0" xfId="55" applyFont="1" applyBorder="1">
      <alignment/>
      <protection/>
    </xf>
    <xf numFmtId="0" fontId="20" fillId="0" borderId="0" xfId="55" applyFont="1" applyFill="1" applyBorder="1" applyAlignment="1" applyProtection="1" quotePrefix="1">
      <alignment horizontal="centerContinuous"/>
      <protection locked="0"/>
    </xf>
    <xf numFmtId="0" fontId="1" fillId="0" borderId="15" xfId="55" applyFont="1" applyBorder="1" applyAlignment="1" applyProtection="1">
      <alignment horizontal="left"/>
      <protection/>
    </xf>
    <xf numFmtId="174" fontId="1" fillId="0" borderId="38" xfId="55" applyNumberFormat="1" applyFont="1" applyBorder="1" applyAlignment="1" applyProtection="1">
      <alignment horizontal="center"/>
      <protection/>
    </xf>
    <xf numFmtId="0" fontId="1" fillId="0" borderId="20" xfId="55" applyFont="1" applyBorder="1" applyAlignment="1">
      <alignment horizontal="center"/>
      <protection/>
    </xf>
    <xf numFmtId="22" fontId="6" fillId="0" borderId="0" xfId="55" applyNumberFormat="1" applyFont="1" applyBorder="1">
      <alignment/>
      <protection/>
    </xf>
    <xf numFmtId="0" fontId="1" fillId="0" borderId="15" xfId="55" applyFont="1" applyBorder="1">
      <alignment/>
      <protection/>
    </xf>
    <xf numFmtId="174" fontId="52" fillId="0" borderId="38" xfId="55" applyNumberFormat="1" applyFont="1" applyBorder="1" applyAlignment="1">
      <alignment horizontal="center"/>
      <protection/>
    </xf>
    <xf numFmtId="0" fontId="1" fillId="0" borderId="25" xfId="55" applyFont="1" applyBorder="1" applyAlignment="1">
      <alignment horizontal="center"/>
      <protection/>
    </xf>
    <xf numFmtId="174" fontId="6" fillId="0" borderId="0" xfId="55" applyNumberFormat="1" applyFont="1" applyBorder="1">
      <alignment/>
      <protection/>
    </xf>
    <xf numFmtId="0" fontId="6" fillId="0" borderId="0" xfId="55" applyFont="1" applyBorder="1" applyAlignment="1" quotePrefix="1">
      <alignment horizontal="center"/>
      <protection/>
    </xf>
    <xf numFmtId="0" fontId="1" fillId="0" borderId="15" xfId="55" applyFont="1" applyBorder="1" applyAlignment="1">
      <alignment horizontal="left"/>
      <protection/>
    </xf>
    <xf numFmtId="1" fontId="1" fillId="0" borderId="25" xfId="55" applyNumberFormat="1" applyFont="1" applyBorder="1" applyAlignment="1">
      <alignment horizontal="center"/>
      <protection/>
    </xf>
    <xf numFmtId="0" fontId="25" fillId="0" borderId="0" xfId="55" applyFont="1">
      <alignment/>
      <protection/>
    </xf>
    <xf numFmtId="0" fontId="25" fillId="0" borderId="13" xfId="55" applyFont="1" applyBorder="1">
      <alignment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21" xfId="55" applyFont="1" applyFill="1" applyBorder="1" applyAlignment="1">
      <alignment horizontal="center" vertical="center" wrapText="1"/>
      <protection/>
    </xf>
    <xf numFmtId="0" fontId="46" fillId="43" borderId="20" xfId="55" applyFont="1" applyFill="1" applyBorder="1" applyAlignment="1" applyProtection="1">
      <alignment horizontal="center" vertical="center"/>
      <protection/>
    </xf>
    <xf numFmtId="0" fontId="53" fillId="42" borderId="20" xfId="55" applyFont="1" applyFill="1" applyBorder="1" applyAlignment="1">
      <alignment horizontal="center" vertical="center" wrapText="1"/>
      <protection/>
    </xf>
    <xf numFmtId="0" fontId="46" fillId="41" borderId="15" xfId="55" applyFont="1" applyFill="1" applyBorder="1" applyAlignment="1" applyProtection="1">
      <alignment horizontal="centerContinuous" vertical="center" wrapText="1"/>
      <protection/>
    </xf>
    <xf numFmtId="0" fontId="46" fillId="41" borderId="16" xfId="55" applyFont="1" applyFill="1" applyBorder="1" applyAlignment="1">
      <alignment horizontal="centerContinuous" vertical="center"/>
      <protection/>
    </xf>
    <xf numFmtId="0" fontId="28" fillId="44" borderId="20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>
      <alignment/>
      <protection/>
    </xf>
    <xf numFmtId="168" fontId="6" fillId="0" borderId="23" xfId="55" applyNumberFormat="1" applyFont="1" applyFill="1" applyBorder="1" applyAlignment="1" applyProtection="1">
      <alignment horizontal="center"/>
      <protection locked="0"/>
    </xf>
    <xf numFmtId="0" fontId="33" fillId="33" borderId="22" xfId="55" applyFont="1" applyFill="1" applyBorder="1" applyAlignment="1" applyProtection="1">
      <alignment horizontal="center"/>
      <protection locked="0"/>
    </xf>
    <xf numFmtId="0" fontId="6" fillId="0" borderId="34" xfId="55" applyFont="1" applyFill="1" applyBorder="1" applyAlignment="1" applyProtection="1">
      <alignment horizontal="center"/>
      <protection locked="0"/>
    </xf>
    <xf numFmtId="0" fontId="54" fillId="43" borderId="22" xfId="55" applyFont="1" applyFill="1" applyBorder="1" applyAlignment="1" applyProtection="1">
      <alignment horizontal="center"/>
      <protection locked="0"/>
    </xf>
    <xf numFmtId="0" fontId="55" fillId="42" borderId="22" xfId="55" applyFont="1" applyFill="1" applyBorder="1" applyAlignment="1" applyProtection="1">
      <alignment horizontal="center"/>
      <protection locked="0"/>
    </xf>
    <xf numFmtId="172" fontId="49" fillId="41" borderId="30" xfId="55" applyNumberFormat="1" applyFont="1" applyFill="1" applyBorder="1" applyAlignment="1" applyProtection="1" quotePrefix="1">
      <alignment horizontal="center"/>
      <protection locked="0"/>
    </xf>
    <xf numFmtId="172" fontId="49" fillId="41" borderId="40" xfId="55" applyNumberFormat="1" applyFont="1" applyFill="1" applyBorder="1" applyAlignment="1" applyProtection="1" quotePrefix="1">
      <alignment horizontal="center"/>
      <protection locked="0"/>
    </xf>
    <xf numFmtId="172" fontId="34" fillId="44" borderId="22" xfId="55" applyNumberFormat="1" applyFont="1" applyFill="1" applyBorder="1" applyAlignment="1" applyProtection="1" quotePrefix="1">
      <alignment horizontal="center"/>
      <protection locked="0"/>
    </xf>
    <xf numFmtId="0" fontId="6" fillId="0" borderId="32" xfId="55" applyFont="1" applyFill="1" applyBorder="1" applyAlignment="1" applyProtection="1">
      <alignment horizontal="left"/>
      <protection locked="0"/>
    </xf>
    <xf numFmtId="0" fontId="39" fillId="0" borderId="23" xfId="55" applyFont="1" applyFill="1" applyBorder="1" applyAlignment="1">
      <alignment horizontal="center"/>
      <protection/>
    </xf>
    <xf numFmtId="0" fontId="56" fillId="0" borderId="32" xfId="55" applyFont="1" applyFill="1" applyBorder="1" applyAlignment="1" applyProtection="1">
      <alignment horizontal="center"/>
      <protection locked="0"/>
    </xf>
    <xf numFmtId="175" fontId="5" fillId="0" borderId="23" xfId="55" applyNumberFormat="1" applyFont="1" applyFill="1" applyBorder="1" applyAlignment="1" applyProtection="1">
      <alignment horizontal="center"/>
      <protection locked="0"/>
    </xf>
    <xf numFmtId="174" fontId="33" fillId="33" borderId="23" xfId="55" applyNumberFormat="1" applyFont="1" applyFill="1" applyBorder="1" applyAlignment="1" applyProtection="1">
      <alignment horizontal="center"/>
      <protection locked="0"/>
    </xf>
    <xf numFmtId="22" fontId="6" fillId="0" borderId="24" xfId="55" applyNumberFormat="1" applyFont="1" applyFill="1" applyBorder="1" applyAlignment="1" applyProtection="1">
      <alignment horizontal="center"/>
      <protection locked="0"/>
    </xf>
    <xf numFmtId="22" fontId="6" fillId="0" borderId="35" xfId="55" applyNumberFormat="1" applyFont="1" applyFill="1" applyBorder="1" applyAlignment="1" applyProtection="1">
      <alignment horizontal="center"/>
      <protection locked="0"/>
    </xf>
    <xf numFmtId="168" fontId="6" fillId="0" borderId="23" xfId="55" applyNumberFormat="1" applyFont="1" applyFill="1" applyBorder="1" applyAlignment="1" applyProtection="1" quotePrefix="1">
      <alignment horizontal="center"/>
      <protection/>
    </xf>
    <xf numFmtId="168" fontId="54" fillId="43" borderId="23" xfId="55" applyNumberFormat="1" applyFont="1" applyFill="1" applyBorder="1" applyAlignment="1" applyProtection="1">
      <alignment horizontal="center"/>
      <protection locked="0"/>
    </xf>
    <xf numFmtId="2" fontId="55" fillId="42" borderId="23" xfId="55" applyNumberFormat="1" applyFont="1" applyFill="1" applyBorder="1" applyAlignment="1" applyProtection="1">
      <alignment horizontal="center"/>
      <protection locked="0"/>
    </xf>
    <xf numFmtId="172" fontId="49" fillId="41" borderId="33" xfId="55" applyNumberFormat="1" applyFont="1" applyFill="1" applyBorder="1" applyAlignment="1" applyProtection="1" quotePrefix="1">
      <alignment horizontal="center"/>
      <protection locked="0"/>
    </xf>
    <xf numFmtId="172" fontId="49" fillId="41" borderId="35" xfId="55" applyNumberFormat="1" applyFont="1" applyFill="1" applyBorder="1" applyAlignment="1" applyProtection="1" quotePrefix="1">
      <alignment horizontal="center"/>
      <protection locked="0"/>
    </xf>
    <xf numFmtId="172" fontId="34" fillId="44" borderId="23" xfId="55" applyNumberFormat="1" applyFont="1" applyFill="1" applyBorder="1" applyAlignment="1" applyProtection="1" quotePrefix="1">
      <alignment horizontal="center"/>
      <protection locked="0"/>
    </xf>
    <xf numFmtId="172" fontId="6" fillId="0" borderId="32" xfId="55" applyNumberFormat="1" applyFont="1" applyFill="1" applyBorder="1" applyAlignment="1" applyProtection="1">
      <alignment horizontal="center"/>
      <protection locked="0"/>
    </xf>
    <xf numFmtId="172" fontId="39" fillId="0" borderId="23" xfId="55" applyNumberFormat="1" applyFont="1" applyFill="1" applyBorder="1" applyAlignment="1">
      <alignment horizontal="center"/>
      <protection/>
    </xf>
    <xf numFmtId="175" fontId="5" fillId="0" borderId="23" xfId="55" applyNumberFormat="1" applyFont="1" applyFill="1" applyBorder="1" applyAlignment="1" applyProtection="1" quotePrefix="1">
      <alignment horizontal="center"/>
      <protection locked="0"/>
    </xf>
    <xf numFmtId="172" fontId="39" fillId="0" borderId="23" xfId="55" applyNumberFormat="1" applyFont="1" applyFill="1" applyBorder="1" applyAlignment="1">
      <alignment horizontal="right"/>
      <protection/>
    </xf>
    <xf numFmtId="0" fontId="33" fillId="33" borderId="25" xfId="55" applyFont="1" applyFill="1" applyBorder="1">
      <alignment/>
      <protection/>
    </xf>
    <xf numFmtId="0" fontId="54" fillId="43" borderId="25" xfId="55" applyFont="1" applyFill="1" applyBorder="1">
      <alignment/>
      <protection/>
    </xf>
    <xf numFmtId="0" fontId="55" fillId="42" borderId="25" xfId="55" applyFont="1" applyFill="1" applyBorder="1">
      <alignment/>
      <protection/>
    </xf>
    <xf numFmtId="0" fontId="49" fillId="41" borderId="36" xfId="55" applyFont="1" applyFill="1" applyBorder="1">
      <alignment/>
      <protection/>
    </xf>
    <xf numFmtId="0" fontId="49" fillId="41" borderId="37" xfId="55" applyFont="1" applyFill="1" applyBorder="1">
      <alignment/>
      <protection/>
    </xf>
    <xf numFmtId="0" fontId="34" fillId="44" borderId="25" xfId="55" applyFont="1" applyFill="1" applyBorder="1">
      <alignment/>
      <protection/>
    </xf>
    <xf numFmtId="0" fontId="39" fillId="0" borderId="27" xfId="55" applyFont="1" applyFill="1" applyBorder="1">
      <alignment/>
      <protection/>
    </xf>
    <xf numFmtId="2" fontId="55" fillId="42" borderId="20" xfId="55" applyNumberFormat="1" applyFont="1" applyFill="1" applyBorder="1" applyAlignment="1">
      <alignment horizontal="center"/>
      <protection/>
    </xf>
    <xf numFmtId="2" fontId="49" fillId="41" borderId="20" xfId="55" applyNumberFormat="1" applyFont="1" applyFill="1" applyBorder="1" applyAlignment="1">
      <alignment horizontal="center"/>
      <protection/>
    </xf>
    <xf numFmtId="2" fontId="34" fillId="44" borderId="20" xfId="55" applyNumberFormat="1" applyFont="1" applyFill="1" applyBorder="1" applyAlignment="1">
      <alignment horizontal="center"/>
      <protection/>
    </xf>
    <xf numFmtId="7" fontId="6" fillId="0" borderId="0" xfId="55" applyNumberFormat="1" applyFont="1" applyFill="1" applyBorder="1" applyAlignment="1">
      <alignment horizontal="center"/>
      <protection/>
    </xf>
    <xf numFmtId="7" fontId="2" fillId="0" borderId="20" xfId="55" applyNumberFormat="1" applyFont="1" applyFill="1" applyBorder="1" applyAlignment="1" applyProtection="1">
      <alignment horizontal="right"/>
      <protection locked="0"/>
    </xf>
    <xf numFmtId="7" fontId="45" fillId="0" borderId="0" xfId="55" applyNumberFormat="1" applyFont="1" applyFill="1" applyBorder="1" applyAlignment="1" applyProtection="1">
      <alignment horizontal="center"/>
      <protection locked="0"/>
    </xf>
    <xf numFmtId="0" fontId="1" fillId="0" borderId="0" xfId="55" applyFont="1">
      <alignment/>
      <protection/>
    </xf>
    <xf numFmtId="0" fontId="57" fillId="0" borderId="0" xfId="55" applyFont="1" applyAlignment="1">
      <alignment horizontal="right" vertical="top"/>
      <protection/>
    </xf>
    <xf numFmtId="0" fontId="57" fillId="0" borderId="0" xfId="55" applyFont="1" applyFill="1" applyAlignment="1">
      <alignment horizontal="right" vertical="top"/>
      <protection/>
    </xf>
    <xf numFmtId="0" fontId="21" fillId="0" borderId="0" xfId="55" applyFont="1" applyBorder="1" applyAlignment="1">
      <alignment horizontal="center"/>
      <protection/>
    </xf>
    <xf numFmtId="0" fontId="58" fillId="0" borderId="0" xfId="55" applyNumberFormat="1" applyFont="1" applyBorder="1" applyAlignment="1">
      <alignment horizontal="left"/>
      <protection/>
    </xf>
    <xf numFmtId="0" fontId="6" fillId="0" borderId="32" xfId="55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0" fontId="1" fillId="33" borderId="4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 quotePrefix="1">
      <alignment/>
    </xf>
    <xf numFmtId="0" fontId="60" fillId="33" borderId="41" xfId="0" applyFont="1" applyFill="1" applyBorder="1" applyAlignment="1">
      <alignment horizontal="center"/>
    </xf>
    <xf numFmtId="0" fontId="1" fillId="45" borderId="0" xfId="0" applyFont="1" applyFill="1" applyAlignment="1">
      <alignment/>
    </xf>
    <xf numFmtId="0" fontId="1" fillId="45" borderId="0" xfId="0" applyNumberFormat="1" applyFont="1" applyFill="1" applyAlignment="1">
      <alignment/>
    </xf>
    <xf numFmtId="0" fontId="60" fillId="0" borderId="41" xfId="0" applyFont="1" applyFill="1" applyBorder="1" applyAlignment="1">
      <alignment horizontal="center"/>
    </xf>
    <xf numFmtId="0" fontId="1" fillId="45" borderId="0" xfId="54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61" fillId="0" borderId="41" xfId="0" applyFont="1" applyFill="1" applyBorder="1" applyAlignment="1">
      <alignment/>
    </xf>
    <xf numFmtId="0" fontId="61" fillId="0" borderId="42" xfId="0" applyFont="1" applyFill="1" applyBorder="1" applyAlignment="1">
      <alignment/>
    </xf>
    <xf numFmtId="174" fontId="1" fillId="0" borderId="38" xfId="55" applyNumberFormat="1" applyFont="1" applyBorder="1" applyAlignment="1">
      <alignment horizontal="center"/>
      <protection/>
    </xf>
    <xf numFmtId="0" fontId="54" fillId="0" borderId="0" xfId="55" applyFont="1" applyBorder="1">
      <alignment/>
      <protection/>
    </xf>
    <xf numFmtId="0" fontId="54" fillId="0" borderId="0" xfId="55" applyFont="1" applyFill="1" applyBorder="1">
      <alignment/>
      <protection/>
    </xf>
    <xf numFmtId="0" fontId="63" fillId="0" borderId="0" xfId="55" applyFont="1" applyBorder="1" applyAlignment="1">
      <alignment horizontal="left"/>
      <protection/>
    </xf>
    <xf numFmtId="0" fontId="1" fillId="0" borderId="0" xfId="56">
      <alignment/>
      <protection/>
    </xf>
    <xf numFmtId="0" fontId="57" fillId="0" borderId="0" xfId="56" applyFont="1" applyAlignment="1">
      <alignment horizontal="right" vertical="top"/>
      <protection/>
    </xf>
    <xf numFmtId="0" fontId="64" fillId="0" borderId="0" xfId="56" applyFont="1">
      <alignment/>
      <protection/>
    </xf>
    <xf numFmtId="0" fontId="65" fillId="0" borderId="0" xfId="56" applyFont="1" applyAlignment="1">
      <alignment horizontal="centerContinuous"/>
      <protection/>
    </xf>
    <xf numFmtId="0" fontId="4" fillId="0" borderId="0" xfId="56" applyFont="1" applyBorder="1" applyAlignment="1" applyProtection="1">
      <alignment horizontal="centerContinuous" vertical="center"/>
      <protection/>
    </xf>
    <xf numFmtId="0" fontId="60" fillId="0" borderId="0" xfId="56" applyFont="1" applyAlignment="1">
      <alignment horizontal="centerContinuous" vertical="center"/>
      <protection/>
    </xf>
    <xf numFmtId="0" fontId="60" fillId="0" borderId="0" xfId="56" applyFont="1">
      <alignment/>
      <protection/>
    </xf>
    <xf numFmtId="0" fontId="66" fillId="0" borderId="0" xfId="56" applyFont="1" applyBorder="1" applyAlignment="1">
      <alignment horizontal="centerContinuous"/>
      <protection/>
    </xf>
    <xf numFmtId="0" fontId="67" fillId="0" borderId="0" xfId="56" applyFont="1" applyBorder="1" applyAlignment="1" applyProtection="1">
      <alignment horizontal="left"/>
      <protection/>
    </xf>
    <xf numFmtId="0" fontId="68" fillId="0" borderId="0" xfId="56" applyFont="1" applyBorder="1" applyAlignment="1">
      <alignment horizontal="centerContinuous"/>
      <protection/>
    </xf>
    <xf numFmtId="0" fontId="69" fillId="0" borderId="0" xfId="56" applyFont="1" applyBorder="1" applyAlignment="1" applyProtection="1">
      <alignment horizontal="centerContinuous"/>
      <protection/>
    </xf>
    <xf numFmtId="0" fontId="1" fillId="0" borderId="0" xfId="56" applyAlignment="1">
      <alignment horizontal="centerContinuous"/>
      <protection/>
    </xf>
    <xf numFmtId="0" fontId="69" fillId="0" borderId="0" xfId="56" applyFont="1" applyAlignment="1">
      <alignment horizontal="centerContinuous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70" fillId="0" borderId="11" xfId="56" applyFont="1" applyBorder="1">
      <alignment/>
      <protection/>
    </xf>
    <xf numFmtId="0" fontId="1" fillId="0" borderId="12" xfId="56" applyBorder="1">
      <alignment/>
      <protection/>
    </xf>
    <xf numFmtId="0" fontId="20" fillId="0" borderId="13" xfId="56" applyFont="1" applyBorder="1" applyAlignment="1">
      <alignment horizontal="centerContinuous"/>
      <protection/>
    </xf>
    <xf numFmtId="0" fontId="70" fillId="0" borderId="0" xfId="56" applyFont="1" applyBorder="1" applyAlignment="1">
      <alignment horizontal="centerContinuous"/>
      <protection/>
    </xf>
    <xf numFmtId="0" fontId="1" fillId="0" borderId="0" xfId="56" applyBorder="1" applyAlignment="1">
      <alignment horizontal="centerContinuous"/>
      <protection/>
    </xf>
    <xf numFmtId="0" fontId="1" fillId="0" borderId="14" xfId="56" applyBorder="1" applyAlignment="1">
      <alignment horizontal="centerContinuous"/>
      <protection/>
    </xf>
    <xf numFmtId="0" fontId="1" fillId="0" borderId="13" xfId="56" applyBorder="1">
      <alignment/>
      <protection/>
    </xf>
    <xf numFmtId="0" fontId="1" fillId="0" borderId="43" xfId="56" applyBorder="1">
      <alignment/>
      <protection/>
    </xf>
    <xf numFmtId="0" fontId="70" fillId="0" borderId="0" xfId="56" applyFont="1" applyBorder="1" applyAlignment="1" applyProtection="1">
      <alignment horizontal="center"/>
      <protection/>
    </xf>
    <xf numFmtId="0" fontId="70" fillId="0" borderId="0" xfId="56" applyFont="1" applyBorder="1">
      <alignment/>
      <protection/>
    </xf>
    <xf numFmtId="0" fontId="1" fillId="0" borderId="0" xfId="56" applyBorder="1">
      <alignment/>
      <protection/>
    </xf>
    <xf numFmtId="0" fontId="1" fillId="0" borderId="14" xfId="56" applyBorder="1">
      <alignment/>
      <protection/>
    </xf>
    <xf numFmtId="0" fontId="71" fillId="0" borderId="0" xfId="56" applyFont="1" applyAlignment="1">
      <alignment horizontal="centerContinuous" vertical="center"/>
      <protection/>
    </xf>
    <xf numFmtId="0" fontId="71" fillId="0" borderId="13" xfId="56" applyFont="1" applyBorder="1" applyAlignment="1">
      <alignment horizontal="centerContinuous" vertical="center"/>
      <protection/>
    </xf>
    <xf numFmtId="0" fontId="71" fillId="46" borderId="44" xfId="56" applyFont="1" applyFill="1" applyBorder="1" applyAlignment="1" applyProtection="1">
      <alignment horizontal="centerContinuous" vertical="center"/>
      <protection/>
    </xf>
    <xf numFmtId="0" fontId="71" fillId="46" borderId="44" xfId="56" applyFont="1" applyFill="1" applyBorder="1" applyAlignment="1" applyProtection="1">
      <alignment horizontal="centerContinuous" vertical="center" wrapText="1"/>
      <protection/>
    </xf>
    <xf numFmtId="172" fontId="71" fillId="46" borderId="20" xfId="56" applyNumberFormat="1" applyFont="1" applyFill="1" applyBorder="1" applyAlignment="1" applyProtection="1">
      <alignment horizontal="centerContinuous" vertical="center" wrapText="1"/>
      <protection/>
    </xf>
    <xf numFmtId="17" fontId="71" fillId="46" borderId="16" xfId="56" applyNumberFormat="1" applyFont="1" applyFill="1" applyBorder="1" applyAlignment="1">
      <alignment horizontal="center" vertical="center"/>
      <protection/>
    </xf>
    <xf numFmtId="0" fontId="71" fillId="0" borderId="14" xfId="56" applyFont="1" applyBorder="1" applyAlignment="1">
      <alignment vertical="center"/>
      <protection/>
    </xf>
    <xf numFmtId="0" fontId="71" fillId="0" borderId="0" xfId="56" applyFont="1" applyAlignment="1">
      <alignment vertical="center"/>
      <protection/>
    </xf>
    <xf numFmtId="0" fontId="71" fillId="0" borderId="13" xfId="56" applyFont="1" applyBorder="1" applyAlignment="1">
      <alignment vertical="center"/>
      <protection/>
    </xf>
    <xf numFmtId="0" fontId="71" fillId="0" borderId="32" xfId="56" applyFont="1" applyBorder="1" applyAlignment="1">
      <alignment vertical="center"/>
      <protection/>
    </xf>
    <xf numFmtId="0" fontId="71" fillId="0" borderId="45" xfId="56" applyFont="1" applyBorder="1" applyAlignment="1">
      <alignment vertical="center"/>
      <protection/>
    </xf>
    <xf numFmtId="0" fontId="71" fillId="0" borderId="27" xfId="56" applyFont="1" applyBorder="1" applyAlignment="1">
      <alignment vertical="center"/>
      <protection/>
    </xf>
    <xf numFmtId="0" fontId="71" fillId="0" borderId="46" xfId="56" applyFont="1" applyBorder="1" applyAlignment="1">
      <alignment vertical="center"/>
      <protection/>
    </xf>
    <xf numFmtId="0" fontId="71" fillId="47" borderId="32" xfId="56" applyFont="1" applyFill="1" applyBorder="1" applyAlignment="1">
      <alignment horizontal="center" vertical="center"/>
      <protection/>
    </xf>
    <xf numFmtId="0" fontId="71" fillId="47" borderId="47" xfId="56" applyFont="1" applyFill="1" applyBorder="1" applyAlignment="1" applyProtection="1">
      <alignment horizontal="center" vertical="center"/>
      <protection/>
    </xf>
    <xf numFmtId="2" fontId="71" fillId="47" borderId="24" xfId="56" applyNumberFormat="1" applyFont="1" applyFill="1" applyBorder="1" applyAlignment="1" applyProtection="1">
      <alignment horizontal="center" vertical="center"/>
      <protection/>
    </xf>
    <xf numFmtId="0" fontId="71" fillId="48" borderId="32" xfId="56" applyFont="1" applyFill="1" applyBorder="1" applyAlignment="1">
      <alignment horizontal="center" vertical="center"/>
      <protection/>
    </xf>
    <xf numFmtId="0" fontId="71" fillId="48" borderId="47" xfId="56" applyFont="1" applyFill="1" applyBorder="1" applyAlignment="1" applyProtection="1">
      <alignment horizontal="center" vertical="center"/>
      <protection/>
    </xf>
    <xf numFmtId="2" fontId="71" fillId="48" borderId="24" xfId="56" applyNumberFormat="1" applyFont="1" applyFill="1" applyBorder="1" applyAlignment="1" applyProtection="1">
      <alignment horizontal="center" vertical="center"/>
      <protection/>
    </xf>
    <xf numFmtId="0" fontId="71" fillId="48" borderId="24" xfId="56" applyFont="1" applyFill="1" applyBorder="1" applyAlignment="1">
      <alignment horizontal="center" vertical="center"/>
      <protection/>
    </xf>
    <xf numFmtId="0" fontId="71" fillId="48" borderId="48" xfId="56" applyFont="1" applyFill="1" applyBorder="1" applyAlignment="1" applyProtection="1">
      <alignment horizontal="center" vertical="center"/>
      <protection/>
    </xf>
    <xf numFmtId="2" fontId="71" fillId="48" borderId="49" xfId="56" applyNumberFormat="1" applyFont="1" applyFill="1" applyBorder="1" applyAlignment="1" applyProtection="1">
      <alignment horizontal="center" vertical="center"/>
      <protection/>
    </xf>
    <xf numFmtId="0" fontId="71" fillId="0" borderId="50" xfId="56" applyFont="1" applyBorder="1" applyAlignment="1">
      <alignment horizontal="center" vertical="center"/>
      <protection/>
    </xf>
    <xf numFmtId="0" fontId="71" fillId="0" borderId="51" xfId="56" applyFont="1" applyBorder="1" applyAlignment="1" applyProtection="1">
      <alignment horizontal="left" vertical="center"/>
      <protection/>
    </xf>
    <xf numFmtId="0" fontId="71" fillId="0" borderId="51" xfId="56" applyFont="1" applyBorder="1" applyAlignment="1" applyProtection="1">
      <alignment horizontal="center" vertical="center"/>
      <protection/>
    </xf>
    <xf numFmtId="2" fontId="71" fillId="0" borderId="26" xfId="56" applyNumberFormat="1" applyFont="1" applyBorder="1" applyAlignment="1" applyProtection="1">
      <alignment horizontal="center" vertical="center"/>
      <protection/>
    </xf>
    <xf numFmtId="0" fontId="71" fillId="0" borderId="0" xfId="56" applyFont="1" applyBorder="1" applyAlignment="1">
      <alignment horizontal="center" vertical="center"/>
      <protection/>
    </xf>
    <xf numFmtId="0" fontId="71" fillId="0" borderId="0" xfId="56" applyFont="1" applyBorder="1" applyAlignment="1" applyProtection="1">
      <alignment horizontal="left" vertical="center"/>
      <protection/>
    </xf>
    <xf numFmtId="0" fontId="72" fillId="0" borderId="28" xfId="56" applyFont="1" applyBorder="1" applyAlignment="1" applyProtection="1">
      <alignment horizontal="right" vertical="center"/>
      <protection/>
    </xf>
    <xf numFmtId="172" fontId="72" fillId="0" borderId="26" xfId="56" applyNumberFormat="1" applyFont="1" applyBorder="1" applyAlignment="1" applyProtection="1">
      <alignment horizontal="center" vertical="center"/>
      <protection/>
    </xf>
    <xf numFmtId="1" fontId="71" fillId="0" borderId="20" xfId="56" applyNumberFormat="1" applyFont="1" applyFill="1" applyBorder="1" applyAlignment="1">
      <alignment horizontal="center" vertical="center"/>
      <protection/>
    </xf>
    <xf numFmtId="1" fontId="71" fillId="0" borderId="20" xfId="56" applyNumberFormat="1" applyFont="1" applyBorder="1" applyAlignment="1">
      <alignment horizontal="center" vertical="center"/>
      <protection/>
    </xf>
    <xf numFmtId="0" fontId="71" fillId="0" borderId="0" xfId="56" applyFont="1" applyBorder="1" applyAlignment="1">
      <alignment vertical="center"/>
      <protection/>
    </xf>
    <xf numFmtId="0" fontId="71" fillId="0" borderId="0" xfId="56" applyFont="1" applyBorder="1" applyAlignment="1" applyProtection="1">
      <alignment horizontal="center" vertical="center"/>
      <protection/>
    </xf>
    <xf numFmtId="0" fontId="72" fillId="0" borderId="0" xfId="56" applyFont="1" applyAlignment="1">
      <alignment horizontal="right" vertical="center"/>
      <protection/>
    </xf>
    <xf numFmtId="1" fontId="71" fillId="0" borderId="20" xfId="56" applyNumberFormat="1" applyFont="1" applyBorder="1" applyAlignment="1" applyProtection="1">
      <alignment horizontal="center" vertical="center"/>
      <protection/>
    </xf>
    <xf numFmtId="17" fontId="72" fillId="0" borderId="0" xfId="56" applyNumberFormat="1" applyFont="1" applyBorder="1" applyAlignment="1">
      <alignment horizontal="right" vertical="center"/>
      <protection/>
    </xf>
    <xf numFmtId="2" fontId="72" fillId="49" borderId="26" xfId="57" applyNumberFormat="1" applyFont="1" applyFill="1" applyBorder="1" applyAlignment="1">
      <alignment horizontal="center" vertical="center"/>
      <protection/>
    </xf>
    <xf numFmtId="2" fontId="72" fillId="50" borderId="52" xfId="57" applyNumberFormat="1" applyFont="1" applyFill="1" applyBorder="1" applyAlignment="1">
      <alignment horizontal="center" vertical="center"/>
      <protection/>
    </xf>
    <xf numFmtId="0" fontId="6" fillId="0" borderId="0" xfId="56" applyFont="1" applyBorder="1">
      <alignment/>
      <protection/>
    </xf>
    <xf numFmtId="0" fontId="3" fillId="0" borderId="0" xfId="56" applyFont="1" applyBorder="1" applyAlignment="1" applyProtection="1">
      <alignment horizontal="center"/>
      <protection/>
    </xf>
    <xf numFmtId="172" fontId="3" fillId="0" borderId="0" xfId="56" applyNumberFormat="1" applyFont="1" applyBorder="1" applyAlignment="1" applyProtection="1">
      <alignment horizontal="right"/>
      <protection/>
    </xf>
    <xf numFmtId="2" fontId="1" fillId="0" borderId="0" xfId="56" applyNumberFormat="1" applyBorder="1" applyAlignment="1">
      <alignment horizontal="center"/>
      <protection/>
    </xf>
    <xf numFmtId="2" fontId="1" fillId="0" borderId="14" xfId="56" applyNumberFormat="1" applyBorder="1" applyAlignment="1">
      <alignment horizontal="center"/>
      <protection/>
    </xf>
    <xf numFmtId="0" fontId="73" fillId="0" borderId="13" xfId="56" applyFont="1" applyBorder="1">
      <alignment/>
      <protection/>
    </xf>
    <xf numFmtId="0" fontId="1" fillId="0" borderId="15" xfId="56" applyFont="1" applyBorder="1">
      <alignment/>
      <protection/>
    </xf>
    <xf numFmtId="0" fontId="74" fillId="0" borderId="21" xfId="56" applyFont="1" applyBorder="1" applyAlignment="1">
      <alignment horizontal="center"/>
      <protection/>
    </xf>
    <xf numFmtId="2" fontId="75" fillId="0" borderId="21" xfId="56" applyNumberFormat="1" applyFont="1" applyBorder="1" applyAlignment="1">
      <alignment horizontal="center"/>
      <protection/>
    </xf>
    <xf numFmtId="0" fontId="76" fillId="0" borderId="21" xfId="56" applyFont="1" applyBorder="1">
      <alignment/>
      <protection/>
    </xf>
    <xf numFmtId="0" fontId="1" fillId="0" borderId="21" xfId="56" applyBorder="1">
      <alignment/>
      <protection/>
    </xf>
    <xf numFmtId="0" fontId="1" fillId="0" borderId="16" xfId="56" applyBorder="1">
      <alignment/>
      <protection/>
    </xf>
    <xf numFmtId="1" fontId="1" fillId="0" borderId="0" xfId="56" applyNumberFormat="1" applyBorder="1" applyAlignment="1">
      <alignment horizontal="center"/>
      <protection/>
    </xf>
    <xf numFmtId="0" fontId="73" fillId="0" borderId="17" xfId="56" applyFont="1" applyBorder="1">
      <alignment/>
      <protection/>
    </xf>
    <xf numFmtId="0" fontId="3" fillId="0" borderId="18" xfId="56" applyFont="1" applyBorder="1" applyAlignment="1" applyProtection="1">
      <alignment horizontal="left"/>
      <protection/>
    </xf>
    <xf numFmtId="0" fontId="6" fillId="0" borderId="18" xfId="56" applyFont="1" applyBorder="1">
      <alignment/>
      <protection/>
    </xf>
    <xf numFmtId="0" fontId="3" fillId="0" borderId="18" xfId="56" applyFont="1" applyBorder="1" applyAlignment="1">
      <alignment horizontal="center"/>
      <protection/>
    </xf>
    <xf numFmtId="0" fontId="1" fillId="0" borderId="18" xfId="56" applyBorder="1">
      <alignment/>
      <protection/>
    </xf>
    <xf numFmtId="0" fontId="1" fillId="0" borderId="19" xfId="56" applyBorder="1">
      <alignment/>
      <protection/>
    </xf>
    <xf numFmtId="0" fontId="4" fillId="0" borderId="0" xfId="55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rmal_Cuyo" xfId="55"/>
    <cellStyle name="Normal_T0002CUY" xfId="56"/>
    <cellStyle name="Normal_T9904CUY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1028700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5143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0</xdr:col>
      <xdr:colOff>1047750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1028700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5">
          <cell r="HQ15">
            <v>41518</v>
          </cell>
          <cell r="HR15">
            <v>41548</v>
          </cell>
          <cell r="HS15">
            <v>41579</v>
          </cell>
          <cell r="HT15">
            <v>41609</v>
          </cell>
          <cell r="HU15">
            <v>41640</v>
          </cell>
          <cell r="HV15">
            <v>41671</v>
          </cell>
          <cell r="HW15">
            <v>41699</v>
          </cell>
          <cell r="HX15">
            <v>41730</v>
          </cell>
          <cell r="HY15">
            <v>41760</v>
          </cell>
          <cell r="HZ15">
            <v>41791</v>
          </cell>
          <cell r="IA15">
            <v>41821</v>
          </cell>
          <cell r="IB15">
            <v>41852</v>
          </cell>
          <cell r="IC15">
            <v>41883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  <cell r="HV17">
            <v>1</v>
          </cell>
          <cell r="IB17">
            <v>3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  <cell r="HV18">
            <v>1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  <cell r="HT19">
            <v>1</v>
          </cell>
          <cell r="HV19">
            <v>1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HR20">
            <v>1</v>
          </cell>
          <cell r="IB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R22">
            <v>1</v>
          </cell>
          <cell r="HW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  <cell r="HV25">
            <v>1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HS26">
            <v>1</v>
          </cell>
          <cell r="IA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  <cell r="HS28">
            <v>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HQ32" t="str">
            <v>XXXX</v>
          </cell>
          <cell r="HR32" t="str">
            <v>XXXX</v>
          </cell>
          <cell r="HS32" t="str">
            <v>XXXX</v>
          </cell>
          <cell r="HT32" t="str">
            <v>XXXX</v>
          </cell>
          <cell r="HU32" t="str">
            <v>XXXX</v>
          </cell>
          <cell r="HV32" t="str">
            <v>XXXX</v>
          </cell>
          <cell r="HW32" t="str">
            <v>XXXX</v>
          </cell>
          <cell r="HX32" t="str">
            <v>XXXX</v>
          </cell>
          <cell r="HY32" t="str">
            <v>XXXX</v>
          </cell>
          <cell r="HZ32" t="str">
            <v>XXXX</v>
          </cell>
          <cell r="IA32" t="str">
            <v>XXXX</v>
          </cell>
          <cell r="IB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W37">
            <v>1</v>
          </cell>
        </row>
        <row r="42">
          <cell r="HQ42">
            <v>0.8</v>
          </cell>
          <cell r="HR42">
            <v>0.72</v>
          </cell>
          <cell r="HS42">
            <v>0.72</v>
          </cell>
          <cell r="HT42">
            <v>0.8</v>
          </cell>
          <cell r="HU42">
            <v>0.88</v>
          </cell>
          <cell r="HV42">
            <v>0.72</v>
          </cell>
          <cell r="HW42">
            <v>1.04</v>
          </cell>
          <cell r="HX42">
            <v>1.2</v>
          </cell>
          <cell r="HY42">
            <v>1.2</v>
          </cell>
          <cell r="HZ42">
            <v>1.04</v>
          </cell>
          <cell r="IA42">
            <v>0.96</v>
          </cell>
          <cell r="IB42">
            <v>1.04</v>
          </cell>
          <cell r="IC42">
            <v>1.28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aperez\Configuraci&#6553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5"/>
    </row>
    <row r="2" spans="2:10" s="6" customFormat="1" ht="26.25">
      <c r="B2" s="7" t="s">
        <v>173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505" t="s">
        <v>3</v>
      </c>
      <c r="B4" s="50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505" t="s">
        <v>4</v>
      </c>
      <c r="B5" s="50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162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130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'LI-09 (1)'!AA42</f>
        <v>56689.08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3.5">
      <c r="B19" s="44"/>
      <c r="C19" s="45"/>
      <c r="D19" s="46"/>
      <c r="E19" s="12"/>
      <c r="F19" s="47"/>
      <c r="G19" s="47"/>
      <c r="H19" s="47"/>
      <c r="I19" s="48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17" customFormat="1" ht="19.5">
      <c r="B20" s="36"/>
      <c r="C20" s="41" t="s">
        <v>7</v>
      </c>
      <c r="D20" s="42" t="s">
        <v>8</v>
      </c>
      <c r="E20" s="22"/>
      <c r="F20" s="38"/>
      <c r="G20" s="38"/>
      <c r="H20" s="38"/>
      <c r="I20" s="43"/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3.5">
      <c r="B21" s="44"/>
      <c r="C21" s="45"/>
      <c r="D21" s="45"/>
      <c r="E21" s="12"/>
      <c r="F21" s="47"/>
      <c r="G21" s="47"/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17" customFormat="1" ht="19.5">
      <c r="B22" s="36"/>
      <c r="C22" s="41"/>
      <c r="D22" s="41" t="s">
        <v>9</v>
      </c>
      <c r="E22" s="51" t="s">
        <v>10</v>
      </c>
      <c r="F22" s="38"/>
      <c r="G22" s="38"/>
      <c r="H22" s="38"/>
      <c r="I22" s="43">
        <f>'T-09 (1)'!AC42</f>
        <v>350.37</v>
      </c>
      <c r="J22" s="39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3.5">
      <c r="B23" s="44"/>
      <c r="C23" s="45"/>
      <c r="D23" s="45"/>
      <c r="E23" s="12"/>
      <c r="F23" s="47"/>
      <c r="G23" s="47"/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7" customFormat="1" ht="19.5">
      <c r="B24" s="36"/>
      <c r="C24" s="41"/>
      <c r="D24" s="41" t="s">
        <v>11</v>
      </c>
      <c r="E24" s="51" t="s">
        <v>12</v>
      </c>
      <c r="F24" s="38"/>
      <c r="G24" s="38"/>
      <c r="H24" s="38"/>
      <c r="I24" s="43">
        <f>'SA-09 (1)'!V43</f>
        <v>2810.92</v>
      </c>
      <c r="J24" s="39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7" customFormat="1" ht="19.5">
      <c r="B25" s="36"/>
      <c r="C25" s="37"/>
      <c r="D25" s="37"/>
      <c r="E25" s="51"/>
      <c r="F25" s="38"/>
      <c r="G25" s="38"/>
      <c r="H25" s="38"/>
      <c r="I25" s="43"/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22"/>
      <c r="F26" s="38"/>
      <c r="G26" s="38"/>
      <c r="H26" s="38"/>
      <c r="I26" s="52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3" t="s">
        <v>13</v>
      </c>
      <c r="G28" s="54">
        <f>SUM(I18:I26)</f>
        <v>59850.37</v>
      </c>
      <c r="H28" s="55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97"/>
      <c r="G29" s="55"/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98" t="s">
        <v>161</v>
      </c>
      <c r="D30" s="41"/>
      <c r="F30" s="397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24" customFormat="1" ht="16.5" thickBot="1">
      <c r="B31" s="56"/>
      <c r="C31" s="57"/>
      <c r="D31" s="57"/>
      <c r="E31" s="58"/>
      <c r="F31" s="58"/>
      <c r="G31" s="58"/>
      <c r="H31" s="58"/>
      <c r="I31" s="58"/>
      <c r="J31" s="59"/>
      <c r="K31" s="26"/>
      <c r="L31" s="26"/>
      <c r="M31" s="60"/>
      <c r="N31" s="61"/>
      <c r="O31" s="61"/>
      <c r="P31" s="62"/>
      <c r="Q31" s="63"/>
      <c r="R31" s="26"/>
      <c r="S31" s="26"/>
    </row>
    <row r="32" spans="4:19" ht="13.5" thickTop="1">
      <c r="D32" s="12"/>
      <c r="F32" s="12"/>
      <c r="G32" s="12"/>
      <c r="H32" s="12"/>
      <c r="I32" s="12"/>
      <c r="J32" s="12"/>
      <c r="K32" s="12"/>
      <c r="L32" s="12"/>
      <c r="M32" s="64"/>
      <c r="N32" s="65"/>
      <c r="O32" s="65"/>
      <c r="P32" s="12"/>
      <c r="Q32" s="4"/>
      <c r="R32" s="12"/>
      <c r="S32" s="12"/>
    </row>
    <row r="33" spans="4:19" ht="12.75">
      <c r="D33" s="12"/>
      <c r="F33" s="12"/>
      <c r="G33" s="12"/>
      <c r="H33" s="12"/>
      <c r="I33" s="12"/>
      <c r="J33" s="12"/>
      <c r="K33" s="12"/>
      <c r="L33" s="12"/>
      <c r="M33" s="12"/>
      <c r="N33" s="66"/>
      <c r="O33" s="66"/>
      <c r="P33" s="67"/>
      <c r="Q33" s="4"/>
      <c r="R33" s="12"/>
      <c r="S33" s="12"/>
    </row>
    <row r="34" spans="4:19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6"/>
      <c r="O34" s="66"/>
      <c r="P34" s="67"/>
      <c r="Q34" s="4"/>
      <c r="R34" s="12"/>
      <c r="S34" s="12"/>
    </row>
    <row r="35" spans="4:19" ht="12.75">
      <c r="D35" s="12"/>
      <c r="E35" s="12"/>
      <c r="L35" s="12"/>
      <c r="M35" s="12"/>
      <c r="N35" s="12"/>
      <c r="O35" s="12"/>
      <c r="P35" s="12"/>
      <c r="Q35" s="12"/>
      <c r="R35" s="12"/>
      <c r="S35" s="12"/>
    </row>
    <row r="36" spans="4:19" ht="12.75">
      <c r="D36" s="12"/>
      <c r="E36" s="12"/>
      <c r="P36" s="12"/>
      <c r="Q36" s="12"/>
      <c r="R36" s="12"/>
      <c r="S36" s="12"/>
    </row>
    <row r="37" spans="4:19" ht="12.75">
      <c r="D37" s="12"/>
      <c r="E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16:19" ht="12.75">
      <c r="P41" s="12"/>
      <c r="Q41" s="12"/>
      <c r="R41" s="12"/>
      <c r="S41" s="12"/>
    </row>
    <row r="42" spans="16:19" ht="12.75">
      <c r="P42" s="12"/>
      <c r="Q42" s="12"/>
      <c r="R42" s="12"/>
      <c r="S42" s="12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6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0"/>
  <sheetViews>
    <sheetView zoomScale="75" zoomScaleNormal="75" zoomScalePageLayoutView="0" workbookViewId="0" topLeftCell="A1">
      <selection activeCell="G25" sqref="G25"/>
    </sheetView>
  </sheetViews>
  <sheetFormatPr defaultColWidth="11.421875" defaultRowHeight="12.75"/>
  <cols>
    <col min="1" max="1" width="20.5742187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0" width="16.421875" style="1" customWidth="1"/>
    <col min="11" max="11" width="16.71093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5"/>
    </row>
    <row r="2" spans="2:28" s="6" customFormat="1" ht="26.25">
      <c r="B2" s="68" t="str">
        <f>+'TOT-0914'!B2</f>
        <v>ANEXO IV al Memorandum D.T.E.E. N°    306   / 2015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6.5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+'TOT-0914'!B14</f>
        <v>Desde el 01 al 30 de septiembre de 2014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6.5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7" t="s">
        <v>16</v>
      </c>
      <c r="G14" s="88">
        <v>483.161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17</v>
      </c>
      <c r="G15" s="88">
        <v>461.689</v>
      </c>
      <c r="H15" s="90"/>
      <c r="I15" s="12"/>
      <c r="J15" s="91"/>
      <c r="K15" s="92" t="s">
        <v>18</v>
      </c>
      <c r="L15" s="93">
        <f>30*'TOT-0914'!B13</f>
        <v>30</v>
      </c>
      <c r="M15" s="94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19</v>
      </c>
      <c r="G16" s="88" t="s">
        <v>157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17">
        <v>4</v>
      </c>
      <c r="E17" s="417">
        <v>5</v>
      </c>
      <c r="F17" s="417">
        <v>6</v>
      </c>
      <c r="G17" s="417">
        <v>7</v>
      </c>
      <c r="H17" s="417">
        <v>8</v>
      </c>
      <c r="I17" s="417">
        <v>9</v>
      </c>
      <c r="J17" s="417">
        <v>10</v>
      </c>
      <c r="K17" s="417">
        <v>11</v>
      </c>
      <c r="L17" s="417">
        <v>12</v>
      </c>
      <c r="M17" s="417">
        <v>13</v>
      </c>
      <c r="N17" s="417">
        <v>14</v>
      </c>
      <c r="O17" s="417">
        <v>15</v>
      </c>
      <c r="P17" s="417">
        <v>16</v>
      </c>
      <c r="Q17" s="417">
        <v>17</v>
      </c>
      <c r="R17" s="417">
        <v>18</v>
      </c>
      <c r="S17" s="417">
        <v>19</v>
      </c>
      <c r="T17" s="417">
        <v>20</v>
      </c>
      <c r="U17" s="417">
        <v>21</v>
      </c>
      <c r="V17" s="417">
        <v>22</v>
      </c>
      <c r="W17" s="417">
        <v>23</v>
      </c>
      <c r="X17" s="417">
        <v>24</v>
      </c>
      <c r="Y17" s="417">
        <v>25</v>
      </c>
      <c r="Z17" s="417">
        <v>26</v>
      </c>
      <c r="AA17" s="417">
        <v>27</v>
      </c>
      <c r="AB17" s="49"/>
    </row>
    <row r="18" spans="2:28" s="96" customFormat="1" ht="34.5" customHeight="1" thickBot="1" thickTop="1">
      <c r="B18" s="97"/>
      <c r="C18" s="400" t="s">
        <v>20</v>
      </c>
      <c r="D18" s="400" t="s">
        <v>74</v>
      </c>
      <c r="E18" s="400" t="s">
        <v>75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72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6.5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6.5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6.5" customHeight="1">
      <c r="B21" s="44"/>
      <c r="C21" s="128">
        <v>1</v>
      </c>
      <c r="D21" s="128">
        <v>278556</v>
      </c>
      <c r="E21" s="128">
        <v>698</v>
      </c>
      <c r="F21" s="126" t="s">
        <v>131</v>
      </c>
      <c r="G21" s="126">
        <v>220</v>
      </c>
      <c r="H21" s="138">
        <v>53.4900016784668</v>
      </c>
      <c r="I21" s="139">
        <f aca="true" t="shared" si="0" ref="I21:I40">IF(G21=220,$G$14*IF(H21&gt;25,H21,25),IF(G21=132,$G$15*IF(H21&gt;25,+H21,25),$G$16*IF(H21&gt;25,H21,25)))/100</f>
        <v>258.44282700969694</v>
      </c>
      <c r="J21" s="140">
        <v>41885.41111111111</v>
      </c>
      <c r="K21" s="140">
        <v>41885.75625</v>
      </c>
      <c r="L21" s="141">
        <f aca="true" t="shared" si="1" ref="L21:L40">IF(F21="","",(K21-J21)*24)</f>
        <v>8.283333333267365</v>
      </c>
      <c r="M21" s="142">
        <f aca="true" t="shared" si="2" ref="M21:M40">IF(F21="","",ROUND((K21-J21)*24*60,0))</f>
        <v>497</v>
      </c>
      <c r="N21" s="143" t="s">
        <v>132</v>
      </c>
      <c r="O21" s="143" t="s">
        <v>133</v>
      </c>
      <c r="P21" s="145">
        <f aca="true" t="shared" si="3" ref="P21:P40">IF(N21="P",ROUND(M21/60,2)*I21*$L$15*0.01,"--")</f>
        <v>641.9719822920872</v>
      </c>
      <c r="Q21" s="146" t="str">
        <f aca="true" t="shared" si="4" ref="Q21:Q40">IF(N21="RP",ROUND(M21/60,2)*I21*$L$15*0.01*O21/100,"--")</f>
        <v>--</v>
      </c>
      <c r="R21" s="147" t="str">
        <f aca="true" t="shared" si="5" ref="R21:R40">IF(N21="F",I21*$L$15,"--")</f>
        <v>--</v>
      </c>
      <c r="S21" s="147" t="str">
        <f aca="true" t="shared" si="6" ref="S21:S40">IF(AND(M21&gt;10,N21="F"),$L$15*I21*IF(M21&gt;180,3,ROUND((M21)/60,2)),"--")</f>
        <v>--</v>
      </c>
      <c r="T21" s="148" t="str">
        <f aca="true" t="shared" si="7" ref="T21:T40">IF(AND(N21="F",M21&gt;180),(ROUND(M21/60,2)-3)*I21*$L$15*0.1,"--")</f>
        <v>--</v>
      </c>
      <c r="U21" s="149" t="str">
        <f aca="true" t="shared" si="8" ref="U21:U40">IF(N21="R",I21*$L$15*O21/100,"--")</f>
        <v>--</v>
      </c>
      <c r="V21" s="149" t="str">
        <f aca="true" t="shared" si="9" ref="V21:V40">IF(AND(M21&gt;10,N21="R"),$L$15*I21*O21/100*IF(M21&gt;180,3,ROUND((M21)/60,2)),"--")</f>
        <v>--</v>
      </c>
      <c r="W21" s="150" t="str">
        <f aca="true" t="shared" si="10" ref="W21:W40">IF(AND(N21="R",M21&gt;180),(ROUND(M21/60,2)-3)*I21*$L$15*0.1*O21/100,"--")</f>
        <v>--</v>
      </c>
      <c r="X21" s="151" t="str">
        <f aca="true" t="shared" si="11" ref="X21:X40">IF(N21="RF",ROUND(M21/60,2)*I21*$L$15*0.1,"--")</f>
        <v>--</v>
      </c>
      <c r="Y21" s="152" t="str">
        <f aca="true" t="shared" si="12" ref="Y21:Y40">IF(N21="RR",ROUND(M21/60,2)*I21*$L$15*0.1*O21/100,"--")</f>
        <v>--</v>
      </c>
      <c r="Z21" s="153" t="str">
        <f aca="true" t="shared" si="13" ref="Z21:Z40">IF(F21="","","SI")</f>
        <v>SI</v>
      </c>
      <c r="AA21" s="154">
        <f aca="true" t="shared" si="14" ref="AA21:AA40">IF(F21="","",SUM(P21:Y21)*IF(Z21="SI",1,2))</f>
        <v>641.9719822920872</v>
      </c>
      <c r="AB21" s="155"/>
    </row>
    <row r="22" spans="2:28" s="10" customFormat="1" ht="16.5" customHeight="1">
      <c r="B22" s="44"/>
      <c r="C22" s="128">
        <v>2</v>
      </c>
      <c r="D22" s="128">
        <v>278557</v>
      </c>
      <c r="E22" s="128">
        <v>698</v>
      </c>
      <c r="F22" s="126" t="s">
        <v>131</v>
      </c>
      <c r="G22" s="126">
        <v>220</v>
      </c>
      <c r="H22" s="138">
        <v>53.4900016784668</v>
      </c>
      <c r="I22" s="139">
        <f t="shared" si="0"/>
        <v>258.44282700969694</v>
      </c>
      <c r="J22" s="140">
        <v>41886.40902777778</v>
      </c>
      <c r="K22" s="140">
        <v>41886.75</v>
      </c>
      <c r="L22" s="141">
        <f t="shared" si="1"/>
        <v>8.183333333290648</v>
      </c>
      <c r="M22" s="142">
        <f t="shared" si="2"/>
        <v>491</v>
      </c>
      <c r="N22" s="143" t="s">
        <v>132</v>
      </c>
      <c r="O22" s="143" t="s">
        <v>133</v>
      </c>
      <c r="P22" s="145">
        <f t="shared" si="3"/>
        <v>634.2186974817963</v>
      </c>
      <c r="Q22" s="146" t="str">
        <f t="shared" si="4"/>
        <v>--</v>
      </c>
      <c r="R22" s="147" t="str">
        <f t="shared" si="5"/>
        <v>--</v>
      </c>
      <c r="S22" s="147" t="str">
        <f t="shared" si="6"/>
        <v>--</v>
      </c>
      <c r="T22" s="148" t="str">
        <f t="shared" si="7"/>
        <v>--</v>
      </c>
      <c r="U22" s="149" t="str">
        <f t="shared" si="8"/>
        <v>--</v>
      </c>
      <c r="V22" s="149" t="str">
        <f t="shared" si="9"/>
        <v>--</v>
      </c>
      <c r="W22" s="150" t="str">
        <f t="shared" si="10"/>
        <v>--</v>
      </c>
      <c r="X22" s="151" t="str">
        <f t="shared" si="11"/>
        <v>--</v>
      </c>
      <c r="Y22" s="152" t="str">
        <f t="shared" si="12"/>
        <v>--</v>
      </c>
      <c r="Z22" s="153" t="str">
        <f t="shared" si="13"/>
        <v>SI</v>
      </c>
      <c r="AA22" s="154">
        <f t="shared" si="14"/>
        <v>634.2186974817963</v>
      </c>
      <c r="AB22" s="155"/>
    </row>
    <row r="23" spans="2:28" s="10" customFormat="1" ht="16.5" customHeight="1">
      <c r="B23" s="44"/>
      <c r="C23" s="128">
        <v>3</v>
      </c>
      <c r="D23" s="128">
        <v>278558</v>
      </c>
      <c r="E23" s="128">
        <v>701</v>
      </c>
      <c r="F23" s="126" t="s">
        <v>134</v>
      </c>
      <c r="G23" s="126">
        <v>132</v>
      </c>
      <c r="H23" s="138">
        <v>33.5</v>
      </c>
      <c r="I23" s="139">
        <f t="shared" si="0"/>
        <v>154.665815</v>
      </c>
      <c r="J23" s="140">
        <v>41889.40625</v>
      </c>
      <c r="K23" s="140">
        <v>41889.41111111111</v>
      </c>
      <c r="L23" s="141">
        <f t="shared" si="1"/>
        <v>0.11666666669771075</v>
      </c>
      <c r="M23" s="142">
        <f t="shared" si="2"/>
        <v>7</v>
      </c>
      <c r="N23" s="143" t="s">
        <v>135</v>
      </c>
      <c r="O23" s="143" t="s">
        <v>133</v>
      </c>
      <c r="P23" s="145" t="str">
        <f t="shared" si="3"/>
        <v>--</v>
      </c>
      <c r="Q23" s="146" t="str">
        <f t="shared" si="4"/>
        <v>--</v>
      </c>
      <c r="R23" s="147">
        <f t="shared" si="5"/>
        <v>4639.974450000001</v>
      </c>
      <c r="S23" s="147" t="str">
        <f t="shared" si="6"/>
        <v>--</v>
      </c>
      <c r="T23" s="148" t="str">
        <f t="shared" si="7"/>
        <v>--</v>
      </c>
      <c r="U23" s="149" t="str">
        <f t="shared" si="8"/>
        <v>--</v>
      </c>
      <c r="V23" s="149" t="str">
        <f t="shared" si="9"/>
        <v>--</v>
      </c>
      <c r="W23" s="150" t="str">
        <f t="shared" si="10"/>
        <v>--</v>
      </c>
      <c r="X23" s="151" t="str">
        <f t="shared" si="11"/>
        <v>--</v>
      </c>
      <c r="Y23" s="152" t="str">
        <f t="shared" si="12"/>
        <v>--</v>
      </c>
      <c r="Z23" s="153" t="str">
        <f t="shared" si="13"/>
        <v>SI</v>
      </c>
      <c r="AA23" s="154">
        <f t="shared" si="14"/>
        <v>4639.974450000001</v>
      </c>
      <c r="AB23" s="155"/>
    </row>
    <row r="24" spans="2:28" s="10" customFormat="1" ht="16.5" customHeight="1">
      <c r="B24" s="44"/>
      <c r="C24" s="128">
        <v>4</v>
      </c>
      <c r="D24" s="128">
        <v>278559</v>
      </c>
      <c r="E24" s="128">
        <v>699</v>
      </c>
      <c r="F24" s="126" t="s">
        <v>136</v>
      </c>
      <c r="G24" s="126">
        <v>132</v>
      </c>
      <c r="H24" s="138">
        <v>41.95000076293945</v>
      </c>
      <c r="I24" s="139">
        <f t="shared" si="0"/>
        <v>193.67853902240753</v>
      </c>
      <c r="J24" s="140">
        <v>41889.40625</v>
      </c>
      <c r="K24" s="140">
        <v>41889.415972222225</v>
      </c>
      <c r="L24" s="141">
        <f t="shared" si="1"/>
        <v>0.2333333333954215</v>
      </c>
      <c r="M24" s="142">
        <f t="shared" si="2"/>
        <v>14</v>
      </c>
      <c r="N24" s="143" t="s">
        <v>135</v>
      </c>
      <c r="O24" s="143" t="s">
        <v>133</v>
      </c>
      <c r="P24" s="145" t="str">
        <f t="shared" si="3"/>
        <v>--</v>
      </c>
      <c r="Q24" s="146" t="str">
        <f t="shared" si="4"/>
        <v>--</v>
      </c>
      <c r="R24" s="147">
        <f t="shared" si="5"/>
        <v>5810.356170672226</v>
      </c>
      <c r="S24" s="147">
        <f t="shared" si="6"/>
        <v>1336.381919254612</v>
      </c>
      <c r="T24" s="148" t="str">
        <f t="shared" si="7"/>
        <v>--</v>
      </c>
      <c r="U24" s="149" t="str">
        <f t="shared" si="8"/>
        <v>--</v>
      </c>
      <c r="V24" s="149" t="str">
        <f t="shared" si="9"/>
        <v>--</v>
      </c>
      <c r="W24" s="150" t="str">
        <f t="shared" si="10"/>
        <v>--</v>
      </c>
      <c r="X24" s="151" t="str">
        <f t="shared" si="11"/>
        <v>--</v>
      </c>
      <c r="Y24" s="152" t="str">
        <f t="shared" si="12"/>
        <v>--</v>
      </c>
      <c r="Z24" s="153" t="str">
        <f t="shared" si="13"/>
        <v>SI</v>
      </c>
      <c r="AA24" s="154">
        <f t="shared" si="14"/>
        <v>7146.738089926837</v>
      </c>
      <c r="AB24" s="155"/>
    </row>
    <row r="25" spans="2:28" s="10" customFormat="1" ht="16.5" customHeight="1">
      <c r="B25" s="44"/>
      <c r="C25" s="128">
        <v>5</v>
      </c>
      <c r="D25" s="128">
        <v>278871</v>
      </c>
      <c r="E25" s="128">
        <v>697</v>
      </c>
      <c r="F25" s="126" t="s">
        <v>137</v>
      </c>
      <c r="G25" s="126">
        <v>220</v>
      </c>
      <c r="H25" s="138">
        <v>177.8699951171875</v>
      </c>
      <c r="I25" s="139">
        <f t="shared" si="0"/>
        <v>859.3984471081544</v>
      </c>
      <c r="J25" s="140">
        <v>41891.41180555556</v>
      </c>
      <c r="K25" s="140">
        <v>41891.77777777778</v>
      </c>
      <c r="L25" s="141">
        <f t="shared" si="1"/>
        <v>8.783333333325572</v>
      </c>
      <c r="M25" s="142">
        <f t="shared" si="2"/>
        <v>527</v>
      </c>
      <c r="N25" s="143" t="s">
        <v>132</v>
      </c>
      <c r="O25" s="143" t="s">
        <v>133</v>
      </c>
      <c r="P25" s="145">
        <f t="shared" si="3"/>
        <v>2263.655509682879</v>
      </c>
      <c r="Q25" s="146" t="str">
        <f t="shared" si="4"/>
        <v>--</v>
      </c>
      <c r="R25" s="147" t="str">
        <f t="shared" si="5"/>
        <v>--</v>
      </c>
      <c r="S25" s="147" t="str">
        <f t="shared" si="6"/>
        <v>--</v>
      </c>
      <c r="T25" s="148" t="str">
        <f t="shared" si="7"/>
        <v>--</v>
      </c>
      <c r="U25" s="149" t="str">
        <f t="shared" si="8"/>
        <v>--</v>
      </c>
      <c r="V25" s="149" t="str">
        <f t="shared" si="9"/>
        <v>--</v>
      </c>
      <c r="W25" s="150" t="str">
        <f t="shared" si="10"/>
        <v>--</v>
      </c>
      <c r="X25" s="151" t="str">
        <f t="shared" si="11"/>
        <v>--</v>
      </c>
      <c r="Y25" s="152" t="str">
        <f t="shared" si="12"/>
        <v>--</v>
      </c>
      <c r="Z25" s="153" t="str">
        <f t="shared" si="13"/>
        <v>SI</v>
      </c>
      <c r="AA25" s="154">
        <f t="shared" si="14"/>
        <v>2263.655509682879</v>
      </c>
      <c r="AB25" s="155"/>
    </row>
    <row r="26" spans="2:28" s="10" customFormat="1" ht="16.5" customHeight="1">
      <c r="B26" s="44"/>
      <c r="C26" s="128">
        <v>6</v>
      </c>
      <c r="D26" s="128">
        <v>278872</v>
      </c>
      <c r="E26" s="128">
        <v>716</v>
      </c>
      <c r="F26" s="126" t="s">
        <v>138</v>
      </c>
      <c r="G26" s="126">
        <v>132</v>
      </c>
      <c r="H26" s="138">
        <v>46.45000076293945</v>
      </c>
      <c r="I26" s="139">
        <f t="shared" si="0"/>
        <v>214.45454402240753</v>
      </c>
      <c r="J26" s="140">
        <v>41896.39722222222</v>
      </c>
      <c r="K26" s="140">
        <v>41896.72708333333</v>
      </c>
      <c r="L26" s="141">
        <f t="shared" si="1"/>
        <v>7.916666666627862</v>
      </c>
      <c r="M26" s="142">
        <f t="shared" si="2"/>
        <v>475</v>
      </c>
      <c r="N26" s="140" t="s">
        <v>132</v>
      </c>
      <c r="O26" s="143" t="s">
        <v>133</v>
      </c>
      <c r="P26" s="145">
        <f t="shared" si="3"/>
        <v>509.54399659724027</v>
      </c>
      <c r="Q26" s="146" t="str">
        <f t="shared" si="4"/>
        <v>--</v>
      </c>
      <c r="R26" s="147" t="str">
        <f t="shared" si="5"/>
        <v>--</v>
      </c>
      <c r="S26" s="147" t="str">
        <f t="shared" si="6"/>
        <v>--</v>
      </c>
      <c r="T26" s="148" t="str">
        <f t="shared" si="7"/>
        <v>--</v>
      </c>
      <c r="U26" s="149" t="str">
        <f t="shared" si="8"/>
        <v>--</v>
      </c>
      <c r="V26" s="149" t="str">
        <f t="shared" si="9"/>
        <v>--</v>
      </c>
      <c r="W26" s="150" t="str">
        <f t="shared" si="10"/>
        <v>--</v>
      </c>
      <c r="X26" s="151" t="str">
        <f t="shared" si="11"/>
        <v>--</v>
      </c>
      <c r="Y26" s="152" t="str">
        <f t="shared" si="12"/>
        <v>--</v>
      </c>
      <c r="Z26" s="153" t="str">
        <f t="shared" si="13"/>
        <v>SI</v>
      </c>
      <c r="AA26" s="154">
        <f t="shared" si="14"/>
        <v>509.54399659724027</v>
      </c>
      <c r="AB26" s="155"/>
    </row>
    <row r="27" spans="2:28" s="10" customFormat="1" ht="16.5" customHeight="1">
      <c r="B27" s="44"/>
      <c r="C27" s="128">
        <v>7</v>
      </c>
      <c r="D27" s="128">
        <v>279160</v>
      </c>
      <c r="E27" s="128">
        <v>697</v>
      </c>
      <c r="F27" s="126" t="s">
        <v>137</v>
      </c>
      <c r="G27" s="126">
        <v>220</v>
      </c>
      <c r="H27" s="138">
        <v>177.8699951171875</v>
      </c>
      <c r="I27" s="139">
        <f t="shared" si="0"/>
        <v>859.3984471081544</v>
      </c>
      <c r="J27" s="140">
        <v>41897.37013888889</v>
      </c>
      <c r="K27" s="140">
        <v>41897.775</v>
      </c>
      <c r="L27" s="141">
        <f t="shared" si="1"/>
        <v>9.716666666732635</v>
      </c>
      <c r="M27" s="142">
        <f t="shared" si="2"/>
        <v>583</v>
      </c>
      <c r="N27" s="140" t="s">
        <v>132</v>
      </c>
      <c r="O27" s="143" t="s">
        <v>133</v>
      </c>
      <c r="P27" s="145">
        <f t="shared" si="3"/>
        <v>2506.0058717673783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 t="str">
        <f t="shared" si="13"/>
        <v>SI</v>
      </c>
      <c r="AA27" s="154">
        <f t="shared" si="14"/>
        <v>2506.0058717673783</v>
      </c>
      <c r="AB27" s="155"/>
    </row>
    <row r="28" spans="2:28" s="10" customFormat="1" ht="16.5" customHeight="1">
      <c r="B28" s="44"/>
      <c r="C28" s="128">
        <v>8</v>
      </c>
      <c r="D28" s="128">
        <v>279162</v>
      </c>
      <c r="E28" s="128">
        <v>697</v>
      </c>
      <c r="F28" s="126" t="s">
        <v>137</v>
      </c>
      <c r="G28" s="126">
        <v>220</v>
      </c>
      <c r="H28" s="138">
        <v>177.8699951171875</v>
      </c>
      <c r="I28" s="139">
        <f t="shared" si="0"/>
        <v>859.3984471081544</v>
      </c>
      <c r="J28" s="140">
        <v>41899.47708333333</v>
      </c>
      <c r="K28" s="140">
        <v>41899.79791666667</v>
      </c>
      <c r="L28" s="141">
        <f t="shared" si="1"/>
        <v>7.700000000128057</v>
      </c>
      <c r="M28" s="142">
        <f t="shared" si="2"/>
        <v>462</v>
      </c>
      <c r="N28" s="140" t="s">
        <v>132</v>
      </c>
      <c r="O28" s="143" t="s">
        <v>133</v>
      </c>
      <c r="P28" s="145">
        <f t="shared" si="3"/>
        <v>1985.2104128198366</v>
      </c>
      <c r="Q28" s="146" t="str">
        <f t="shared" si="4"/>
        <v>--</v>
      </c>
      <c r="R28" s="147" t="str">
        <f t="shared" si="5"/>
        <v>--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 t="str">
        <f t="shared" si="13"/>
        <v>SI</v>
      </c>
      <c r="AA28" s="154">
        <f t="shared" si="14"/>
        <v>1985.2104128198366</v>
      </c>
      <c r="AB28" s="155"/>
    </row>
    <row r="29" spans="2:28" s="10" customFormat="1" ht="16.5" customHeight="1">
      <c r="B29" s="44"/>
      <c r="C29" s="128">
        <v>9</v>
      </c>
      <c r="D29" s="128">
        <v>279163</v>
      </c>
      <c r="E29" s="128">
        <v>706</v>
      </c>
      <c r="F29" s="126" t="s">
        <v>139</v>
      </c>
      <c r="G29" s="126">
        <v>220</v>
      </c>
      <c r="H29" s="138">
        <v>171.60000610351562</v>
      </c>
      <c r="I29" s="139">
        <f t="shared" si="0"/>
        <v>829.1043054898072</v>
      </c>
      <c r="J29" s="140">
        <v>41900.36875</v>
      </c>
      <c r="K29" s="140">
        <v>41900.763194444444</v>
      </c>
      <c r="L29" s="141">
        <f t="shared" si="1"/>
        <v>9.46666666661622</v>
      </c>
      <c r="M29" s="142">
        <f t="shared" si="2"/>
        <v>568</v>
      </c>
      <c r="N29" s="140" t="s">
        <v>132</v>
      </c>
      <c r="O29" s="143" t="s">
        <v>133</v>
      </c>
      <c r="P29" s="145">
        <f t="shared" si="3"/>
        <v>2355.4853318965424</v>
      </c>
      <c r="Q29" s="146" t="str">
        <f t="shared" si="4"/>
        <v>--</v>
      </c>
      <c r="R29" s="147" t="str">
        <f t="shared" si="5"/>
        <v>--</v>
      </c>
      <c r="S29" s="147" t="str">
        <f t="shared" si="6"/>
        <v>--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 t="str">
        <f t="shared" si="13"/>
        <v>SI</v>
      </c>
      <c r="AA29" s="154">
        <f t="shared" si="14"/>
        <v>2355.4853318965424</v>
      </c>
      <c r="AB29" s="155"/>
    </row>
    <row r="30" spans="2:28" s="10" customFormat="1" ht="16.5" customHeight="1">
      <c r="B30" s="44"/>
      <c r="C30" s="128">
        <v>10</v>
      </c>
      <c r="D30" s="128">
        <v>279164</v>
      </c>
      <c r="E30" s="128">
        <v>706</v>
      </c>
      <c r="F30" s="126" t="s">
        <v>139</v>
      </c>
      <c r="G30" s="126">
        <v>220</v>
      </c>
      <c r="H30" s="138">
        <v>171.60000610351562</v>
      </c>
      <c r="I30" s="139">
        <f t="shared" si="0"/>
        <v>829.1043054898072</v>
      </c>
      <c r="J30" s="140">
        <v>41901.36736111111</v>
      </c>
      <c r="K30" s="140">
        <v>41901.74930555555</v>
      </c>
      <c r="L30" s="141">
        <f t="shared" si="1"/>
        <v>9.16666666668607</v>
      </c>
      <c r="M30" s="142">
        <f t="shared" si="2"/>
        <v>550</v>
      </c>
      <c r="N30" s="140" t="s">
        <v>132</v>
      </c>
      <c r="O30" s="143" t="s">
        <v>133</v>
      </c>
      <c r="P30" s="145">
        <f t="shared" si="3"/>
        <v>2280.8659444024597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 t="str">
        <f t="shared" si="13"/>
        <v>SI</v>
      </c>
      <c r="AA30" s="154">
        <f t="shared" si="14"/>
        <v>2280.8659444024597</v>
      </c>
      <c r="AB30" s="155"/>
    </row>
    <row r="31" spans="2:28" s="10" customFormat="1" ht="16.5" customHeight="1">
      <c r="B31" s="44"/>
      <c r="C31" s="128">
        <v>11</v>
      </c>
      <c r="D31" s="128">
        <v>279165</v>
      </c>
      <c r="E31" s="128">
        <v>706</v>
      </c>
      <c r="F31" s="126" t="s">
        <v>139</v>
      </c>
      <c r="G31" s="126">
        <v>220</v>
      </c>
      <c r="H31" s="138">
        <v>171.60000610351562</v>
      </c>
      <c r="I31" s="139">
        <f t="shared" si="0"/>
        <v>829.1043054898072</v>
      </c>
      <c r="J31" s="140">
        <v>41902.342361111114</v>
      </c>
      <c r="K31" s="140">
        <v>41902.75833333333</v>
      </c>
      <c r="L31" s="141">
        <f t="shared" si="1"/>
        <v>9.983333333220799</v>
      </c>
      <c r="M31" s="142">
        <f t="shared" si="2"/>
        <v>599</v>
      </c>
      <c r="N31" s="140" t="s">
        <v>132</v>
      </c>
      <c r="O31" s="143" t="s">
        <v>133</v>
      </c>
      <c r="P31" s="145">
        <f t="shared" si="3"/>
        <v>2482.338290636483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 t="str">
        <f t="shared" si="13"/>
        <v>SI</v>
      </c>
      <c r="AA31" s="154">
        <f t="shared" si="14"/>
        <v>2482.338290636483</v>
      </c>
      <c r="AB31" s="155"/>
    </row>
    <row r="32" spans="2:28" s="10" customFormat="1" ht="16.5" customHeight="1">
      <c r="B32" s="44"/>
      <c r="C32" s="128">
        <v>12</v>
      </c>
      <c r="D32" s="128">
        <v>279396</v>
      </c>
      <c r="E32" s="128">
        <v>706</v>
      </c>
      <c r="F32" s="126" t="s">
        <v>139</v>
      </c>
      <c r="G32" s="126">
        <v>220</v>
      </c>
      <c r="H32" s="138">
        <v>171.60000610351562</v>
      </c>
      <c r="I32" s="139">
        <f t="shared" si="0"/>
        <v>829.1043054898072</v>
      </c>
      <c r="J32" s="140">
        <v>41904.36388888889</v>
      </c>
      <c r="K32" s="140">
        <v>41904.75833333333</v>
      </c>
      <c r="L32" s="141">
        <f t="shared" si="1"/>
        <v>9.46666666661622</v>
      </c>
      <c r="M32" s="142">
        <f t="shared" si="2"/>
        <v>568</v>
      </c>
      <c r="N32" s="140" t="s">
        <v>132</v>
      </c>
      <c r="O32" s="143" t="s">
        <v>133</v>
      </c>
      <c r="P32" s="145">
        <f t="shared" si="3"/>
        <v>2355.4853318965424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 t="str">
        <f t="shared" si="13"/>
        <v>SI</v>
      </c>
      <c r="AA32" s="154">
        <f t="shared" si="14"/>
        <v>2355.4853318965424</v>
      </c>
      <c r="AB32" s="155"/>
    </row>
    <row r="33" spans="2:28" s="10" customFormat="1" ht="16.5" customHeight="1">
      <c r="B33" s="44"/>
      <c r="C33" s="128">
        <v>13</v>
      </c>
      <c r="D33" s="128">
        <v>279398</v>
      </c>
      <c r="E33" s="128">
        <v>706</v>
      </c>
      <c r="F33" s="126" t="s">
        <v>139</v>
      </c>
      <c r="G33" s="126">
        <v>220</v>
      </c>
      <c r="H33" s="138">
        <v>171.60000610351562</v>
      </c>
      <c r="I33" s="139">
        <f t="shared" si="0"/>
        <v>829.1043054898072</v>
      </c>
      <c r="J33" s="140">
        <v>41905.34444444445</v>
      </c>
      <c r="K33" s="140">
        <v>41905.78055555555</v>
      </c>
      <c r="L33" s="141">
        <f t="shared" si="1"/>
        <v>10.466666666558012</v>
      </c>
      <c r="M33" s="142">
        <f t="shared" si="2"/>
        <v>628</v>
      </c>
      <c r="N33" s="140" t="s">
        <v>132</v>
      </c>
      <c r="O33" s="143" t="s">
        <v>133</v>
      </c>
      <c r="P33" s="145">
        <f t="shared" si="3"/>
        <v>2604.2166235434847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 t="str">
        <f t="shared" si="13"/>
        <v>SI</v>
      </c>
      <c r="AA33" s="154">
        <f t="shared" si="14"/>
        <v>2604.2166235434847</v>
      </c>
      <c r="AB33" s="155"/>
    </row>
    <row r="34" spans="2:28" s="10" customFormat="1" ht="16.5" customHeight="1">
      <c r="B34" s="156"/>
      <c r="C34" s="128">
        <v>14</v>
      </c>
      <c r="D34" s="128">
        <v>279397</v>
      </c>
      <c r="E34" s="128">
        <v>706</v>
      </c>
      <c r="F34" s="126" t="s">
        <v>139</v>
      </c>
      <c r="G34" s="126">
        <v>220</v>
      </c>
      <c r="H34" s="138">
        <v>171.60000610351562</v>
      </c>
      <c r="I34" s="139">
        <f t="shared" si="0"/>
        <v>829.1043054898072</v>
      </c>
      <c r="J34" s="140">
        <v>41906.368055555555</v>
      </c>
      <c r="K34" s="140">
        <v>41906.760416666664</v>
      </c>
      <c r="L34" s="141">
        <f t="shared" si="1"/>
        <v>9.416666666627862</v>
      </c>
      <c r="M34" s="142">
        <f t="shared" si="2"/>
        <v>565</v>
      </c>
      <c r="N34" s="140" t="s">
        <v>132</v>
      </c>
      <c r="O34" s="143" t="s">
        <v>133</v>
      </c>
      <c r="P34" s="145">
        <f t="shared" si="3"/>
        <v>2343.048767314195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 t="str">
        <f t="shared" si="13"/>
        <v>SI</v>
      </c>
      <c r="AA34" s="154">
        <f t="shared" si="14"/>
        <v>2343.048767314195</v>
      </c>
      <c r="AB34" s="155"/>
    </row>
    <row r="35" spans="2:28" s="10" customFormat="1" ht="16.5" customHeight="1">
      <c r="B35" s="156"/>
      <c r="C35" s="128">
        <v>15</v>
      </c>
      <c r="D35" s="128">
        <v>279399</v>
      </c>
      <c r="E35" s="128">
        <v>706</v>
      </c>
      <c r="F35" s="126" t="s">
        <v>139</v>
      </c>
      <c r="G35" s="126">
        <v>220</v>
      </c>
      <c r="H35" s="138">
        <v>171.60000610351562</v>
      </c>
      <c r="I35" s="139">
        <f t="shared" si="0"/>
        <v>829.1043054898072</v>
      </c>
      <c r="J35" s="140">
        <v>41907.35763888889</v>
      </c>
      <c r="K35" s="140">
        <v>41907.775</v>
      </c>
      <c r="L35" s="141">
        <f t="shared" si="1"/>
        <v>10.016666666662786</v>
      </c>
      <c r="M35" s="142">
        <f t="shared" si="2"/>
        <v>601</v>
      </c>
      <c r="N35" s="140" t="s">
        <v>132</v>
      </c>
      <c r="O35" s="143" t="s">
        <v>133</v>
      </c>
      <c r="P35" s="145">
        <f t="shared" si="3"/>
        <v>2492.28754230236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 t="str">
        <f t="shared" si="13"/>
        <v>SI</v>
      </c>
      <c r="AA35" s="154">
        <f t="shared" si="14"/>
        <v>2492.28754230236</v>
      </c>
      <c r="AB35" s="155"/>
    </row>
    <row r="36" spans="2:28" s="10" customFormat="1" ht="16.5" customHeight="1">
      <c r="B36" s="156"/>
      <c r="C36" s="128">
        <v>16</v>
      </c>
      <c r="D36" s="128">
        <v>279400</v>
      </c>
      <c r="E36" s="128">
        <v>706</v>
      </c>
      <c r="F36" s="126" t="s">
        <v>139</v>
      </c>
      <c r="G36" s="126">
        <v>220</v>
      </c>
      <c r="H36" s="138">
        <v>171.60000610351562</v>
      </c>
      <c r="I36" s="139">
        <f t="shared" si="0"/>
        <v>829.1043054898072</v>
      </c>
      <c r="J36" s="140">
        <v>41908.37777777778</v>
      </c>
      <c r="K36" s="140">
        <v>41908.77916666667</v>
      </c>
      <c r="L36" s="141">
        <f t="shared" si="1"/>
        <v>9.63333333330229</v>
      </c>
      <c r="M36" s="142">
        <f t="shared" si="2"/>
        <v>578</v>
      </c>
      <c r="N36" s="140" t="s">
        <v>132</v>
      </c>
      <c r="O36" s="143" t="s">
        <v>133</v>
      </c>
      <c r="P36" s="145">
        <f t="shared" si="3"/>
        <v>2395.282338560053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 t="str">
        <f t="shared" si="13"/>
        <v>SI</v>
      </c>
      <c r="AA36" s="154">
        <f t="shared" si="14"/>
        <v>2395.282338560053</v>
      </c>
      <c r="AB36" s="155"/>
    </row>
    <row r="37" spans="2:28" s="10" customFormat="1" ht="16.5" customHeight="1">
      <c r="B37" s="156"/>
      <c r="C37" s="128">
        <v>17</v>
      </c>
      <c r="D37" s="128">
        <v>279401</v>
      </c>
      <c r="E37" s="128">
        <v>706</v>
      </c>
      <c r="F37" s="126" t="s">
        <v>139</v>
      </c>
      <c r="G37" s="126">
        <v>220</v>
      </c>
      <c r="H37" s="138">
        <v>171.60000610351562</v>
      </c>
      <c r="I37" s="139">
        <f t="shared" si="0"/>
        <v>829.1043054898072</v>
      </c>
      <c r="J37" s="140">
        <v>41909.35902777778</v>
      </c>
      <c r="K37" s="140">
        <v>41909.760416666664</v>
      </c>
      <c r="L37" s="141">
        <f t="shared" si="1"/>
        <v>9.63333333330229</v>
      </c>
      <c r="M37" s="142">
        <f t="shared" si="2"/>
        <v>578</v>
      </c>
      <c r="N37" s="140" t="s">
        <v>132</v>
      </c>
      <c r="O37" s="143" t="s">
        <v>133</v>
      </c>
      <c r="P37" s="145">
        <f t="shared" si="3"/>
        <v>2395.282338560053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 t="str">
        <f t="shared" si="13"/>
        <v>SI</v>
      </c>
      <c r="AA37" s="154">
        <f t="shared" si="14"/>
        <v>2395.282338560053</v>
      </c>
      <c r="AB37" s="155"/>
    </row>
    <row r="38" spans="2:28" s="10" customFormat="1" ht="16.5" customHeight="1">
      <c r="B38" s="156"/>
      <c r="C38" s="128">
        <v>18</v>
      </c>
      <c r="D38" s="128">
        <v>279542</v>
      </c>
      <c r="E38" s="128">
        <v>705</v>
      </c>
      <c r="F38" s="126" t="s">
        <v>140</v>
      </c>
      <c r="G38" s="126">
        <v>132</v>
      </c>
      <c r="H38" s="138">
        <v>18.079999923706055</v>
      </c>
      <c r="I38" s="139">
        <f t="shared" si="0"/>
        <v>115.42225</v>
      </c>
      <c r="J38" s="140">
        <v>41912.33263888889</v>
      </c>
      <c r="K38" s="140">
        <v>41912.55486111111</v>
      </c>
      <c r="L38" s="141">
        <f t="shared" si="1"/>
        <v>5.333333333255723</v>
      </c>
      <c r="M38" s="142">
        <f t="shared" si="2"/>
        <v>320</v>
      </c>
      <c r="N38" s="140" t="s">
        <v>135</v>
      </c>
      <c r="O38" s="143" t="s">
        <v>133</v>
      </c>
      <c r="P38" s="145" t="str">
        <f t="shared" si="3"/>
        <v>--</v>
      </c>
      <c r="Q38" s="146" t="str">
        <f t="shared" si="4"/>
        <v>--</v>
      </c>
      <c r="R38" s="147">
        <f t="shared" si="5"/>
        <v>3462.6675</v>
      </c>
      <c r="S38" s="147">
        <f t="shared" si="6"/>
        <v>10388.0025</v>
      </c>
      <c r="T38" s="148">
        <f t="shared" si="7"/>
        <v>806.8015275000001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 t="str">
        <f t="shared" si="13"/>
        <v>SI</v>
      </c>
      <c r="AA38" s="154">
        <f t="shared" si="14"/>
        <v>14657.4715275</v>
      </c>
      <c r="AB38" s="155"/>
    </row>
    <row r="39" spans="2:28" s="10" customFormat="1" ht="16.5" customHeight="1">
      <c r="B39" s="156"/>
      <c r="C39" s="128"/>
      <c r="D39" s="128"/>
      <c r="E39" s="128"/>
      <c r="F39" s="126"/>
      <c r="G39" s="126"/>
      <c r="H39" s="138"/>
      <c r="I39" s="139" t="e">
        <f t="shared" si="0"/>
        <v>#VALUE!</v>
      </c>
      <c r="J39" s="140"/>
      <c r="K39" s="140"/>
      <c r="L39" s="141">
        <f t="shared" si="1"/>
      </c>
      <c r="M39" s="142">
        <f t="shared" si="2"/>
      </c>
      <c r="N39" s="140"/>
      <c r="O39" s="144">
        <f>IF(F39="","","--")</f>
      </c>
      <c r="P39" s="145" t="str">
        <f t="shared" si="3"/>
        <v>--</v>
      </c>
      <c r="Q39" s="146" t="str">
        <f t="shared" si="4"/>
        <v>--</v>
      </c>
      <c r="R39" s="147" t="str">
        <f t="shared" si="5"/>
        <v>--</v>
      </c>
      <c r="S39" s="147" t="str">
        <f t="shared" si="6"/>
        <v>--</v>
      </c>
      <c r="T39" s="148" t="str">
        <f t="shared" si="7"/>
        <v>--</v>
      </c>
      <c r="U39" s="149" t="str">
        <f t="shared" si="8"/>
        <v>--</v>
      </c>
      <c r="V39" s="149" t="str">
        <f t="shared" si="9"/>
        <v>--</v>
      </c>
      <c r="W39" s="150" t="str">
        <f t="shared" si="10"/>
        <v>--</v>
      </c>
      <c r="X39" s="151" t="str">
        <f t="shared" si="11"/>
        <v>--</v>
      </c>
      <c r="Y39" s="152" t="str">
        <f t="shared" si="12"/>
        <v>--</v>
      </c>
      <c r="Z39" s="153">
        <f t="shared" si="13"/>
      </c>
      <c r="AA39" s="154">
        <f t="shared" si="14"/>
      </c>
      <c r="AB39" s="155"/>
    </row>
    <row r="40" spans="2:28" s="10" customFormat="1" ht="16.5" customHeight="1">
      <c r="B40" s="156"/>
      <c r="C40" s="128"/>
      <c r="D40" s="128"/>
      <c r="E40" s="128"/>
      <c r="F40" s="126"/>
      <c r="G40" s="126"/>
      <c r="H40" s="138"/>
      <c r="I40" s="139" t="e">
        <f t="shared" si="0"/>
        <v>#VALUE!</v>
      </c>
      <c r="J40" s="140"/>
      <c r="K40" s="140"/>
      <c r="L40" s="141">
        <f t="shared" si="1"/>
      </c>
      <c r="M40" s="142">
        <f t="shared" si="2"/>
      </c>
      <c r="N40" s="140"/>
      <c r="O40" s="144">
        <f>IF(F40="","","--")</f>
      </c>
      <c r="P40" s="145" t="str">
        <f t="shared" si="3"/>
        <v>--</v>
      </c>
      <c r="Q40" s="146" t="str">
        <f t="shared" si="4"/>
        <v>--</v>
      </c>
      <c r="R40" s="147" t="str">
        <f t="shared" si="5"/>
        <v>--</v>
      </c>
      <c r="S40" s="147" t="str">
        <f t="shared" si="6"/>
        <v>--</v>
      </c>
      <c r="T40" s="148" t="str">
        <f t="shared" si="7"/>
        <v>--</v>
      </c>
      <c r="U40" s="149" t="str">
        <f t="shared" si="8"/>
        <v>--</v>
      </c>
      <c r="V40" s="149" t="str">
        <f t="shared" si="9"/>
        <v>--</v>
      </c>
      <c r="W40" s="150" t="str">
        <f t="shared" si="10"/>
        <v>--</v>
      </c>
      <c r="X40" s="151" t="str">
        <f t="shared" si="11"/>
        <v>--</v>
      </c>
      <c r="Y40" s="152" t="str">
        <f t="shared" si="12"/>
        <v>--</v>
      </c>
      <c r="Z40" s="153">
        <f t="shared" si="13"/>
      </c>
      <c r="AA40" s="154">
        <f t="shared" si="14"/>
      </c>
      <c r="AB40" s="155"/>
    </row>
    <row r="41" spans="2:28" s="10" customFormat="1" ht="16.5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6.5" customHeight="1" thickBot="1" thickTop="1">
      <c r="B42" s="44"/>
      <c r="C42" s="172" t="s">
        <v>73</v>
      </c>
      <c r="D42" s="419" t="s">
        <v>159</v>
      </c>
      <c r="E42" s="187"/>
      <c r="F42" s="173"/>
      <c r="G42" s="3"/>
      <c r="H42" s="5"/>
      <c r="I42" s="174"/>
      <c r="J42" s="174"/>
      <c r="K42" s="174"/>
      <c r="L42" s="174"/>
      <c r="M42" s="174"/>
      <c r="N42" s="174"/>
      <c r="O42" s="175"/>
      <c r="P42" s="176">
        <f aca="true" t="shared" si="15" ref="P42:Y42">SUM(P19:P41)</f>
        <v>30244.898979753394</v>
      </c>
      <c r="Q42" s="177">
        <f t="shared" si="15"/>
        <v>0</v>
      </c>
      <c r="R42" s="178">
        <f t="shared" si="15"/>
        <v>13912.998120672226</v>
      </c>
      <c r="S42" s="178">
        <f t="shared" si="15"/>
        <v>11724.384419254613</v>
      </c>
      <c r="T42" s="178">
        <f t="shared" si="15"/>
        <v>806.8015275000001</v>
      </c>
      <c r="U42" s="179">
        <f t="shared" si="15"/>
        <v>0</v>
      </c>
      <c r="V42" s="179">
        <f t="shared" si="15"/>
        <v>0</v>
      </c>
      <c r="W42" s="179">
        <f t="shared" si="15"/>
        <v>0</v>
      </c>
      <c r="X42" s="180">
        <f t="shared" si="15"/>
        <v>0</v>
      </c>
      <c r="Y42" s="181">
        <f t="shared" si="15"/>
        <v>0</v>
      </c>
      <c r="Z42" s="182"/>
      <c r="AA42" s="183">
        <f>ROUND(SUM(AA19:AA41),2)</f>
        <v>56689.08</v>
      </c>
      <c r="AB42" s="184"/>
    </row>
    <row r="43" spans="2:28" s="185" customFormat="1" ht="9.75" thickTop="1">
      <c r="B43" s="186"/>
      <c r="C43" s="187"/>
      <c r="D43" s="187"/>
      <c r="E43" s="187"/>
      <c r="F43" s="188"/>
      <c r="G43" s="189"/>
      <c r="H43" s="190"/>
      <c r="I43" s="191"/>
      <c r="J43" s="191"/>
      <c r="K43" s="191"/>
      <c r="L43" s="191"/>
      <c r="M43" s="191"/>
      <c r="N43" s="191"/>
      <c r="O43" s="192"/>
      <c r="P43" s="193"/>
      <c r="Q43" s="193"/>
      <c r="R43" s="194"/>
      <c r="S43" s="194"/>
      <c r="T43" s="195"/>
      <c r="U43" s="195"/>
      <c r="V43" s="195"/>
      <c r="W43" s="195"/>
      <c r="X43" s="195"/>
      <c r="Y43" s="195"/>
      <c r="Z43" s="195"/>
      <c r="AA43" s="196"/>
      <c r="AB43" s="197"/>
    </row>
    <row r="44" spans="2:28" s="10" customFormat="1" ht="16.5" customHeight="1" thickBot="1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</row>
    <row r="45" spans="2:28" ht="13.5" thickTop="1">
      <c r="B45" s="201"/>
      <c r="AB45" s="201"/>
    </row>
    <row r="90" ht="12.75">
      <c r="B90" s="20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D45"/>
  <sheetViews>
    <sheetView zoomScale="75" zoomScaleNormal="75" zoomScalePageLayoutView="0" workbookViewId="0" topLeftCell="A10">
      <selection activeCell="G25" sqref="G25"/>
    </sheetView>
  </sheetViews>
  <sheetFormatPr defaultColWidth="11.421875" defaultRowHeight="12.75"/>
  <cols>
    <col min="1" max="1" width="20.8515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2.00390625" style="1" customWidth="1"/>
    <col min="10" max="10" width="7.7109375" style="1" hidden="1" customWidth="1"/>
    <col min="11" max="12" width="16.4218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396"/>
    </row>
    <row r="2" spans="2:30" s="6" customFormat="1" ht="26.25">
      <c r="B2" s="68" t="str">
        <f>+'TOT-0914'!B2</f>
        <v>ANEXO IV al Memorandum D.T.E.E. N°    306   / 2015</v>
      </c>
      <c r="C2" s="203"/>
      <c r="D2" s="203"/>
      <c r="E2" s="203"/>
      <c r="F2" s="203"/>
      <c r="G2" s="9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0" customFormat="1" ht="12" customHeight="1">
      <c r="B3" s="69"/>
      <c r="C3" s="204"/>
      <c r="D3" s="204"/>
      <c r="E3" s="204"/>
      <c r="F3" s="204"/>
      <c r="G3" s="1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30" s="13" customFormat="1" ht="11.25">
      <c r="A4" s="205" t="s">
        <v>3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s="13" customFormat="1" ht="11.25">
      <c r="A5" s="205" t="s">
        <v>4</v>
      </c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2:30" s="10" customFormat="1" ht="16.5" customHeight="1" thickBo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2:30" s="10" customFormat="1" ht="16.5" customHeight="1" thickTop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1"/>
    </row>
    <row r="8" spans="2:30" s="74" customFormat="1" ht="20.25">
      <c r="B8" s="212"/>
      <c r="C8" s="213"/>
      <c r="D8" s="213"/>
      <c r="E8" s="213"/>
      <c r="F8" s="214" t="s">
        <v>14</v>
      </c>
      <c r="H8" s="213"/>
      <c r="I8" s="215"/>
      <c r="J8" s="215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6"/>
    </row>
    <row r="9" spans="2:30" s="10" customFormat="1" ht="16.5" customHeight="1">
      <c r="B9" s="217"/>
      <c r="C9" s="64"/>
      <c r="D9" s="64"/>
      <c r="E9" s="64"/>
      <c r="F9" s="64"/>
      <c r="G9" s="64"/>
      <c r="H9" s="64"/>
      <c r="I9" s="20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8"/>
    </row>
    <row r="10" spans="2:30" s="74" customFormat="1" ht="20.25">
      <c r="B10" s="212"/>
      <c r="C10" s="213"/>
      <c r="D10" s="213"/>
      <c r="E10" s="213"/>
      <c r="F10" s="214" t="s">
        <v>37</v>
      </c>
      <c r="G10" s="213"/>
      <c r="H10" s="213"/>
      <c r="I10" s="215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6"/>
    </row>
    <row r="11" spans="2:30" s="10" customFormat="1" ht="16.5" customHeight="1">
      <c r="B11" s="217"/>
      <c r="C11" s="64"/>
      <c r="D11" s="64"/>
      <c r="E11" s="64"/>
      <c r="F11" s="219"/>
      <c r="G11" s="64"/>
      <c r="H11" s="64"/>
      <c r="I11" s="20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8"/>
    </row>
    <row r="12" spans="2:30" s="74" customFormat="1" ht="20.25">
      <c r="B12" s="212"/>
      <c r="C12" s="213"/>
      <c r="D12" s="213"/>
      <c r="E12" s="213"/>
      <c r="F12" s="220" t="s">
        <v>38</v>
      </c>
      <c r="G12" s="214"/>
      <c r="H12" s="215"/>
      <c r="I12" s="215"/>
      <c r="J12" s="221"/>
      <c r="K12" s="213"/>
      <c r="L12" s="215"/>
      <c r="M12" s="215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6"/>
    </row>
    <row r="13" spans="2:30" s="10" customFormat="1" ht="16.5" customHeight="1">
      <c r="B13" s="217"/>
      <c r="C13" s="64"/>
      <c r="D13" s="64"/>
      <c r="E13" s="64"/>
      <c r="F13" s="222"/>
      <c r="G13" s="222"/>
      <c r="H13" s="222"/>
      <c r="I13" s="223"/>
      <c r="J13" s="22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8"/>
    </row>
    <row r="14" spans="2:30" s="17" customFormat="1" ht="19.5">
      <c r="B14" s="225" t="str">
        <f>+'TOT-0914'!B14</f>
        <v>Desde el 01 al 30 de septiembre de 2014</v>
      </c>
      <c r="C14" s="80"/>
      <c r="D14" s="80"/>
      <c r="E14" s="80"/>
      <c r="F14" s="226"/>
      <c r="G14" s="226"/>
      <c r="H14" s="226"/>
      <c r="I14" s="226"/>
      <c r="J14" s="226"/>
      <c r="K14" s="81"/>
      <c r="L14" s="81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7"/>
    </row>
    <row r="15" spans="2:30" s="10" customFormat="1" ht="16.5" customHeight="1" thickBot="1">
      <c r="B15" s="217"/>
      <c r="C15" s="64"/>
      <c r="D15" s="64"/>
      <c r="E15" s="64"/>
      <c r="F15" s="64"/>
      <c r="G15" s="64"/>
      <c r="H15" s="64"/>
      <c r="I15" s="228"/>
      <c r="J15" s="64"/>
      <c r="K15" s="229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8"/>
    </row>
    <row r="16" spans="2:30" s="10" customFormat="1" ht="16.5" customHeight="1" thickBot="1" thickTop="1">
      <c r="B16" s="217"/>
      <c r="C16" s="64"/>
      <c r="D16" s="64"/>
      <c r="E16" s="64"/>
      <c r="F16" s="230" t="s">
        <v>39</v>
      </c>
      <c r="G16" s="231"/>
      <c r="H16" s="232"/>
      <c r="I16" s="233">
        <v>1.614</v>
      </c>
      <c r="J16" s="208"/>
      <c r="K16" s="233">
        <v>0.2099</v>
      </c>
      <c r="L16" s="64" t="s">
        <v>158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8"/>
    </row>
    <row r="17" spans="2:30" s="10" customFormat="1" ht="16.5" customHeight="1" thickBot="1" thickTop="1">
      <c r="B17" s="217"/>
      <c r="C17" s="64"/>
      <c r="D17" s="64"/>
      <c r="E17" s="64"/>
      <c r="F17" s="234" t="s">
        <v>40</v>
      </c>
      <c r="G17" s="235"/>
      <c r="H17" s="235"/>
      <c r="I17" s="236">
        <f>30*'TOT-0914'!B13</f>
        <v>30</v>
      </c>
      <c r="J17" s="237" t="str">
        <f>IF(I17=30," ",IF(I17=60,"     Coeficiente duplicado por tasa de falla &gt;4 Sal. x año/100 km.","    REVISAR COEFICIENTE"))</f>
        <v> </v>
      </c>
      <c r="K17" s="237" t="str">
        <f>IF(I17=30," ",IF(I17=60,"    Coeficiente duplicado por tasa de falla &gt;4 Sal. x año/100 km.","    REVISAR COEFICIENTE"))</f>
        <v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8"/>
      <c r="X17" s="64"/>
      <c r="Y17" s="238"/>
      <c r="Z17" s="238"/>
      <c r="AA17" s="238"/>
      <c r="AB17" s="238"/>
      <c r="AC17" s="238"/>
      <c r="AD17" s="218"/>
    </row>
    <row r="18" spans="2:30" s="10" customFormat="1" ht="16.5" customHeight="1" thickBot="1" thickTop="1">
      <c r="B18" s="217"/>
      <c r="C18" s="64"/>
      <c r="D18" s="418">
        <v>4</v>
      </c>
      <c r="E18" s="418">
        <v>5</v>
      </c>
      <c r="F18" s="418">
        <v>6</v>
      </c>
      <c r="G18" s="418">
        <v>7</v>
      </c>
      <c r="H18" s="418">
        <v>8</v>
      </c>
      <c r="I18" s="418">
        <v>9</v>
      </c>
      <c r="J18" s="418">
        <v>10</v>
      </c>
      <c r="K18" s="418">
        <v>11</v>
      </c>
      <c r="L18" s="418">
        <v>12</v>
      </c>
      <c r="M18" s="418">
        <v>13</v>
      </c>
      <c r="N18" s="418">
        <v>14</v>
      </c>
      <c r="O18" s="418">
        <v>15</v>
      </c>
      <c r="P18" s="418">
        <v>16</v>
      </c>
      <c r="Q18" s="418">
        <v>17</v>
      </c>
      <c r="R18" s="418">
        <v>18</v>
      </c>
      <c r="S18" s="418">
        <v>19</v>
      </c>
      <c r="T18" s="418">
        <v>20</v>
      </c>
      <c r="U18" s="418">
        <v>21</v>
      </c>
      <c r="V18" s="418">
        <v>22</v>
      </c>
      <c r="W18" s="418">
        <v>23</v>
      </c>
      <c r="X18" s="418">
        <v>24</v>
      </c>
      <c r="Y18" s="418">
        <v>25</v>
      </c>
      <c r="Z18" s="418">
        <v>26</v>
      </c>
      <c r="AA18" s="418">
        <v>27</v>
      </c>
      <c r="AB18" s="418">
        <v>28</v>
      </c>
      <c r="AC18" s="418">
        <v>29</v>
      </c>
      <c r="AD18" s="218"/>
    </row>
    <row r="19" spans="2:30" s="239" customFormat="1" ht="34.5" customHeight="1" thickBot="1" thickTop="1">
      <c r="B19" s="240"/>
      <c r="C19" s="400" t="s">
        <v>20</v>
      </c>
      <c r="D19" s="400" t="s">
        <v>74</v>
      </c>
      <c r="E19" s="400" t="s">
        <v>75</v>
      </c>
      <c r="F19" s="241" t="s">
        <v>41</v>
      </c>
      <c r="G19" s="242" t="s">
        <v>42</v>
      </c>
      <c r="H19" s="243" t="s">
        <v>43</v>
      </c>
      <c r="I19" s="244" t="s">
        <v>21</v>
      </c>
      <c r="J19" s="245" t="s">
        <v>23</v>
      </c>
      <c r="K19" s="242" t="s">
        <v>24</v>
      </c>
      <c r="L19" s="242" t="s">
        <v>25</v>
      </c>
      <c r="M19" s="241" t="s">
        <v>44</v>
      </c>
      <c r="N19" s="241" t="s">
        <v>45</v>
      </c>
      <c r="O19" s="99" t="s">
        <v>72</v>
      </c>
      <c r="P19" s="242" t="s">
        <v>46</v>
      </c>
      <c r="Q19" s="241" t="s">
        <v>28</v>
      </c>
      <c r="R19" s="242" t="s">
        <v>47</v>
      </c>
      <c r="S19" s="246" t="s">
        <v>48</v>
      </c>
      <c r="T19" s="247" t="s">
        <v>29</v>
      </c>
      <c r="U19" s="248" t="s">
        <v>30</v>
      </c>
      <c r="V19" s="249" t="s">
        <v>49</v>
      </c>
      <c r="W19" s="250"/>
      <c r="X19" s="251" t="s">
        <v>50</v>
      </c>
      <c r="Y19" s="252"/>
      <c r="Z19" s="253" t="s">
        <v>33</v>
      </c>
      <c r="AA19" s="254" t="s">
        <v>34</v>
      </c>
      <c r="AB19" s="244" t="s">
        <v>51</v>
      </c>
      <c r="AC19" s="244" t="s">
        <v>36</v>
      </c>
      <c r="AD19" s="255"/>
    </row>
    <row r="20" spans="2:30" s="10" customFormat="1" ht="16.5" customHeight="1" thickTop="1">
      <c r="B20" s="217"/>
      <c r="C20" s="256"/>
      <c r="D20" s="256"/>
      <c r="E20" s="256"/>
      <c r="F20" s="257"/>
      <c r="G20" s="258"/>
      <c r="H20" s="258"/>
      <c r="I20" s="258"/>
      <c r="J20" s="259"/>
      <c r="K20" s="257"/>
      <c r="L20" s="258"/>
      <c r="M20" s="260"/>
      <c r="N20" s="260"/>
      <c r="O20" s="258"/>
      <c r="P20" s="258"/>
      <c r="Q20" s="258"/>
      <c r="R20" s="258"/>
      <c r="S20" s="123"/>
      <c r="T20" s="121"/>
      <c r="U20" s="261"/>
      <c r="V20" s="262"/>
      <c r="W20" s="263"/>
      <c r="X20" s="264"/>
      <c r="Y20" s="265"/>
      <c r="Z20" s="266"/>
      <c r="AA20" s="267"/>
      <c r="AB20" s="258"/>
      <c r="AC20" s="268"/>
      <c r="AD20" s="218"/>
    </row>
    <row r="21" spans="2:30" s="10" customFormat="1" ht="16.5" customHeight="1">
      <c r="B21" s="217"/>
      <c r="C21" s="269"/>
      <c r="D21" s="269"/>
      <c r="E21" s="269"/>
      <c r="F21" s="270"/>
      <c r="G21" s="270"/>
      <c r="H21" s="270"/>
      <c r="I21" s="270"/>
      <c r="J21" s="271"/>
      <c r="K21" s="272"/>
      <c r="L21" s="270"/>
      <c r="M21" s="273"/>
      <c r="N21" s="273"/>
      <c r="O21" s="270"/>
      <c r="P21" s="270"/>
      <c r="Q21" s="270"/>
      <c r="R21" s="270"/>
      <c r="S21" s="136"/>
      <c r="T21" s="134"/>
      <c r="U21" s="274"/>
      <c r="V21" s="275"/>
      <c r="W21" s="276"/>
      <c r="X21" s="277"/>
      <c r="Y21" s="278"/>
      <c r="Z21" s="279"/>
      <c r="AA21" s="280"/>
      <c r="AB21" s="270"/>
      <c r="AC21" s="281"/>
      <c r="AD21" s="218"/>
    </row>
    <row r="22" spans="2:30" s="10" customFormat="1" ht="16.5" customHeight="1">
      <c r="B22" s="217"/>
      <c r="C22" s="269">
        <v>20</v>
      </c>
      <c r="D22" s="269">
        <v>278873</v>
      </c>
      <c r="E22" s="269">
        <v>856</v>
      </c>
      <c r="F22" s="126" t="s">
        <v>142</v>
      </c>
      <c r="G22" s="128" t="s">
        <v>143</v>
      </c>
      <c r="H22" s="282">
        <v>30</v>
      </c>
      <c r="I22" s="138" t="s">
        <v>144</v>
      </c>
      <c r="J22" s="284">
        <f aca="true" t="shared" si="0" ref="J22:J40">H22*$I$16</f>
        <v>48.42</v>
      </c>
      <c r="K22" s="285">
        <v>41890.478472222225</v>
      </c>
      <c r="L22" s="285">
        <v>41890.48125</v>
      </c>
      <c r="M22" s="286">
        <f aca="true" t="shared" si="1" ref="M22:M40">IF(F22="","",(L22-K22)*24)</f>
        <v>0.0666666665347293</v>
      </c>
      <c r="N22" s="287">
        <f aca="true" t="shared" si="2" ref="N22:N40">IF(F22="","",ROUND((L22-K22)*24*60,0))</f>
        <v>4</v>
      </c>
      <c r="O22" s="288" t="s">
        <v>135</v>
      </c>
      <c r="P22" s="288" t="s">
        <v>141</v>
      </c>
      <c r="Q22" s="288" t="s">
        <v>133</v>
      </c>
      <c r="R22" s="288" t="str">
        <f aca="true" t="shared" si="3" ref="R22:R40">IF(F22="","","NO")</f>
        <v>NO</v>
      </c>
      <c r="S22" s="152">
        <f aca="true" t="shared" si="4" ref="S22:S40">$I$17*IF(OR(O22="P",O22="RP"),0.1,1)*IF(R22="SI",1,0.1)</f>
        <v>3</v>
      </c>
      <c r="T22" s="290" t="str">
        <f aca="true" t="shared" si="5" ref="T22:T40">IF(O22="P",J22*S22*ROUND(N22/60,2),"--")</f>
        <v>--</v>
      </c>
      <c r="U22" s="291" t="str">
        <f aca="true" t="shared" si="6" ref="U22:U40">IF(O22="RP",J22*S22*ROUND(N22/60,2)*Q22/100,"--")</f>
        <v>--</v>
      </c>
      <c r="V22" s="292" t="str">
        <f aca="true" t="shared" si="7" ref="V22:V40">IF(AND(O22="F",P22="NO"),J22*S22,"--")</f>
        <v>--</v>
      </c>
      <c r="W22" s="293">
        <f aca="true" t="shared" si="8" ref="W22:W40">IF(O22="F",J22*S22*ROUND(N22/60,2),"--")</f>
        <v>10.1682</v>
      </c>
      <c r="X22" s="294" t="str">
        <f aca="true" t="shared" si="9" ref="X22:X40">IF(AND(O22="R",P22="NO"),J22*S22*Q22/100,"--")</f>
        <v>--</v>
      </c>
      <c r="Y22" s="295" t="str">
        <f aca="true" t="shared" si="10" ref="Y22:Y40">IF(O22="R",J22*S22*ROUND(N22/60,2)*Q22/100,"--")</f>
        <v>--</v>
      </c>
      <c r="Z22" s="296" t="str">
        <f aca="true" t="shared" si="11" ref="Z22:Z40">IF(O22="RF",J22*S22*ROUND(N22/60,2),"--")</f>
        <v>--</v>
      </c>
      <c r="AA22" s="297" t="str">
        <f aca="true" t="shared" si="12" ref="AA22:AA40">IF(O22="RR",J22*S22*ROUND(N22/60,2)*Q22/100,"--")</f>
        <v>--</v>
      </c>
      <c r="AB22" s="288" t="s">
        <v>141</v>
      </c>
      <c r="AC22" s="298">
        <f aca="true" t="shared" si="13" ref="AC22:AC40">IF(F22="","",SUM(T22:AA22)*IF(AB22="SI",1,2))</f>
        <v>10.1682</v>
      </c>
      <c r="AD22" s="299"/>
    </row>
    <row r="23" spans="2:30" s="10" customFormat="1" ht="16.5" customHeight="1">
      <c r="B23" s="217"/>
      <c r="C23" s="269">
        <v>21</v>
      </c>
      <c r="D23" s="269">
        <v>278874</v>
      </c>
      <c r="E23" s="269">
        <v>856</v>
      </c>
      <c r="F23" s="126" t="s">
        <v>142</v>
      </c>
      <c r="G23" s="128" t="s">
        <v>143</v>
      </c>
      <c r="H23" s="282">
        <v>30</v>
      </c>
      <c r="I23" s="138" t="s">
        <v>144</v>
      </c>
      <c r="J23" s="284">
        <f t="shared" si="0"/>
        <v>48.42</v>
      </c>
      <c r="K23" s="285">
        <v>41893.40277777778</v>
      </c>
      <c r="L23" s="285">
        <v>41893.62430555555</v>
      </c>
      <c r="M23" s="286">
        <f t="shared" si="1"/>
        <v>5.316666666534729</v>
      </c>
      <c r="N23" s="287">
        <f t="shared" si="2"/>
        <v>319</v>
      </c>
      <c r="O23" s="288" t="s">
        <v>132</v>
      </c>
      <c r="P23" s="289" t="str">
        <f aca="true" t="shared" si="14" ref="P23:P40">IF(F23="","",IF(OR(O23="P",O23="RP"),"--","NO"))</f>
        <v>--</v>
      </c>
      <c r="Q23" s="288" t="s">
        <v>133</v>
      </c>
      <c r="R23" s="288" t="str">
        <f t="shared" si="3"/>
        <v>NO</v>
      </c>
      <c r="S23" s="152">
        <f t="shared" si="4"/>
        <v>0.30000000000000004</v>
      </c>
      <c r="T23" s="290">
        <f t="shared" si="5"/>
        <v>77.27832000000002</v>
      </c>
      <c r="U23" s="291" t="str">
        <f t="shared" si="6"/>
        <v>--</v>
      </c>
      <c r="V23" s="292" t="str">
        <f t="shared" si="7"/>
        <v>--</v>
      </c>
      <c r="W23" s="293" t="str">
        <f t="shared" si="8"/>
        <v>--</v>
      </c>
      <c r="X23" s="294" t="str">
        <f t="shared" si="9"/>
        <v>--</v>
      </c>
      <c r="Y23" s="295" t="str">
        <f t="shared" si="10"/>
        <v>--</v>
      </c>
      <c r="Z23" s="296" t="str">
        <f t="shared" si="11"/>
        <v>--</v>
      </c>
      <c r="AA23" s="297" t="str">
        <f t="shared" si="12"/>
        <v>--</v>
      </c>
      <c r="AB23" s="288" t="s">
        <v>141</v>
      </c>
      <c r="AC23" s="298">
        <f t="shared" si="13"/>
        <v>77.27832000000002</v>
      </c>
      <c r="AD23" s="218"/>
    </row>
    <row r="24" spans="2:30" s="10" customFormat="1" ht="16.5" customHeight="1">
      <c r="B24" s="217"/>
      <c r="C24" s="269">
        <v>22</v>
      </c>
      <c r="D24" s="269">
        <v>279402</v>
      </c>
      <c r="E24" s="269">
        <v>866</v>
      </c>
      <c r="F24" s="126" t="s">
        <v>145</v>
      </c>
      <c r="G24" s="128" t="s">
        <v>146</v>
      </c>
      <c r="H24" s="282">
        <v>15</v>
      </c>
      <c r="I24" s="138" t="s">
        <v>147</v>
      </c>
      <c r="J24" s="284">
        <f t="shared" si="0"/>
        <v>24.21</v>
      </c>
      <c r="K24" s="285">
        <v>41905.40138888889</v>
      </c>
      <c r="L24" s="285">
        <v>41905.55625</v>
      </c>
      <c r="M24" s="286">
        <f t="shared" si="1"/>
        <v>3.7166666667326353</v>
      </c>
      <c r="N24" s="287">
        <f t="shared" si="2"/>
        <v>223</v>
      </c>
      <c r="O24" s="288" t="s">
        <v>132</v>
      </c>
      <c r="P24" s="289" t="str">
        <f t="shared" si="14"/>
        <v>--</v>
      </c>
      <c r="Q24" s="288" t="s">
        <v>133</v>
      </c>
      <c r="R24" s="288" t="str">
        <f t="shared" si="3"/>
        <v>NO</v>
      </c>
      <c r="S24" s="152">
        <f t="shared" si="4"/>
        <v>0.30000000000000004</v>
      </c>
      <c r="T24" s="290">
        <f t="shared" si="5"/>
        <v>27.01836000000001</v>
      </c>
      <c r="U24" s="291" t="str">
        <f t="shared" si="6"/>
        <v>--</v>
      </c>
      <c r="V24" s="292" t="str">
        <f t="shared" si="7"/>
        <v>--</v>
      </c>
      <c r="W24" s="293" t="str">
        <f t="shared" si="8"/>
        <v>--</v>
      </c>
      <c r="X24" s="294" t="str">
        <f t="shared" si="9"/>
        <v>--</v>
      </c>
      <c r="Y24" s="295" t="str">
        <f t="shared" si="10"/>
        <v>--</v>
      </c>
      <c r="Z24" s="296" t="str">
        <f t="shared" si="11"/>
        <v>--</v>
      </c>
      <c r="AA24" s="297" t="str">
        <f t="shared" si="12"/>
        <v>--</v>
      </c>
      <c r="AB24" s="288" t="s">
        <v>141</v>
      </c>
      <c r="AC24" s="298">
        <f t="shared" si="13"/>
        <v>27.01836000000001</v>
      </c>
      <c r="AD24" s="218"/>
    </row>
    <row r="25" spans="2:30" s="10" customFormat="1" ht="16.5" customHeight="1">
      <c r="B25" s="217"/>
      <c r="C25" s="269">
        <v>23</v>
      </c>
      <c r="D25" s="269">
        <v>279403</v>
      </c>
      <c r="E25" s="269">
        <v>3287</v>
      </c>
      <c r="F25" s="126" t="s">
        <v>145</v>
      </c>
      <c r="G25" s="128" t="s">
        <v>148</v>
      </c>
      <c r="H25" s="282">
        <v>40</v>
      </c>
      <c r="I25" s="138" t="s">
        <v>149</v>
      </c>
      <c r="J25" s="284">
        <f t="shared" si="0"/>
        <v>64.56</v>
      </c>
      <c r="K25" s="285">
        <v>41910.354166666664</v>
      </c>
      <c r="L25" s="285">
        <v>41910.84027777778</v>
      </c>
      <c r="M25" s="286">
        <f t="shared" si="1"/>
        <v>11.666666666802485</v>
      </c>
      <c r="N25" s="287">
        <f t="shared" si="2"/>
        <v>700</v>
      </c>
      <c r="O25" s="288" t="s">
        <v>132</v>
      </c>
      <c r="P25" s="289" t="str">
        <f t="shared" si="14"/>
        <v>--</v>
      </c>
      <c r="Q25" s="288" t="s">
        <v>133</v>
      </c>
      <c r="R25" s="288" t="str">
        <f t="shared" si="3"/>
        <v>NO</v>
      </c>
      <c r="S25" s="152">
        <f t="shared" si="4"/>
        <v>0.30000000000000004</v>
      </c>
      <c r="T25" s="290">
        <f t="shared" si="5"/>
        <v>226.02456000000004</v>
      </c>
      <c r="U25" s="291" t="str">
        <f t="shared" si="6"/>
        <v>--</v>
      </c>
      <c r="V25" s="292" t="str">
        <f t="shared" si="7"/>
        <v>--</v>
      </c>
      <c r="W25" s="293" t="str">
        <f t="shared" si="8"/>
        <v>--</v>
      </c>
      <c r="X25" s="294" t="str">
        <f t="shared" si="9"/>
        <v>--</v>
      </c>
      <c r="Y25" s="295" t="str">
        <f t="shared" si="10"/>
        <v>--</v>
      </c>
      <c r="Z25" s="296" t="str">
        <f t="shared" si="11"/>
        <v>--</v>
      </c>
      <c r="AA25" s="297" t="str">
        <f t="shared" si="12"/>
        <v>--</v>
      </c>
      <c r="AB25" s="288" t="s">
        <v>141</v>
      </c>
      <c r="AC25" s="298">
        <f t="shared" si="13"/>
        <v>226.02456000000004</v>
      </c>
      <c r="AD25" s="218"/>
    </row>
    <row r="26" spans="2:30" s="10" customFormat="1" ht="16.5" customHeight="1">
      <c r="B26" s="217"/>
      <c r="C26" s="269">
        <v>24</v>
      </c>
      <c r="D26" s="269">
        <v>279404</v>
      </c>
      <c r="E26" s="269">
        <v>872</v>
      </c>
      <c r="F26" s="126" t="s">
        <v>150</v>
      </c>
      <c r="G26" s="128" t="s">
        <v>151</v>
      </c>
      <c r="H26" s="282">
        <v>30</v>
      </c>
      <c r="I26" s="138" t="s">
        <v>149</v>
      </c>
      <c r="J26" s="284">
        <f t="shared" si="0"/>
        <v>48.42</v>
      </c>
      <c r="K26" s="285">
        <v>41910.38680555556</v>
      </c>
      <c r="L26" s="285">
        <v>41910.41527777778</v>
      </c>
      <c r="M26" s="286">
        <f t="shared" si="1"/>
        <v>0.6833333332906477</v>
      </c>
      <c r="N26" s="287">
        <f t="shared" si="2"/>
        <v>41</v>
      </c>
      <c r="O26" s="288" t="s">
        <v>132</v>
      </c>
      <c r="P26" s="289" t="str">
        <f t="shared" si="14"/>
        <v>--</v>
      </c>
      <c r="Q26" s="288" t="s">
        <v>133</v>
      </c>
      <c r="R26" s="288" t="str">
        <f t="shared" si="3"/>
        <v>NO</v>
      </c>
      <c r="S26" s="152">
        <f t="shared" si="4"/>
        <v>0.30000000000000004</v>
      </c>
      <c r="T26" s="290">
        <f t="shared" si="5"/>
        <v>9.877680000000003</v>
      </c>
      <c r="U26" s="291" t="str">
        <f t="shared" si="6"/>
        <v>--</v>
      </c>
      <c r="V26" s="292" t="str">
        <f t="shared" si="7"/>
        <v>--</v>
      </c>
      <c r="W26" s="293" t="str">
        <f t="shared" si="8"/>
        <v>--</v>
      </c>
      <c r="X26" s="294" t="str">
        <f t="shared" si="9"/>
        <v>--</v>
      </c>
      <c r="Y26" s="295" t="str">
        <f t="shared" si="10"/>
        <v>--</v>
      </c>
      <c r="Z26" s="296" t="str">
        <f t="shared" si="11"/>
        <v>--</v>
      </c>
      <c r="AA26" s="297" t="str">
        <f t="shared" si="12"/>
        <v>--</v>
      </c>
      <c r="AB26" s="288" t="s">
        <v>141</v>
      </c>
      <c r="AC26" s="298">
        <f t="shared" si="13"/>
        <v>9.877680000000003</v>
      </c>
      <c r="AD26" s="218"/>
    </row>
    <row r="27" spans="2:30" s="10" customFormat="1" ht="16.5" customHeight="1">
      <c r="B27" s="217"/>
      <c r="C27" s="269"/>
      <c r="D27" s="269"/>
      <c r="E27" s="269"/>
      <c r="F27" s="126"/>
      <c r="G27" s="128"/>
      <c r="H27" s="282"/>
      <c r="I27" s="283"/>
      <c r="J27" s="284">
        <f t="shared" si="0"/>
        <v>0</v>
      </c>
      <c r="K27" s="285"/>
      <c r="L27" s="285"/>
      <c r="M27" s="286">
        <f t="shared" si="1"/>
      </c>
      <c r="N27" s="287">
        <f t="shared" si="2"/>
      </c>
      <c r="O27" s="288"/>
      <c r="P27" s="289">
        <f t="shared" si="14"/>
      </c>
      <c r="Q27" s="289">
        <f aca="true" t="shared" si="15" ref="Q27:Q40">IF(F27="","","--")</f>
      </c>
      <c r="R27" s="288">
        <f t="shared" si="3"/>
      </c>
      <c r="S27" s="152">
        <f t="shared" si="4"/>
        <v>3</v>
      </c>
      <c r="T27" s="290" t="str">
        <f t="shared" si="5"/>
        <v>--</v>
      </c>
      <c r="U27" s="291" t="str">
        <f t="shared" si="6"/>
        <v>--</v>
      </c>
      <c r="V27" s="292" t="str">
        <f t="shared" si="7"/>
        <v>--</v>
      </c>
      <c r="W27" s="293" t="str">
        <f t="shared" si="8"/>
        <v>--</v>
      </c>
      <c r="X27" s="294" t="str">
        <f t="shared" si="9"/>
        <v>--</v>
      </c>
      <c r="Y27" s="295" t="str">
        <f t="shared" si="10"/>
        <v>--</v>
      </c>
      <c r="Z27" s="296" t="str">
        <f t="shared" si="11"/>
        <v>--</v>
      </c>
      <c r="AA27" s="297" t="str">
        <f t="shared" si="12"/>
        <v>--</v>
      </c>
      <c r="AB27" s="288">
        <f aca="true" t="shared" si="16" ref="AB27:AB40">IF(F27="","","SI")</f>
      </c>
      <c r="AC27" s="298">
        <f t="shared" si="13"/>
      </c>
      <c r="AD27" s="218"/>
    </row>
    <row r="28" spans="2:30" s="10" customFormat="1" ht="16.5" customHeight="1">
      <c r="B28" s="217"/>
      <c r="C28" s="269"/>
      <c r="D28" s="269"/>
      <c r="E28" s="269"/>
      <c r="F28" s="126"/>
      <c r="G28" s="128"/>
      <c r="H28" s="282"/>
      <c r="I28" s="283"/>
      <c r="J28" s="284">
        <f t="shared" si="0"/>
        <v>0</v>
      </c>
      <c r="K28" s="285"/>
      <c r="L28" s="285"/>
      <c r="M28" s="286">
        <f t="shared" si="1"/>
      </c>
      <c r="N28" s="287">
        <f t="shared" si="2"/>
      </c>
      <c r="O28" s="288"/>
      <c r="P28" s="289">
        <f t="shared" si="14"/>
      </c>
      <c r="Q28" s="289">
        <f t="shared" si="15"/>
      </c>
      <c r="R28" s="288">
        <f t="shared" si="3"/>
      </c>
      <c r="S28" s="152">
        <f t="shared" si="4"/>
        <v>3</v>
      </c>
      <c r="T28" s="290" t="str">
        <f t="shared" si="5"/>
        <v>--</v>
      </c>
      <c r="U28" s="291" t="str">
        <f t="shared" si="6"/>
        <v>--</v>
      </c>
      <c r="V28" s="292" t="str">
        <f t="shared" si="7"/>
        <v>--</v>
      </c>
      <c r="W28" s="293" t="str">
        <f t="shared" si="8"/>
        <v>--</v>
      </c>
      <c r="X28" s="294" t="str">
        <f t="shared" si="9"/>
        <v>--</v>
      </c>
      <c r="Y28" s="295" t="str">
        <f t="shared" si="10"/>
        <v>--</v>
      </c>
      <c r="Z28" s="296" t="str">
        <f t="shared" si="11"/>
        <v>--</v>
      </c>
      <c r="AA28" s="297" t="str">
        <f t="shared" si="12"/>
        <v>--</v>
      </c>
      <c r="AB28" s="288">
        <f t="shared" si="16"/>
      </c>
      <c r="AC28" s="298">
        <f t="shared" si="13"/>
      </c>
      <c r="AD28" s="218"/>
    </row>
    <row r="29" spans="2:30" s="10" customFormat="1" ht="16.5" customHeight="1">
      <c r="B29" s="217"/>
      <c r="C29" s="269"/>
      <c r="D29" s="269"/>
      <c r="E29" s="269"/>
      <c r="F29" s="126"/>
      <c r="G29" s="128"/>
      <c r="H29" s="282"/>
      <c r="I29" s="283"/>
      <c r="J29" s="284">
        <f t="shared" si="0"/>
        <v>0</v>
      </c>
      <c r="K29" s="285"/>
      <c r="L29" s="285"/>
      <c r="M29" s="286">
        <f t="shared" si="1"/>
      </c>
      <c r="N29" s="287">
        <f t="shared" si="2"/>
      </c>
      <c r="O29" s="288"/>
      <c r="P29" s="289">
        <f t="shared" si="14"/>
      </c>
      <c r="Q29" s="289">
        <f t="shared" si="15"/>
      </c>
      <c r="R29" s="288">
        <f t="shared" si="3"/>
      </c>
      <c r="S29" s="152">
        <f t="shared" si="4"/>
        <v>3</v>
      </c>
      <c r="T29" s="290" t="str">
        <f t="shared" si="5"/>
        <v>--</v>
      </c>
      <c r="U29" s="291" t="str">
        <f t="shared" si="6"/>
        <v>--</v>
      </c>
      <c r="V29" s="292" t="str">
        <f t="shared" si="7"/>
        <v>--</v>
      </c>
      <c r="W29" s="293" t="str">
        <f t="shared" si="8"/>
        <v>--</v>
      </c>
      <c r="X29" s="294" t="str">
        <f t="shared" si="9"/>
        <v>--</v>
      </c>
      <c r="Y29" s="295" t="str">
        <f t="shared" si="10"/>
        <v>--</v>
      </c>
      <c r="Z29" s="296" t="str">
        <f t="shared" si="11"/>
        <v>--</v>
      </c>
      <c r="AA29" s="297" t="str">
        <f t="shared" si="12"/>
        <v>--</v>
      </c>
      <c r="AB29" s="288">
        <f t="shared" si="16"/>
      </c>
      <c r="AC29" s="298">
        <f t="shared" si="13"/>
      </c>
      <c r="AD29" s="218"/>
    </row>
    <row r="30" spans="2:30" s="10" customFormat="1" ht="16.5" customHeight="1">
      <c r="B30" s="217"/>
      <c r="C30" s="269"/>
      <c r="D30" s="269"/>
      <c r="E30" s="269"/>
      <c r="F30" s="126"/>
      <c r="G30" s="128"/>
      <c r="H30" s="282"/>
      <c r="I30" s="283"/>
      <c r="J30" s="284">
        <f t="shared" si="0"/>
        <v>0</v>
      </c>
      <c r="K30" s="285"/>
      <c r="L30" s="285"/>
      <c r="M30" s="286">
        <f t="shared" si="1"/>
      </c>
      <c r="N30" s="287">
        <f t="shared" si="2"/>
      </c>
      <c r="O30" s="288"/>
      <c r="P30" s="289">
        <f t="shared" si="14"/>
      </c>
      <c r="Q30" s="289">
        <f t="shared" si="15"/>
      </c>
      <c r="R30" s="288">
        <f t="shared" si="3"/>
      </c>
      <c r="S30" s="152">
        <f t="shared" si="4"/>
        <v>3</v>
      </c>
      <c r="T30" s="290" t="str">
        <f t="shared" si="5"/>
        <v>--</v>
      </c>
      <c r="U30" s="291" t="str">
        <f t="shared" si="6"/>
        <v>--</v>
      </c>
      <c r="V30" s="292" t="str">
        <f t="shared" si="7"/>
        <v>--</v>
      </c>
      <c r="W30" s="293" t="str">
        <f t="shared" si="8"/>
        <v>--</v>
      </c>
      <c r="X30" s="294" t="str">
        <f t="shared" si="9"/>
        <v>--</v>
      </c>
      <c r="Y30" s="295" t="str">
        <f t="shared" si="10"/>
        <v>--</v>
      </c>
      <c r="Z30" s="296" t="str">
        <f t="shared" si="11"/>
        <v>--</v>
      </c>
      <c r="AA30" s="297" t="str">
        <f t="shared" si="12"/>
        <v>--</v>
      </c>
      <c r="AB30" s="288">
        <f t="shared" si="16"/>
      </c>
      <c r="AC30" s="298">
        <f t="shared" si="13"/>
      </c>
      <c r="AD30" s="218"/>
    </row>
    <row r="31" spans="2:30" s="10" customFormat="1" ht="16.5" customHeight="1">
      <c r="B31" s="217"/>
      <c r="C31" s="269"/>
      <c r="D31" s="269"/>
      <c r="E31" s="269"/>
      <c r="F31" s="126"/>
      <c r="G31" s="128"/>
      <c r="H31" s="282"/>
      <c r="I31" s="283"/>
      <c r="J31" s="284">
        <f t="shared" si="0"/>
        <v>0</v>
      </c>
      <c r="K31" s="285"/>
      <c r="L31" s="285"/>
      <c r="M31" s="286">
        <f t="shared" si="1"/>
      </c>
      <c r="N31" s="287">
        <f t="shared" si="2"/>
      </c>
      <c r="O31" s="288"/>
      <c r="P31" s="289">
        <f t="shared" si="14"/>
      </c>
      <c r="Q31" s="289">
        <f t="shared" si="15"/>
      </c>
      <c r="R31" s="288">
        <f t="shared" si="3"/>
      </c>
      <c r="S31" s="152">
        <f t="shared" si="4"/>
        <v>3</v>
      </c>
      <c r="T31" s="290" t="str">
        <f t="shared" si="5"/>
        <v>--</v>
      </c>
      <c r="U31" s="291" t="str">
        <f t="shared" si="6"/>
        <v>--</v>
      </c>
      <c r="V31" s="292" t="str">
        <f t="shared" si="7"/>
        <v>--</v>
      </c>
      <c r="W31" s="293" t="str">
        <f t="shared" si="8"/>
        <v>--</v>
      </c>
      <c r="X31" s="294" t="str">
        <f t="shared" si="9"/>
        <v>--</v>
      </c>
      <c r="Y31" s="295" t="str">
        <f t="shared" si="10"/>
        <v>--</v>
      </c>
      <c r="Z31" s="296" t="str">
        <f t="shared" si="11"/>
        <v>--</v>
      </c>
      <c r="AA31" s="297" t="str">
        <f t="shared" si="12"/>
        <v>--</v>
      </c>
      <c r="AB31" s="288">
        <f t="shared" si="16"/>
      </c>
      <c r="AC31" s="298">
        <f t="shared" si="13"/>
      </c>
      <c r="AD31" s="218"/>
    </row>
    <row r="32" spans="2:30" s="10" customFormat="1" ht="16.5" customHeight="1">
      <c r="B32" s="217"/>
      <c r="C32" s="269"/>
      <c r="D32" s="269"/>
      <c r="E32" s="269"/>
      <c r="F32" s="126"/>
      <c r="G32" s="128"/>
      <c r="H32" s="282"/>
      <c r="I32" s="283"/>
      <c r="J32" s="284">
        <f t="shared" si="0"/>
        <v>0</v>
      </c>
      <c r="K32" s="285"/>
      <c r="L32" s="285"/>
      <c r="M32" s="286">
        <f t="shared" si="1"/>
      </c>
      <c r="N32" s="287">
        <f t="shared" si="2"/>
      </c>
      <c r="O32" s="288"/>
      <c r="P32" s="289">
        <f t="shared" si="14"/>
      </c>
      <c r="Q32" s="289">
        <f t="shared" si="15"/>
      </c>
      <c r="R32" s="288">
        <f t="shared" si="3"/>
      </c>
      <c r="S32" s="152">
        <f t="shared" si="4"/>
        <v>3</v>
      </c>
      <c r="T32" s="290" t="str">
        <f t="shared" si="5"/>
        <v>--</v>
      </c>
      <c r="U32" s="291" t="str">
        <f t="shared" si="6"/>
        <v>--</v>
      </c>
      <c r="V32" s="292" t="str">
        <f t="shared" si="7"/>
        <v>--</v>
      </c>
      <c r="W32" s="293" t="str">
        <f t="shared" si="8"/>
        <v>--</v>
      </c>
      <c r="X32" s="294" t="str">
        <f t="shared" si="9"/>
        <v>--</v>
      </c>
      <c r="Y32" s="295" t="str">
        <f t="shared" si="10"/>
        <v>--</v>
      </c>
      <c r="Z32" s="296" t="str">
        <f t="shared" si="11"/>
        <v>--</v>
      </c>
      <c r="AA32" s="297" t="str">
        <f t="shared" si="12"/>
        <v>--</v>
      </c>
      <c r="AB32" s="288">
        <f t="shared" si="16"/>
      </c>
      <c r="AC32" s="298">
        <f t="shared" si="13"/>
      </c>
      <c r="AD32" s="218"/>
    </row>
    <row r="33" spans="2:30" s="10" customFormat="1" ht="16.5" customHeight="1">
      <c r="B33" s="217"/>
      <c r="C33" s="269"/>
      <c r="D33" s="269"/>
      <c r="E33" s="269"/>
      <c r="F33" s="126"/>
      <c r="G33" s="128"/>
      <c r="H33" s="282"/>
      <c r="I33" s="283"/>
      <c r="J33" s="284">
        <f t="shared" si="0"/>
        <v>0</v>
      </c>
      <c r="K33" s="285"/>
      <c r="L33" s="285"/>
      <c r="M33" s="286">
        <f t="shared" si="1"/>
      </c>
      <c r="N33" s="287">
        <f t="shared" si="2"/>
      </c>
      <c r="O33" s="288"/>
      <c r="P33" s="289">
        <f t="shared" si="14"/>
      </c>
      <c r="Q33" s="289">
        <f t="shared" si="15"/>
      </c>
      <c r="R33" s="288">
        <f t="shared" si="3"/>
      </c>
      <c r="S33" s="152">
        <f t="shared" si="4"/>
        <v>3</v>
      </c>
      <c r="T33" s="290" t="str">
        <f t="shared" si="5"/>
        <v>--</v>
      </c>
      <c r="U33" s="291" t="str">
        <f t="shared" si="6"/>
        <v>--</v>
      </c>
      <c r="V33" s="292" t="str">
        <f t="shared" si="7"/>
        <v>--</v>
      </c>
      <c r="W33" s="293" t="str">
        <f t="shared" si="8"/>
        <v>--</v>
      </c>
      <c r="X33" s="294" t="str">
        <f t="shared" si="9"/>
        <v>--</v>
      </c>
      <c r="Y33" s="295" t="str">
        <f t="shared" si="10"/>
        <v>--</v>
      </c>
      <c r="Z33" s="296" t="str">
        <f t="shared" si="11"/>
        <v>--</v>
      </c>
      <c r="AA33" s="297" t="str">
        <f t="shared" si="12"/>
        <v>--</v>
      </c>
      <c r="AB33" s="288">
        <f t="shared" si="16"/>
      </c>
      <c r="AC33" s="298">
        <f t="shared" si="13"/>
      </c>
      <c r="AD33" s="218"/>
    </row>
    <row r="34" spans="2:30" s="10" customFormat="1" ht="16.5" customHeight="1">
      <c r="B34" s="217"/>
      <c r="C34" s="269"/>
      <c r="D34" s="269"/>
      <c r="E34" s="269"/>
      <c r="F34" s="126"/>
      <c r="G34" s="128"/>
      <c r="H34" s="282"/>
      <c r="I34" s="283"/>
      <c r="J34" s="284">
        <f t="shared" si="0"/>
        <v>0</v>
      </c>
      <c r="K34" s="285"/>
      <c r="L34" s="285"/>
      <c r="M34" s="286">
        <f t="shared" si="1"/>
      </c>
      <c r="N34" s="287">
        <f t="shared" si="2"/>
      </c>
      <c r="O34" s="288"/>
      <c r="P34" s="289">
        <f t="shared" si="14"/>
      </c>
      <c r="Q34" s="289">
        <f t="shared" si="15"/>
      </c>
      <c r="R34" s="288">
        <f t="shared" si="3"/>
      </c>
      <c r="S34" s="152">
        <f t="shared" si="4"/>
        <v>3</v>
      </c>
      <c r="T34" s="290" t="str">
        <f t="shared" si="5"/>
        <v>--</v>
      </c>
      <c r="U34" s="291" t="str">
        <f t="shared" si="6"/>
        <v>--</v>
      </c>
      <c r="V34" s="292" t="str">
        <f t="shared" si="7"/>
        <v>--</v>
      </c>
      <c r="W34" s="293" t="str">
        <f t="shared" si="8"/>
        <v>--</v>
      </c>
      <c r="X34" s="294" t="str">
        <f t="shared" si="9"/>
        <v>--</v>
      </c>
      <c r="Y34" s="295" t="str">
        <f t="shared" si="10"/>
        <v>--</v>
      </c>
      <c r="Z34" s="296" t="str">
        <f t="shared" si="11"/>
        <v>--</v>
      </c>
      <c r="AA34" s="297" t="str">
        <f t="shared" si="12"/>
        <v>--</v>
      </c>
      <c r="AB34" s="288">
        <f t="shared" si="16"/>
      </c>
      <c r="AC34" s="298">
        <f t="shared" si="13"/>
      </c>
      <c r="AD34" s="218"/>
    </row>
    <row r="35" spans="2:30" s="10" customFormat="1" ht="16.5" customHeight="1">
      <c r="B35" s="217"/>
      <c r="C35" s="269"/>
      <c r="D35" s="269"/>
      <c r="E35" s="269"/>
      <c r="F35" s="126"/>
      <c r="G35" s="128"/>
      <c r="H35" s="282"/>
      <c r="I35" s="283"/>
      <c r="J35" s="284">
        <f t="shared" si="0"/>
        <v>0</v>
      </c>
      <c r="K35" s="285"/>
      <c r="L35" s="285"/>
      <c r="M35" s="286">
        <f t="shared" si="1"/>
      </c>
      <c r="N35" s="287">
        <f t="shared" si="2"/>
      </c>
      <c r="O35" s="288"/>
      <c r="P35" s="289">
        <f t="shared" si="14"/>
      </c>
      <c r="Q35" s="289">
        <f t="shared" si="15"/>
      </c>
      <c r="R35" s="288">
        <f t="shared" si="3"/>
      </c>
      <c r="S35" s="152">
        <f t="shared" si="4"/>
        <v>3</v>
      </c>
      <c r="T35" s="290" t="str">
        <f t="shared" si="5"/>
        <v>--</v>
      </c>
      <c r="U35" s="291" t="str">
        <f t="shared" si="6"/>
        <v>--</v>
      </c>
      <c r="V35" s="292" t="str">
        <f t="shared" si="7"/>
        <v>--</v>
      </c>
      <c r="W35" s="293" t="str">
        <f t="shared" si="8"/>
        <v>--</v>
      </c>
      <c r="X35" s="294" t="str">
        <f t="shared" si="9"/>
        <v>--</v>
      </c>
      <c r="Y35" s="295" t="str">
        <f t="shared" si="10"/>
        <v>--</v>
      </c>
      <c r="Z35" s="296" t="str">
        <f t="shared" si="11"/>
        <v>--</v>
      </c>
      <c r="AA35" s="297" t="str">
        <f t="shared" si="12"/>
        <v>--</v>
      </c>
      <c r="AB35" s="288">
        <f t="shared" si="16"/>
      </c>
      <c r="AC35" s="298">
        <f t="shared" si="13"/>
      </c>
      <c r="AD35" s="218"/>
    </row>
    <row r="36" spans="2:30" s="10" customFormat="1" ht="16.5" customHeight="1">
      <c r="B36" s="217"/>
      <c r="C36" s="269"/>
      <c r="D36" s="269"/>
      <c r="E36" s="269"/>
      <c r="F36" s="126"/>
      <c r="G36" s="128"/>
      <c r="H36" s="282"/>
      <c r="I36" s="283"/>
      <c r="J36" s="284">
        <f t="shared" si="0"/>
        <v>0</v>
      </c>
      <c r="K36" s="285"/>
      <c r="L36" s="285"/>
      <c r="M36" s="286">
        <f t="shared" si="1"/>
      </c>
      <c r="N36" s="287">
        <f t="shared" si="2"/>
      </c>
      <c r="O36" s="288"/>
      <c r="P36" s="289">
        <f t="shared" si="14"/>
      </c>
      <c r="Q36" s="289">
        <f t="shared" si="15"/>
      </c>
      <c r="R36" s="288">
        <f t="shared" si="3"/>
      </c>
      <c r="S36" s="152">
        <f t="shared" si="4"/>
        <v>3</v>
      </c>
      <c r="T36" s="290" t="str">
        <f t="shared" si="5"/>
        <v>--</v>
      </c>
      <c r="U36" s="291" t="str">
        <f t="shared" si="6"/>
        <v>--</v>
      </c>
      <c r="V36" s="292" t="str">
        <f t="shared" si="7"/>
        <v>--</v>
      </c>
      <c r="W36" s="293" t="str">
        <f t="shared" si="8"/>
        <v>--</v>
      </c>
      <c r="X36" s="294" t="str">
        <f t="shared" si="9"/>
        <v>--</v>
      </c>
      <c r="Y36" s="295" t="str">
        <f t="shared" si="10"/>
        <v>--</v>
      </c>
      <c r="Z36" s="296" t="str">
        <f t="shared" si="11"/>
        <v>--</v>
      </c>
      <c r="AA36" s="297" t="str">
        <f t="shared" si="12"/>
        <v>--</v>
      </c>
      <c r="AB36" s="288">
        <f t="shared" si="16"/>
      </c>
      <c r="AC36" s="298">
        <f t="shared" si="13"/>
      </c>
      <c r="AD36" s="218"/>
    </row>
    <row r="37" spans="2:30" s="10" customFormat="1" ht="16.5" customHeight="1">
      <c r="B37" s="217"/>
      <c r="C37" s="269"/>
      <c r="D37" s="269"/>
      <c r="E37" s="269"/>
      <c r="F37" s="126"/>
      <c r="G37" s="128"/>
      <c r="H37" s="282"/>
      <c r="I37" s="283"/>
      <c r="J37" s="284">
        <f t="shared" si="0"/>
        <v>0</v>
      </c>
      <c r="K37" s="285"/>
      <c r="L37" s="285"/>
      <c r="M37" s="286">
        <f t="shared" si="1"/>
      </c>
      <c r="N37" s="287">
        <f t="shared" si="2"/>
      </c>
      <c r="O37" s="288"/>
      <c r="P37" s="289">
        <f t="shared" si="14"/>
      </c>
      <c r="Q37" s="289">
        <f t="shared" si="15"/>
      </c>
      <c r="R37" s="288">
        <f t="shared" si="3"/>
      </c>
      <c r="S37" s="152">
        <f t="shared" si="4"/>
        <v>3</v>
      </c>
      <c r="T37" s="290" t="str">
        <f t="shared" si="5"/>
        <v>--</v>
      </c>
      <c r="U37" s="291" t="str">
        <f t="shared" si="6"/>
        <v>--</v>
      </c>
      <c r="V37" s="292" t="str">
        <f t="shared" si="7"/>
        <v>--</v>
      </c>
      <c r="W37" s="293" t="str">
        <f t="shared" si="8"/>
        <v>--</v>
      </c>
      <c r="X37" s="294" t="str">
        <f t="shared" si="9"/>
        <v>--</v>
      </c>
      <c r="Y37" s="295" t="str">
        <f t="shared" si="10"/>
        <v>--</v>
      </c>
      <c r="Z37" s="296" t="str">
        <f t="shared" si="11"/>
        <v>--</v>
      </c>
      <c r="AA37" s="297" t="str">
        <f t="shared" si="12"/>
        <v>--</v>
      </c>
      <c r="AB37" s="288">
        <f t="shared" si="16"/>
      </c>
      <c r="AC37" s="298">
        <f t="shared" si="13"/>
      </c>
      <c r="AD37" s="218"/>
    </row>
    <row r="38" spans="2:30" s="10" customFormat="1" ht="16.5" customHeight="1">
      <c r="B38" s="217"/>
      <c r="C38" s="269"/>
      <c r="D38" s="269"/>
      <c r="E38" s="269"/>
      <c r="F38" s="126"/>
      <c r="G38" s="128"/>
      <c r="H38" s="282"/>
      <c r="I38" s="283"/>
      <c r="J38" s="284">
        <f t="shared" si="0"/>
        <v>0</v>
      </c>
      <c r="K38" s="285"/>
      <c r="L38" s="285"/>
      <c r="M38" s="286">
        <f t="shared" si="1"/>
      </c>
      <c r="N38" s="287">
        <f t="shared" si="2"/>
      </c>
      <c r="O38" s="288"/>
      <c r="P38" s="289">
        <f t="shared" si="14"/>
      </c>
      <c r="Q38" s="289">
        <f t="shared" si="15"/>
      </c>
      <c r="R38" s="288">
        <f t="shared" si="3"/>
      </c>
      <c r="S38" s="152">
        <f t="shared" si="4"/>
        <v>3</v>
      </c>
      <c r="T38" s="290" t="str">
        <f t="shared" si="5"/>
        <v>--</v>
      </c>
      <c r="U38" s="291" t="str">
        <f t="shared" si="6"/>
        <v>--</v>
      </c>
      <c r="V38" s="292" t="str">
        <f t="shared" si="7"/>
        <v>--</v>
      </c>
      <c r="W38" s="293" t="str">
        <f t="shared" si="8"/>
        <v>--</v>
      </c>
      <c r="X38" s="294" t="str">
        <f t="shared" si="9"/>
        <v>--</v>
      </c>
      <c r="Y38" s="295" t="str">
        <f t="shared" si="10"/>
        <v>--</v>
      </c>
      <c r="Z38" s="296" t="str">
        <f t="shared" si="11"/>
        <v>--</v>
      </c>
      <c r="AA38" s="297" t="str">
        <f t="shared" si="12"/>
        <v>--</v>
      </c>
      <c r="AB38" s="288">
        <f t="shared" si="16"/>
      </c>
      <c r="AC38" s="298">
        <f t="shared" si="13"/>
      </c>
      <c r="AD38" s="218"/>
    </row>
    <row r="39" spans="2:30" s="10" customFormat="1" ht="16.5" customHeight="1">
      <c r="B39" s="217"/>
      <c r="C39" s="269"/>
      <c r="D39" s="269"/>
      <c r="E39" s="269"/>
      <c r="F39" s="126"/>
      <c r="G39" s="128"/>
      <c r="H39" s="282"/>
      <c r="I39" s="283"/>
      <c r="J39" s="284">
        <f t="shared" si="0"/>
        <v>0</v>
      </c>
      <c r="K39" s="285"/>
      <c r="L39" s="285"/>
      <c r="M39" s="286">
        <f t="shared" si="1"/>
      </c>
      <c r="N39" s="287">
        <f t="shared" si="2"/>
      </c>
      <c r="O39" s="288"/>
      <c r="P39" s="289">
        <f t="shared" si="14"/>
      </c>
      <c r="Q39" s="289">
        <f t="shared" si="15"/>
      </c>
      <c r="R39" s="288">
        <f t="shared" si="3"/>
      </c>
      <c r="S39" s="152">
        <f t="shared" si="4"/>
        <v>3</v>
      </c>
      <c r="T39" s="290" t="str">
        <f t="shared" si="5"/>
        <v>--</v>
      </c>
      <c r="U39" s="291" t="str">
        <f t="shared" si="6"/>
        <v>--</v>
      </c>
      <c r="V39" s="292" t="str">
        <f t="shared" si="7"/>
        <v>--</v>
      </c>
      <c r="W39" s="293" t="str">
        <f t="shared" si="8"/>
        <v>--</v>
      </c>
      <c r="X39" s="294" t="str">
        <f t="shared" si="9"/>
        <v>--</v>
      </c>
      <c r="Y39" s="295" t="str">
        <f t="shared" si="10"/>
        <v>--</v>
      </c>
      <c r="Z39" s="296" t="str">
        <f t="shared" si="11"/>
        <v>--</v>
      </c>
      <c r="AA39" s="297" t="str">
        <f t="shared" si="12"/>
        <v>--</v>
      </c>
      <c r="AB39" s="288">
        <f t="shared" si="16"/>
      </c>
      <c r="AC39" s="298">
        <f t="shared" si="13"/>
      </c>
      <c r="AD39" s="218"/>
    </row>
    <row r="40" spans="2:30" s="10" customFormat="1" ht="16.5" customHeight="1">
      <c r="B40" s="217"/>
      <c r="C40" s="269"/>
      <c r="D40" s="269"/>
      <c r="E40" s="269"/>
      <c r="F40" s="126"/>
      <c r="G40" s="128"/>
      <c r="H40" s="282"/>
      <c r="I40" s="283"/>
      <c r="J40" s="284">
        <f t="shared" si="0"/>
        <v>0</v>
      </c>
      <c r="K40" s="285"/>
      <c r="L40" s="285"/>
      <c r="M40" s="286">
        <f t="shared" si="1"/>
      </c>
      <c r="N40" s="287">
        <f t="shared" si="2"/>
      </c>
      <c r="O40" s="288"/>
      <c r="P40" s="289">
        <f t="shared" si="14"/>
      </c>
      <c r="Q40" s="289">
        <f t="shared" si="15"/>
      </c>
      <c r="R40" s="288">
        <f t="shared" si="3"/>
      </c>
      <c r="S40" s="152">
        <f t="shared" si="4"/>
        <v>3</v>
      </c>
      <c r="T40" s="290" t="str">
        <f t="shared" si="5"/>
        <v>--</v>
      </c>
      <c r="U40" s="291" t="str">
        <f t="shared" si="6"/>
        <v>--</v>
      </c>
      <c r="V40" s="292" t="str">
        <f t="shared" si="7"/>
        <v>--</v>
      </c>
      <c r="W40" s="293" t="str">
        <f t="shared" si="8"/>
        <v>--</v>
      </c>
      <c r="X40" s="294" t="str">
        <f t="shared" si="9"/>
        <v>--</v>
      </c>
      <c r="Y40" s="295" t="str">
        <f t="shared" si="10"/>
        <v>--</v>
      </c>
      <c r="Z40" s="296" t="str">
        <f t="shared" si="11"/>
        <v>--</v>
      </c>
      <c r="AA40" s="297" t="str">
        <f t="shared" si="12"/>
        <v>--</v>
      </c>
      <c r="AB40" s="288">
        <f t="shared" si="16"/>
      </c>
      <c r="AC40" s="298">
        <f t="shared" si="13"/>
      </c>
      <c r="AD40" s="218"/>
    </row>
    <row r="41" spans="2:30" s="10" customFormat="1" ht="16.5" customHeight="1" thickBot="1">
      <c r="B41" s="217"/>
      <c r="C41" s="300"/>
      <c r="D41" s="300"/>
      <c r="E41" s="300"/>
      <c r="F41" s="300"/>
      <c r="G41" s="300"/>
      <c r="H41" s="300"/>
      <c r="I41" s="300"/>
      <c r="J41" s="301"/>
      <c r="K41" s="300"/>
      <c r="L41" s="300"/>
      <c r="M41" s="300"/>
      <c r="N41" s="300"/>
      <c r="O41" s="300"/>
      <c r="P41" s="300"/>
      <c r="Q41" s="300"/>
      <c r="R41" s="300"/>
      <c r="S41" s="302"/>
      <c r="T41" s="303"/>
      <c r="U41" s="304"/>
      <c r="V41" s="305"/>
      <c r="W41" s="306"/>
      <c r="X41" s="307"/>
      <c r="Y41" s="308"/>
      <c r="Z41" s="309"/>
      <c r="AA41" s="310"/>
      <c r="AB41" s="300"/>
      <c r="AC41" s="311"/>
      <c r="AD41" s="218"/>
    </row>
    <row r="42" spans="2:30" s="10" customFormat="1" ht="16.5" customHeight="1" thickBot="1" thickTop="1">
      <c r="B42" s="217"/>
      <c r="C42" s="172" t="s">
        <v>73</v>
      </c>
      <c r="D42" s="419" t="s">
        <v>159</v>
      </c>
      <c r="E42" s="187"/>
      <c r="F42" s="17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312">
        <f>SUM(T20:T41)</f>
        <v>340.1989200000001</v>
      </c>
      <c r="U42" s="313">
        <f>SUM(U20:U41)</f>
        <v>0</v>
      </c>
      <c r="V42" s="314">
        <f>SUM(V20:V41)</f>
        <v>0</v>
      </c>
      <c r="W42" s="315">
        <f>SUM(W22:W41)</f>
        <v>10.1682</v>
      </c>
      <c r="X42" s="316">
        <f>SUM(X20:X41)</f>
        <v>0</v>
      </c>
      <c r="Y42" s="316">
        <f>SUM(Y22:Y41)</f>
        <v>0</v>
      </c>
      <c r="Z42" s="317">
        <f>SUM(Z20:Z41)</f>
        <v>0</v>
      </c>
      <c r="AA42" s="318">
        <f>SUM(AA22:AA41)</f>
        <v>0</v>
      </c>
      <c r="AB42" s="319"/>
      <c r="AC42" s="320">
        <f>ROUND(SUM(AC20:AC41),2)</f>
        <v>350.37</v>
      </c>
      <c r="AD42" s="218"/>
    </row>
    <row r="43" spans="2:30" s="185" customFormat="1" ht="9.75" thickTop="1">
      <c r="B43" s="321"/>
      <c r="C43" s="187"/>
      <c r="D43" s="187"/>
      <c r="E43" s="187"/>
      <c r="F43" s="188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3"/>
      <c r="U43" s="323"/>
      <c r="V43" s="323"/>
      <c r="W43" s="323"/>
      <c r="X43" s="323"/>
      <c r="Y43" s="323"/>
      <c r="Z43" s="323"/>
      <c r="AA43" s="323"/>
      <c r="AB43" s="322"/>
      <c r="AC43" s="324"/>
      <c r="AD43" s="325"/>
    </row>
    <row r="44" spans="2:30" s="10" customFormat="1" ht="16.5" customHeight="1" thickBot="1"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8"/>
    </row>
    <row r="45" spans="2:30" ht="16.5" customHeight="1" thickTop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29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W47"/>
  <sheetViews>
    <sheetView zoomScale="75" zoomScaleNormal="75" zoomScalePageLayoutView="0" workbookViewId="0" topLeftCell="A1">
      <selection activeCell="G25" sqref="G25"/>
    </sheetView>
  </sheetViews>
  <sheetFormatPr defaultColWidth="11.421875" defaultRowHeight="12.75"/>
  <cols>
    <col min="1" max="1" width="20.14062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0" width="16.421875" style="1" customWidth="1"/>
    <col min="11" max="11" width="16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30"/>
      <c r="W1" s="395"/>
    </row>
    <row r="2" spans="1:23" s="6" customFormat="1" ht="26.25">
      <c r="A2" s="330"/>
      <c r="B2" s="68" t="str">
        <f>+'TOT-0914'!B2</f>
        <v>ANEXO IV al Memorandum D.T.E.E. N°    306   / 2015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1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5" t="s">
        <v>3</v>
      </c>
      <c r="B4" s="332"/>
    </row>
    <row r="5" spans="1:2" s="13" customFormat="1" ht="11.25">
      <c r="A5" s="205" t="s">
        <v>4</v>
      </c>
      <c r="B5" s="332"/>
    </row>
    <row r="6" s="10" customFormat="1" ht="16.5" customHeight="1" thickBot="1"/>
    <row r="7" spans="2:23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6.5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6.5" customHeight="1">
      <c r="B11" s="44"/>
      <c r="C11" s="12"/>
      <c r="D11" s="12"/>
      <c r="E11" s="12"/>
      <c r="F11" s="333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+'TOT-0914'!B14</f>
        <v>Desde el 01 al 30 de septiembre de 2014</v>
      </c>
      <c r="C12" s="334"/>
      <c r="D12" s="334"/>
      <c r="E12" s="334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6.5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35" t="s">
        <v>54</v>
      </c>
      <c r="G14" s="336">
        <v>42.946</v>
      </c>
      <c r="H14" s="337">
        <f>60*'TOT-0914'!B13</f>
        <v>60</v>
      </c>
      <c r="I14" s="86"/>
      <c r="J14" s="237" t="str">
        <f>IF(H14=60," ",IF(H14=120,"    Coeficiente duplicado por tasa de falla &gt;4 Sal. x año/100 km.","    REVISAR COEFICIENTE"))</f>
        <v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35" t="s">
        <v>55</v>
      </c>
      <c r="G15" s="336">
        <v>21.473</v>
      </c>
      <c r="H15" s="337">
        <f>50*'TOT-0914'!B13</f>
        <v>50</v>
      </c>
      <c r="J15" s="237" t="str">
        <f>IF(H15=50," ",IF(H15=100,"    Coeficiente duplicado por tasa de falla &gt;4 Sal. x año/100 km.","    REVISAR COEFICIENTE"))</f>
        <v> </v>
      </c>
      <c r="S15" s="12"/>
      <c r="T15" s="12"/>
      <c r="U15" s="12"/>
      <c r="V15" s="338"/>
      <c r="W15" s="49"/>
    </row>
    <row r="16" spans="2:23" s="10" customFormat="1" ht="16.5" customHeight="1" thickBot="1" thickTop="1">
      <c r="B16" s="44"/>
      <c r="C16" s="12"/>
      <c r="D16" s="12"/>
      <c r="E16" s="12"/>
      <c r="F16" s="339" t="s">
        <v>56</v>
      </c>
      <c r="G16" s="340">
        <v>16.111</v>
      </c>
      <c r="H16" s="341">
        <f>25*'TOT-0914'!B13</f>
        <v>25</v>
      </c>
      <c r="J16" s="237" t="str">
        <f>IF(H16=25," ",IF(H16=50,"    Coeficiente duplicado por tasa de falla &gt;4 Sal. x año/100 km.","    REVISAR COEFICIENTE"))</f>
        <v> </v>
      </c>
      <c r="K16" s="95"/>
      <c r="L16" s="95"/>
      <c r="M16" s="12"/>
      <c r="P16" s="342"/>
      <c r="Q16" s="343"/>
      <c r="R16" s="4"/>
      <c r="S16" s="12"/>
      <c r="T16" s="12"/>
      <c r="U16" s="12"/>
      <c r="V16" s="338"/>
      <c r="W16" s="49"/>
    </row>
    <row r="17" spans="2:23" s="10" customFormat="1" ht="16.5" customHeight="1" thickBot="1" thickTop="1">
      <c r="B17" s="44"/>
      <c r="C17" s="12"/>
      <c r="D17" s="12"/>
      <c r="E17" s="12"/>
      <c r="F17" s="344" t="s">
        <v>57</v>
      </c>
      <c r="G17" s="416">
        <v>16.111</v>
      </c>
      <c r="H17" s="345">
        <f>20*'TOT-0914'!B13</f>
        <v>20</v>
      </c>
      <c r="J17" s="237" t="str">
        <f>IF(H17=20," ",IF(H17=40,"    Coeficiente duplicado por tasa de falla &gt;4 Sal. x año/100 km.","    REVISAR COEFICIENTE"))</f>
        <v> </v>
      </c>
      <c r="K17" s="95"/>
      <c r="L17" s="95"/>
      <c r="M17" s="12"/>
      <c r="P17" s="342"/>
      <c r="Q17" s="343"/>
      <c r="R17" s="4"/>
      <c r="S17" s="12"/>
      <c r="T17" s="12"/>
      <c r="U17" s="12"/>
      <c r="V17" s="338"/>
      <c r="W17" s="49"/>
    </row>
    <row r="18" spans="2:23" s="10" customFormat="1" ht="16.5" customHeight="1" thickBot="1" thickTop="1">
      <c r="B18" s="44"/>
      <c r="C18" s="12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9"/>
    </row>
    <row r="19" spans="2:23" s="346" customFormat="1" ht="34.5" customHeight="1" thickBot="1" thickTop="1">
      <c r="B19" s="347"/>
      <c r="C19" s="400" t="s">
        <v>20</v>
      </c>
      <c r="D19" s="400" t="s">
        <v>74</v>
      </c>
      <c r="E19" s="400" t="s">
        <v>75</v>
      </c>
      <c r="F19" s="241" t="s">
        <v>41</v>
      </c>
      <c r="G19" s="348" t="s">
        <v>42</v>
      </c>
      <c r="H19" s="349" t="s">
        <v>21</v>
      </c>
      <c r="I19" s="100" t="s">
        <v>23</v>
      </c>
      <c r="J19" s="242" t="s">
        <v>24</v>
      </c>
      <c r="K19" s="348" t="s">
        <v>25</v>
      </c>
      <c r="L19" s="241" t="s">
        <v>44</v>
      </c>
      <c r="M19" s="241" t="s">
        <v>45</v>
      </c>
      <c r="N19" s="99" t="s">
        <v>72</v>
      </c>
      <c r="O19" s="242" t="s">
        <v>46</v>
      </c>
      <c r="P19" s="350" t="s">
        <v>58</v>
      </c>
      <c r="Q19" s="351" t="s">
        <v>59</v>
      </c>
      <c r="R19" s="352" t="s">
        <v>49</v>
      </c>
      <c r="S19" s="353"/>
      <c r="T19" s="354" t="s">
        <v>33</v>
      </c>
      <c r="U19" s="244" t="s">
        <v>35</v>
      </c>
      <c r="V19" s="244" t="s">
        <v>36</v>
      </c>
      <c r="W19" s="355"/>
    </row>
    <row r="20" spans="2:23" s="10" customFormat="1" ht="16.5" customHeight="1" thickTop="1">
      <c r="B20" s="44"/>
      <c r="C20" s="270"/>
      <c r="D20" s="399"/>
      <c r="E20" s="399"/>
      <c r="F20" s="269"/>
      <c r="G20" s="269"/>
      <c r="H20" s="356"/>
      <c r="I20" s="357"/>
      <c r="J20" s="272"/>
      <c r="K20" s="358"/>
      <c r="L20" s="273"/>
      <c r="M20" s="273"/>
      <c r="N20" s="272"/>
      <c r="O20" s="272"/>
      <c r="P20" s="359"/>
      <c r="Q20" s="360"/>
      <c r="R20" s="361"/>
      <c r="S20" s="362"/>
      <c r="T20" s="363"/>
      <c r="U20" s="364"/>
      <c r="V20" s="365"/>
      <c r="W20" s="218"/>
    </row>
    <row r="21" spans="2:23" s="10" customFormat="1" ht="16.5" customHeight="1">
      <c r="B21" s="44"/>
      <c r="C21" s="272"/>
      <c r="D21" s="269"/>
      <c r="E21" s="269"/>
      <c r="F21" s="366"/>
      <c r="G21" s="366"/>
      <c r="H21" s="367"/>
      <c r="I21" s="368"/>
      <c r="J21" s="369"/>
      <c r="K21" s="370"/>
      <c r="L21" s="286"/>
      <c r="M21" s="371"/>
      <c r="N21" s="288"/>
      <c r="O21" s="288"/>
      <c r="P21" s="372"/>
      <c r="Q21" s="373"/>
      <c r="R21" s="374"/>
      <c r="S21" s="375"/>
      <c r="T21" s="376"/>
      <c r="U21" s="377"/>
      <c r="V21" s="378"/>
      <c r="W21" s="218"/>
    </row>
    <row r="22" spans="2:23" s="10" customFormat="1" ht="16.5" customHeight="1">
      <c r="B22" s="44"/>
      <c r="C22" s="272">
        <v>25</v>
      </c>
      <c r="D22" s="269">
        <v>278566</v>
      </c>
      <c r="E22" s="269">
        <v>929</v>
      </c>
      <c r="F22" s="366" t="s">
        <v>150</v>
      </c>
      <c r="G22" s="366" t="s">
        <v>152</v>
      </c>
      <c r="H22" s="379">
        <v>33</v>
      </c>
      <c r="I22" s="368">
        <f aca="true" t="shared" si="0" ref="I22:I41">IF(H22=220,$G$14,IF(AND(H22&lt;=132,H22&gt;=66),$G$15,IF(AND(H22&lt;66,H22&gt;=33),$G$16,$G$17)))</f>
        <v>16.111</v>
      </c>
      <c r="J22" s="369">
        <v>41888.28472222222</v>
      </c>
      <c r="K22" s="370">
        <v>41888.65416666667</v>
      </c>
      <c r="L22" s="286">
        <f aca="true" t="shared" si="1" ref="L22:L41">IF(F22="","",(K22-J22)*24)</f>
        <v>8.866666666755918</v>
      </c>
      <c r="M22" s="371">
        <f aca="true" t="shared" si="2" ref="M22:M41">IF(F22="","",ROUND((K22-J22)*24*60,0))</f>
        <v>532</v>
      </c>
      <c r="N22" s="288" t="s">
        <v>132</v>
      </c>
      <c r="O22" s="288" t="str">
        <f>IF(F22="","",IF(OR(N22="P",N22="RP"),"--","NO"))</f>
        <v>--</v>
      </c>
      <c r="P22" s="372">
        <f aca="true" t="shared" si="3" ref="P22:P41">IF(H22=220,$H$14,IF(AND(H22&lt;=132,H22&gt;=66),$H$15,IF(AND(H22&lt;66,H22&gt;13.2),$H$16,$H$17)))</f>
        <v>25</v>
      </c>
      <c r="Q22" s="373">
        <f aca="true" t="shared" si="4" ref="Q22:Q41">IF(N22="P",I22*P22*ROUND(M22/60,2)*0.1,"--")</f>
        <v>357.26142500000003</v>
      </c>
      <c r="R22" s="374" t="str">
        <f aca="true" t="shared" si="5" ref="R22:R41">IF(AND(N22="F",O22="NO"),I22*P22,"--")</f>
        <v>--</v>
      </c>
      <c r="S22" s="375" t="str">
        <f aca="true" t="shared" si="6" ref="S22:S41">IF(N22="F",I22*P22*ROUND(M22/60,2),"--")</f>
        <v>--</v>
      </c>
      <c r="T22" s="376" t="str">
        <f aca="true" t="shared" si="7" ref="T22:T41">IF(N22="RF",I22*P22*ROUND(M22/60,2),"--")</f>
        <v>--</v>
      </c>
      <c r="U22" s="377" t="s">
        <v>141</v>
      </c>
      <c r="V22" s="380">
        <f aca="true" t="shared" si="8" ref="V22:V41">IF(F22="","",SUM(Q22:T22)*IF(U22="SI",1,2)*IF(H22="500/220",0,1))</f>
        <v>357.26142500000003</v>
      </c>
      <c r="W22" s="299"/>
    </row>
    <row r="23" spans="2:23" s="10" customFormat="1" ht="16.5" customHeight="1">
      <c r="B23" s="44"/>
      <c r="C23" s="272">
        <v>26</v>
      </c>
      <c r="D23" s="269">
        <v>278875</v>
      </c>
      <c r="E23" s="269">
        <v>878</v>
      </c>
      <c r="F23" s="366" t="s">
        <v>142</v>
      </c>
      <c r="G23" s="366" t="s">
        <v>153</v>
      </c>
      <c r="H23" s="367">
        <v>13.199999809265137</v>
      </c>
      <c r="I23" s="368">
        <f t="shared" si="0"/>
        <v>16.111</v>
      </c>
      <c r="J23" s="369">
        <v>41890.478472222225</v>
      </c>
      <c r="K23" s="370">
        <v>41890.48125</v>
      </c>
      <c r="L23" s="286">
        <f t="shared" si="1"/>
        <v>0.0666666665347293</v>
      </c>
      <c r="M23" s="371">
        <f t="shared" si="2"/>
        <v>4</v>
      </c>
      <c r="N23" s="288" t="s">
        <v>135</v>
      </c>
      <c r="O23" s="288" t="s">
        <v>141</v>
      </c>
      <c r="P23" s="372">
        <f t="shared" si="3"/>
        <v>20</v>
      </c>
      <c r="Q23" s="373" t="str">
        <f t="shared" si="4"/>
        <v>--</v>
      </c>
      <c r="R23" s="374" t="str">
        <f t="shared" si="5"/>
        <v>--</v>
      </c>
      <c r="S23" s="375">
        <f t="shared" si="6"/>
        <v>22.555400000000002</v>
      </c>
      <c r="T23" s="376" t="str">
        <f t="shared" si="7"/>
        <v>--</v>
      </c>
      <c r="U23" s="377" t="s">
        <v>141</v>
      </c>
      <c r="V23" s="380">
        <f t="shared" si="8"/>
        <v>22.555400000000002</v>
      </c>
      <c r="W23" s="299"/>
    </row>
    <row r="24" spans="2:23" s="10" customFormat="1" ht="16.5" customHeight="1">
      <c r="B24" s="44"/>
      <c r="C24" s="272">
        <v>27</v>
      </c>
      <c r="D24" s="269">
        <v>278876</v>
      </c>
      <c r="E24" s="269">
        <v>878</v>
      </c>
      <c r="F24" s="366" t="s">
        <v>142</v>
      </c>
      <c r="G24" s="366" t="s">
        <v>153</v>
      </c>
      <c r="H24" s="367">
        <v>13.199999809265137</v>
      </c>
      <c r="I24" s="368">
        <f t="shared" si="0"/>
        <v>16.111</v>
      </c>
      <c r="J24" s="369">
        <v>41893.40277777778</v>
      </c>
      <c r="K24" s="370">
        <v>41893.62430555555</v>
      </c>
      <c r="L24" s="286">
        <f t="shared" si="1"/>
        <v>5.316666666534729</v>
      </c>
      <c r="M24" s="371">
        <f t="shared" si="2"/>
        <v>319</v>
      </c>
      <c r="N24" s="288" t="s">
        <v>132</v>
      </c>
      <c r="O24" s="288" t="str">
        <f aca="true" t="shared" si="9" ref="O24:O41">IF(F24="","",IF(OR(N24="P",N24="RP"),"--","NO"))</f>
        <v>--</v>
      </c>
      <c r="P24" s="372">
        <f t="shared" si="3"/>
        <v>20</v>
      </c>
      <c r="Q24" s="373">
        <f t="shared" si="4"/>
        <v>171.42104000000003</v>
      </c>
      <c r="R24" s="374" t="str">
        <f t="shared" si="5"/>
        <v>--</v>
      </c>
      <c r="S24" s="375" t="str">
        <f t="shared" si="6"/>
        <v>--</v>
      </c>
      <c r="T24" s="376" t="str">
        <f t="shared" si="7"/>
        <v>--</v>
      </c>
      <c r="U24" s="377" t="s">
        <v>141</v>
      </c>
      <c r="V24" s="380">
        <f t="shared" si="8"/>
        <v>171.42104000000003</v>
      </c>
      <c r="W24" s="299"/>
    </row>
    <row r="25" spans="2:23" s="10" customFormat="1" ht="16.5" customHeight="1">
      <c r="B25" s="44"/>
      <c r="C25" s="272">
        <v>28</v>
      </c>
      <c r="D25" s="269">
        <v>279161</v>
      </c>
      <c r="E25" s="269">
        <v>920</v>
      </c>
      <c r="F25" s="366" t="s">
        <v>150</v>
      </c>
      <c r="G25" s="366" t="s">
        <v>160</v>
      </c>
      <c r="H25" s="367">
        <v>132</v>
      </c>
      <c r="I25" s="368">
        <f t="shared" si="0"/>
        <v>21.473</v>
      </c>
      <c r="J25" s="369">
        <v>41899.333333333336</v>
      </c>
      <c r="K25" s="370">
        <v>41899.583333333336</v>
      </c>
      <c r="L25" s="286">
        <f t="shared" si="1"/>
        <v>6</v>
      </c>
      <c r="M25" s="371">
        <f t="shared" si="2"/>
        <v>360</v>
      </c>
      <c r="N25" s="288" t="s">
        <v>132</v>
      </c>
      <c r="O25" s="288" t="str">
        <f t="shared" si="9"/>
        <v>--</v>
      </c>
      <c r="P25" s="372">
        <f t="shared" si="3"/>
        <v>50</v>
      </c>
      <c r="Q25" s="373">
        <f t="shared" si="4"/>
        <v>644.19</v>
      </c>
      <c r="R25" s="374" t="str">
        <f t="shared" si="5"/>
        <v>--</v>
      </c>
      <c r="S25" s="375" t="str">
        <f t="shared" si="6"/>
        <v>--</v>
      </c>
      <c r="T25" s="376" t="str">
        <f t="shared" si="7"/>
        <v>--</v>
      </c>
      <c r="U25" s="377" t="s">
        <v>141</v>
      </c>
      <c r="V25" s="380">
        <f t="shared" si="8"/>
        <v>644.19</v>
      </c>
      <c r="W25" s="299"/>
    </row>
    <row r="26" spans="2:23" s="10" customFormat="1" ht="16.5" customHeight="1">
      <c r="B26" s="44"/>
      <c r="C26" s="272">
        <v>29</v>
      </c>
      <c r="D26" s="269">
        <v>279166</v>
      </c>
      <c r="E26" s="269">
        <v>920</v>
      </c>
      <c r="F26" s="366" t="s">
        <v>150</v>
      </c>
      <c r="G26" s="366" t="s">
        <v>160</v>
      </c>
      <c r="H26" s="367">
        <v>132</v>
      </c>
      <c r="I26" s="368">
        <f t="shared" si="0"/>
        <v>21.473</v>
      </c>
      <c r="J26" s="369">
        <v>41903.35208333333</v>
      </c>
      <c r="K26" s="370">
        <v>41903.604166666664</v>
      </c>
      <c r="L26" s="286">
        <f t="shared" si="1"/>
        <v>6.0499999999883585</v>
      </c>
      <c r="M26" s="371">
        <f t="shared" si="2"/>
        <v>363</v>
      </c>
      <c r="N26" s="288" t="s">
        <v>132</v>
      </c>
      <c r="O26" s="288" t="str">
        <f t="shared" si="9"/>
        <v>--</v>
      </c>
      <c r="P26" s="372">
        <f t="shared" si="3"/>
        <v>50</v>
      </c>
      <c r="Q26" s="373">
        <f t="shared" si="4"/>
        <v>649.5582499999999</v>
      </c>
      <c r="R26" s="374" t="str">
        <f t="shared" si="5"/>
        <v>--</v>
      </c>
      <c r="S26" s="375" t="str">
        <f t="shared" si="6"/>
        <v>--</v>
      </c>
      <c r="T26" s="376" t="str">
        <f t="shared" si="7"/>
        <v>--</v>
      </c>
      <c r="U26" s="377" t="s">
        <v>141</v>
      </c>
      <c r="V26" s="380">
        <f t="shared" si="8"/>
        <v>649.5582499999999</v>
      </c>
      <c r="W26" s="299"/>
    </row>
    <row r="27" spans="2:23" s="10" customFormat="1" ht="16.5" customHeight="1">
      <c r="B27" s="44"/>
      <c r="C27" s="272">
        <v>30</v>
      </c>
      <c r="D27" s="269">
        <v>279405</v>
      </c>
      <c r="E27" s="269">
        <v>911</v>
      </c>
      <c r="F27" s="366" t="s">
        <v>145</v>
      </c>
      <c r="G27" s="366" t="s">
        <v>154</v>
      </c>
      <c r="H27" s="367">
        <v>13.199999809265137</v>
      </c>
      <c r="I27" s="368">
        <f t="shared" si="0"/>
        <v>16.111</v>
      </c>
      <c r="J27" s="369">
        <v>41905.40138888889</v>
      </c>
      <c r="K27" s="370">
        <v>41905.55625</v>
      </c>
      <c r="L27" s="286">
        <f t="shared" si="1"/>
        <v>3.7166666667326353</v>
      </c>
      <c r="M27" s="371">
        <f t="shared" si="2"/>
        <v>223</v>
      </c>
      <c r="N27" s="288" t="s">
        <v>132</v>
      </c>
      <c r="O27" s="288" t="str">
        <f t="shared" si="9"/>
        <v>--</v>
      </c>
      <c r="P27" s="372">
        <f t="shared" si="3"/>
        <v>20</v>
      </c>
      <c r="Q27" s="373">
        <f t="shared" si="4"/>
        <v>119.86584000000003</v>
      </c>
      <c r="R27" s="374" t="str">
        <f t="shared" si="5"/>
        <v>--</v>
      </c>
      <c r="S27" s="375" t="str">
        <f t="shared" si="6"/>
        <v>--</v>
      </c>
      <c r="T27" s="376" t="str">
        <f t="shared" si="7"/>
        <v>--</v>
      </c>
      <c r="U27" s="377" t="s">
        <v>141</v>
      </c>
      <c r="V27" s="380">
        <f t="shared" si="8"/>
        <v>119.86584000000003</v>
      </c>
      <c r="W27" s="299"/>
    </row>
    <row r="28" spans="2:23" s="10" customFormat="1" ht="16.5" customHeight="1">
      <c r="B28" s="44"/>
      <c r="C28" s="272">
        <v>31</v>
      </c>
      <c r="D28" s="269">
        <v>279406</v>
      </c>
      <c r="E28" s="269">
        <v>909</v>
      </c>
      <c r="F28" s="366" t="s">
        <v>145</v>
      </c>
      <c r="G28" s="366" t="s">
        <v>155</v>
      </c>
      <c r="H28" s="367">
        <v>13.199999809265137</v>
      </c>
      <c r="I28" s="368">
        <f t="shared" si="0"/>
        <v>16.111</v>
      </c>
      <c r="J28" s="369">
        <v>41910.354166666664</v>
      </c>
      <c r="K28" s="370">
        <v>41910.84027777778</v>
      </c>
      <c r="L28" s="286">
        <f t="shared" si="1"/>
        <v>11.666666666802485</v>
      </c>
      <c r="M28" s="371">
        <f t="shared" si="2"/>
        <v>700</v>
      </c>
      <c r="N28" s="288" t="s">
        <v>132</v>
      </c>
      <c r="O28" s="288" t="str">
        <f t="shared" si="9"/>
        <v>--</v>
      </c>
      <c r="P28" s="372">
        <f t="shared" si="3"/>
        <v>20</v>
      </c>
      <c r="Q28" s="373">
        <f t="shared" si="4"/>
        <v>376.03074000000004</v>
      </c>
      <c r="R28" s="374" t="str">
        <f t="shared" si="5"/>
        <v>--</v>
      </c>
      <c r="S28" s="375" t="str">
        <f t="shared" si="6"/>
        <v>--</v>
      </c>
      <c r="T28" s="376" t="str">
        <f t="shared" si="7"/>
        <v>--</v>
      </c>
      <c r="U28" s="377" t="s">
        <v>141</v>
      </c>
      <c r="V28" s="380">
        <f t="shared" si="8"/>
        <v>376.03074000000004</v>
      </c>
      <c r="W28" s="299"/>
    </row>
    <row r="29" spans="2:23" s="10" customFormat="1" ht="16.5" customHeight="1">
      <c r="B29" s="44"/>
      <c r="C29" s="272">
        <v>32</v>
      </c>
      <c r="D29" s="269">
        <v>279407</v>
      </c>
      <c r="E29" s="269">
        <v>907</v>
      </c>
      <c r="F29" s="366" t="s">
        <v>145</v>
      </c>
      <c r="G29" s="366" t="s">
        <v>156</v>
      </c>
      <c r="H29" s="367">
        <v>33</v>
      </c>
      <c r="I29" s="368">
        <f t="shared" si="0"/>
        <v>16.111</v>
      </c>
      <c r="J29" s="369">
        <v>41910.354166666664</v>
      </c>
      <c r="K29" s="370">
        <v>41910.84027777778</v>
      </c>
      <c r="L29" s="286">
        <f t="shared" si="1"/>
        <v>11.666666666802485</v>
      </c>
      <c r="M29" s="371">
        <f t="shared" si="2"/>
        <v>700</v>
      </c>
      <c r="N29" s="288" t="s">
        <v>132</v>
      </c>
      <c r="O29" s="288" t="str">
        <f t="shared" si="9"/>
        <v>--</v>
      </c>
      <c r="P29" s="372">
        <f t="shared" si="3"/>
        <v>25</v>
      </c>
      <c r="Q29" s="373">
        <f t="shared" si="4"/>
        <v>470.038425</v>
      </c>
      <c r="R29" s="374" t="str">
        <f t="shared" si="5"/>
        <v>--</v>
      </c>
      <c r="S29" s="375" t="str">
        <f t="shared" si="6"/>
        <v>--</v>
      </c>
      <c r="T29" s="376" t="str">
        <f t="shared" si="7"/>
        <v>--</v>
      </c>
      <c r="U29" s="377" t="s">
        <v>141</v>
      </c>
      <c r="V29" s="380">
        <f t="shared" si="8"/>
        <v>470.038425</v>
      </c>
      <c r="W29" s="299"/>
    </row>
    <row r="30" spans="2:23" s="10" customFormat="1" ht="16.5" customHeight="1">
      <c r="B30" s="44"/>
      <c r="C30" s="272"/>
      <c r="D30" s="269"/>
      <c r="E30" s="269"/>
      <c r="F30" s="366"/>
      <c r="G30" s="366"/>
      <c r="H30" s="367"/>
      <c r="I30" s="368">
        <f t="shared" si="0"/>
        <v>16.111</v>
      </c>
      <c r="J30" s="369"/>
      <c r="K30" s="370"/>
      <c r="L30" s="286">
        <f t="shared" si="1"/>
      </c>
      <c r="M30" s="371">
        <f t="shared" si="2"/>
      </c>
      <c r="N30" s="288"/>
      <c r="O30" s="288">
        <f t="shared" si="9"/>
      </c>
      <c r="P30" s="372">
        <f t="shared" si="3"/>
        <v>20</v>
      </c>
      <c r="Q30" s="373" t="str">
        <f t="shared" si="4"/>
        <v>--</v>
      </c>
      <c r="R30" s="374" t="str">
        <f t="shared" si="5"/>
        <v>--</v>
      </c>
      <c r="S30" s="375" t="str">
        <f t="shared" si="6"/>
        <v>--</v>
      </c>
      <c r="T30" s="376" t="str">
        <f t="shared" si="7"/>
        <v>--</v>
      </c>
      <c r="U30" s="377">
        <f aca="true" t="shared" si="10" ref="U30:U41">IF(F30="","","SI")</f>
      </c>
      <c r="V30" s="380">
        <f t="shared" si="8"/>
      </c>
      <c r="W30" s="299"/>
    </row>
    <row r="31" spans="2:23" s="10" customFormat="1" ht="16.5" customHeight="1">
      <c r="B31" s="44"/>
      <c r="C31" s="272"/>
      <c r="D31" s="269"/>
      <c r="E31" s="269"/>
      <c r="F31" s="366"/>
      <c r="G31" s="366"/>
      <c r="H31" s="367"/>
      <c r="I31" s="368">
        <f t="shared" si="0"/>
        <v>16.111</v>
      </c>
      <c r="J31" s="369"/>
      <c r="K31" s="370"/>
      <c r="L31" s="286">
        <f t="shared" si="1"/>
      </c>
      <c r="M31" s="371">
        <f t="shared" si="2"/>
      </c>
      <c r="N31" s="288"/>
      <c r="O31" s="288">
        <f t="shared" si="9"/>
      </c>
      <c r="P31" s="372">
        <f t="shared" si="3"/>
        <v>20</v>
      </c>
      <c r="Q31" s="373" t="str">
        <f t="shared" si="4"/>
        <v>--</v>
      </c>
      <c r="R31" s="374" t="str">
        <f t="shared" si="5"/>
        <v>--</v>
      </c>
      <c r="S31" s="375" t="str">
        <f t="shared" si="6"/>
        <v>--</v>
      </c>
      <c r="T31" s="376" t="str">
        <f t="shared" si="7"/>
        <v>--</v>
      </c>
      <c r="U31" s="377">
        <f t="shared" si="10"/>
      </c>
      <c r="V31" s="380">
        <f t="shared" si="8"/>
      </c>
      <c r="W31" s="299"/>
    </row>
    <row r="32" spans="2:23" s="10" customFormat="1" ht="16.5" customHeight="1">
      <c r="B32" s="44"/>
      <c r="C32" s="272"/>
      <c r="D32" s="269"/>
      <c r="E32" s="269"/>
      <c r="F32" s="366"/>
      <c r="G32" s="366"/>
      <c r="H32" s="367"/>
      <c r="I32" s="368">
        <f t="shared" si="0"/>
        <v>16.111</v>
      </c>
      <c r="J32" s="369"/>
      <c r="K32" s="370"/>
      <c r="L32" s="286">
        <f t="shared" si="1"/>
      </c>
      <c r="M32" s="371">
        <f t="shared" si="2"/>
      </c>
      <c r="N32" s="288"/>
      <c r="O32" s="288">
        <f t="shared" si="9"/>
      </c>
      <c r="P32" s="372">
        <f t="shared" si="3"/>
        <v>20</v>
      </c>
      <c r="Q32" s="373" t="str">
        <f t="shared" si="4"/>
        <v>--</v>
      </c>
      <c r="R32" s="374" t="str">
        <f t="shared" si="5"/>
        <v>--</v>
      </c>
      <c r="S32" s="375" t="str">
        <f t="shared" si="6"/>
        <v>--</v>
      </c>
      <c r="T32" s="376" t="str">
        <f t="shared" si="7"/>
        <v>--</v>
      </c>
      <c r="U32" s="377">
        <f t="shared" si="10"/>
      </c>
      <c r="V32" s="380">
        <f t="shared" si="8"/>
      </c>
      <c r="W32" s="299"/>
    </row>
    <row r="33" spans="2:23" s="10" customFormat="1" ht="16.5" customHeight="1">
      <c r="B33" s="44"/>
      <c r="C33" s="272"/>
      <c r="D33" s="269"/>
      <c r="E33" s="269"/>
      <c r="F33" s="366"/>
      <c r="G33" s="366"/>
      <c r="H33" s="367"/>
      <c r="I33" s="368">
        <f t="shared" si="0"/>
        <v>16.111</v>
      </c>
      <c r="J33" s="369"/>
      <c r="K33" s="370"/>
      <c r="L33" s="286">
        <f t="shared" si="1"/>
      </c>
      <c r="M33" s="371">
        <f t="shared" si="2"/>
      </c>
      <c r="N33" s="288"/>
      <c r="O33" s="288">
        <f t="shared" si="9"/>
      </c>
      <c r="P33" s="372">
        <f t="shared" si="3"/>
        <v>20</v>
      </c>
      <c r="Q33" s="373" t="str">
        <f t="shared" si="4"/>
        <v>--</v>
      </c>
      <c r="R33" s="374" t="str">
        <f t="shared" si="5"/>
        <v>--</v>
      </c>
      <c r="S33" s="375" t="str">
        <f t="shared" si="6"/>
        <v>--</v>
      </c>
      <c r="T33" s="376" t="str">
        <f t="shared" si="7"/>
        <v>--</v>
      </c>
      <c r="U33" s="377">
        <f t="shared" si="10"/>
      </c>
      <c r="V33" s="380">
        <f t="shared" si="8"/>
      </c>
      <c r="W33" s="299"/>
    </row>
    <row r="34" spans="2:23" s="10" customFormat="1" ht="16.5" customHeight="1">
      <c r="B34" s="44"/>
      <c r="C34" s="272"/>
      <c r="D34" s="269"/>
      <c r="E34" s="269"/>
      <c r="F34" s="366"/>
      <c r="G34" s="366"/>
      <c r="H34" s="367"/>
      <c r="I34" s="368">
        <f t="shared" si="0"/>
        <v>16.111</v>
      </c>
      <c r="J34" s="369"/>
      <c r="K34" s="370"/>
      <c r="L34" s="286">
        <f t="shared" si="1"/>
      </c>
      <c r="M34" s="371">
        <f t="shared" si="2"/>
      </c>
      <c r="N34" s="288"/>
      <c r="O34" s="288">
        <f t="shared" si="9"/>
      </c>
      <c r="P34" s="372">
        <f t="shared" si="3"/>
        <v>20</v>
      </c>
      <c r="Q34" s="373" t="str">
        <f t="shared" si="4"/>
        <v>--</v>
      </c>
      <c r="R34" s="374" t="str">
        <f t="shared" si="5"/>
        <v>--</v>
      </c>
      <c r="S34" s="375" t="str">
        <f t="shared" si="6"/>
        <v>--</v>
      </c>
      <c r="T34" s="376" t="str">
        <f t="shared" si="7"/>
        <v>--</v>
      </c>
      <c r="U34" s="377">
        <f t="shared" si="10"/>
      </c>
      <c r="V34" s="380">
        <f t="shared" si="8"/>
      </c>
      <c r="W34" s="299"/>
    </row>
    <row r="35" spans="2:23" s="10" customFormat="1" ht="16.5" customHeight="1">
      <c r="B35" s="44"/>
      <c r="C35" s="272"/>
      <c r="D35" s="269"/>
      <c r="E35" s="269"/>
      <c r="F35" s="366"/>
      <c r="G35" s="366"/>
      <c r="H35" s="367"/>
      <c r="I35" s="368">
        <f t="shared" si="0"/>
        <v>16.111</v>
      </c>
      <c r="J35" s="369"/>
      <c r="K35" s="370"/>
      <c r="L35" s="286">
        <f t="shared" si="1"/>
      </c>
      <c r="M35" s="371">
        <f t="shared" si="2"/>
      </c>
      <c r="N35" s="288"/>
      <c r="O35" s="288">
        <f t="shared" si="9"/>
      </c>
      <c r="P35" s="372">
        <f t="shared" si="3"/>
        <v>20</v>
      </c>
      <c r="Q35" s="373" t="str">
        <f t="shared" si="4"/>
        <v>--</v>
      </c>
      <c r="R35" s="374" t="str">
        <f t="shared" si="5"/>
        <v>--</v>
      </c>
      <c r="S35" s="375" t="str">
        <f t="shared" si="6"/>
        <v>--</v>
      </c>
      <c r="T35" s="376" t="str">
        <f t="shared" si="7"/>
        <v>--</v>
      </c>
      <c r="U35" s="377">
        <f t="shared" si="10"/>
      </c>
      <c r="V35" s="380">
        <f t="shared" si="8"/>
      </c>
      <c r="W35" s="299"/>
    </row>
    <row r="36" spans="2:23" s="10" customFormat="1" ht="16.5" customHeight="1">
      <c r="B36" s="44"/>
      <c r="C36" s="272"/>
      <c r="D36" s="269"/>
      <c r="E36" s="269"/>
      <c r="F36" s="366"/>
      <c r="G36" s="366"/>
      <c r="H36" s="367"/>
      <c r="I36" s="368">
        <f t="shared" si="0"/>
        <v>16.111</v>
      </c>
      <c r="J36" s="369"/>
      <c r="K36" s="370"/>
      <c r="L36" s="286">
        <f t="shared" si="1"/>
      </c>
      <c r="M36" s="371">
        <f t="shared" si="2"/>
      </c>
      <c r="N36" s="288"/>
      <c r="O36" s="288">
        <f t="shared" si="9"/>
      </c>
      <c r="P36" s="372">
        <f t="shared" si="3"/>
        <v>20</v>
      </c>
      <c r="Q36" s="373" t="str">
        <f t="shared" si="4"/>
        <v>--</v>
      </c>
      <c r="R36" s="374" t="str">
        <f t="shared" si="5"/>
        <v>--</v>
      </c>
      <c r="S36" s="375" t="str">
        <f t="shared" si="6"/>
        <v>--</v>
      </c>
      <c r="T36" s="376" t="str">
        <f t="shared" si="7"/>
        <v>--</v>
      </c>
      <c r="U36" s="377">
        <f t="shared" si="10"/>
      </c>
      <c r="V36" s="380">
        <f t="shared" si="8"/>
      </c>
      <c r="W36" s="299"/>
    </row>
    <row r="37" spans="2:23" s="10" customFormat="1" ht="16.5" customHeight="1">
      <c r="B37" s="44"/>
      <c r="C37" s="272"/>
      <c r="D37" s="269"/>
      <c r="E37" s="269"/>
      <c r="F37" s="366"/>
      <c r="G37" s="366"/>
      <c r="H37" s="367"/>
      <c r="I37" s="368">
        <f t="shared" si="0"/>
        <v>16.111</v>
      </c>
      <c r="J37" s="369"/>
      <c r="K37" s="370"/>
      <c r="L37" s="286">
        <f t="shared" si="1"/>
      </c>
      <c r="M37" s="371">
        <f t="shared" si="2"/>
      </c>
      <c r="N37" s="288"/>
      <c r="O37" s="288">
        <f t="shared" si="9"/>
      </c>
      <c r="P37" s="372">
        <f t="shared" si="3"/>
        <v>20</v>
      </c>
      <c r="Q37" s="373" t="str">
        <f t="shared" si="4"/>
        <v>--</v>
      </c>
      <c r="R37" s="374" t="str">
        <f t="shared" si="5"/>
        <v>--</v>
      </c>
      <c r="S37" s="375" t="str">
        <f t="shared" si="6"/>
        <v>--</v>
      </c>
      <c r="T37" s="376" t="str">
        <f t="shared" si="7"/>
        <v>--</v>
      </c>
      <c r="U37" s="377">
        <f t="shared" si="10"/>
      </c>
      <c r="V37" s="380">
        <f t="shared" si="8"/>
      </c>
      <c r="W37" s="299"/>
    </row>
    <row r="38" spans="2:23" s="10" customFormat="1" ht="16.5" customHeight="1">
      <c r="B38" s="44"/>
      <c r="C38" s="272"/>
      <c r="D38" s="269"/>
      <c r="E38" s="269"/>
      <c r="F38" s="366"/>
      <c r="G38" s="366"/>
      <c r="H38" s="367"/>
      <c r="I38" s="368">
        <f t="shared" si="0"/>
        <v>16.111</v>
      </c>
      <c r="J38" s="369"/>
      <c r="K38" s="370"/>
      <c r="L38" s="286">
        <f t="shared" si="1"/>
      </c>
      <c r="M38" s="371">
        <f t="shared" si="2"/>
      </c>
      <c r="N38" s="288"/>
      <c r="O38" s="288">
        <f t="shared" si="9"/>
      </c>
      <c r="P38" s="372">
        <f t="shared" si="3"/>
        <v>20</v>
      </c>
      <c r="Q38" s="373" t="str">
        <f t="shared" si="4"/>
        <v>--</v>
      </c>
      <c r="R38" s="374" t="str">
        <f t="shared" si="5"/>
        <v>--</v>
      </c>
      <c r="S38" s="375" t="str">
        <f t="shared" si="6"/>
        <v>--</v>
      </c>
      <c r="T38" s="376" t="str">
        <f t="shared" si="7"/>
        <v>--</v>
      </c>
      <c r="U38" s="377">
        <f t="shared" si="10"/>
      </c>
      <c r="V38" s="380">
        <f t="shared" si="8"/>
      </c>
      <c r="W38" s="299"/>
    </row>
    <row r="39" spans="2:23" s="10" customFormat="1" ht="16.5" customHeight="1">
      <c r="B39" s="44"/>
      <c r="C39" s="272"/>
      <c r="D39" s="269"/>
      <c r="E39" s="269"/>
      <c r="F39" s="366"/>
      <c r="G39" s="366"/>
      <c r="H39" s="367"/>
      <c r="I39" s="368">
        <f t="shared" si="0"/>
        <v>16.111</v>
      </c>
      <c r="J39" s="369"/>
      <c r="K39" s="370"/>
      <c r="L39" s="286">
        <f t="shared" si="1"/>
      </c>
      <c r="M39" s="371">
        <f t="shared" si="2"/>
      </c>
      <c r="N39" s="288"/>
      <c r="O39" s="288">
        <f t="shared" si="9"/>
      </c>
      <c r="P39" s="372">
        <f t="shared" si="3"/>
        <v>20</v>
      </c>
      <c r="Q39" s="373" t="str">
        <f t="shared" si="4"/>
        <v>--</v>
      </c>
      <c r="R39" s="374" t="str">
        <f t="shared" si="5"/>
        <v>--</v>
      </c>
      <c r="S39" s="375" t="str">
        <f t="shared" si="6"/>
        <v>--</v>
      </c>
      <c r="T39" s="376" t="str">
        <f t="shared" si="7"/>
        <v>--</v>
      </c>
      <c r="U39" s="377">
        <f t="shared" si="10"/>
      </c>
      <c r="V39" s="380">
        <f t="shared" si="8"/>
      </c>
      <c r="W39" s="299"/>
    </row>
    <row r="40" spans="2:23" s="10" customFormat="1" ht="16.5" customHeight="1">
      <c r="B40" s="44"/>
      <c r="C40" s="272"/>
      <c r="D40" s="269"/>
      <c r="E40" s="269"/>
      <c r="F40" s="366"/>
      <c r="G40" s="366"/>
      <c r="H40" s="367"/>
      <c r="I40" s="368">
        <f t="shared" si="0"/>
        <v>16.111</v>
      </c>
      <c r="J40" s="369"/>
      <c r="K40" s="370"/>
      <c r="L40" s="286">
        <f t="shared" si="1"/>
      </c>
      <c r="M40" s="371">
        <f t="shared" si="2"/>
      </c>
      <c r="N40" s="288"/>
      <c r="O40" s="288">
        <f t="shared" si="9"/>
      </c>
      <c r="P40" s="372">
        <f t="shared" si="3"/>
        <v>20</v>
      </c>
      <c r="Q40" s="373" t="str">
        <f t="shared" si="4"/>
        <v>--</v>
      </c>
      <c r="R40" s="374" t="str">
        <f t="shared" si="5"/>
        <v>--</v>
      </c>
      <c r="S40" s="375" t="str">
        <f t="shared" si="6"/>
        <v>--</v>
      </c>
      <c r="T40" s="376" t="str">
        <f t="shared" si="7"/>
        <v>--</v>
      </c>
      <c r="U40" s="377">
        <f t="shared" si="10"/>
      </c>
      <c r="V40" s="380">
        <f t="shared" si="8"/>
      </c>
      <c r="W40" s="299"/>
    </row>
    <row r="41" spans="2:23" s="10" customFormat="1" ht="16.5" customHeight="1">
      <c r="B41" s="44"/>
      <c r="C41" s="272"/>
      <c r="D41" s="269"/>
      <c r="E41" s="269"/>
      <c r="F41" s="366"/>
      <c r="G41" s="366"/>
      <c r="H41" s="367"/>
      <c r="I41" s="368">
        <f t="shared" si="0"/>
        <v>16.111</v>
      </c>
      <c r="J41" s="369"/>
      <c r="K41" s="370"/>
      <c r="L41" s="286">
        <f t="shared" si="1"/>
      </c>
      <c r="M41" s="371">
        <f t="shared" si="2"/>
      </c>
      <c r="N41" s="288"/>
      <c r="O41" s="288">
        <f t="shared" si="9"/>
      </c>
      <c r="P41" s="372">
        <f t="shared" si="3"/>
        <v>20</v>
      </c>
      <c r="Q41" s="373" t="str">
        <f t="shared" si="4"/>
        <v>--</v>
      </c>
      <c r="R41" s="374" t="str">
        <f t="shared" si="5"/>
        <v>--</v>
      </c>
      <c r="S41" s="375" t="str">
        <f t="shared" si="6"/>
        <v>--</v>
      </c>
      <c r="T41" s="376" t="str">
        <f t="shared" si="7"/>
        <v>--</v>
      </c>
      <c r="U41" s="377">
        <f t="shared" si="10"/>
      </c>
      <c r="V41" s="380">
        <f t="shared" si="8"/>
      </c>
      <c r="W41" s="299"/>
    </row>
    <row r="42" spans="2:23" s="10" customFormat="1" ht="16.5" customHeight="1" thickBot="1">
      <c r="B42" s="44"/>
      <c r="C42" s="300"/>
      <c r="D42" s="300"/>
      <c r="E42" s="300"/>
      <c r="F42" s="300"/>
      <c r="G42" s="300"/>
      <c r="H42" s="300"/>
      <c r="I42" s="381"/>
      <c r="J42" s="300"/>
      <c r="K42" s="300"/>
      <c r="L42" s="300"/>
      <c r="M42" s="300"/>
      <c r="N42" s="300"/>
      <c r="O42" s="300"/>
      <c r="P42" s="382"/>
      <c r="Q42" s="383"/>
      <c r="R42" s="384"/>
      <c r="S42" s="385"/>
      <c r="T42" s="386"/>
      <c r="U42" s="300"/>
      <c r="V42" s="387"/>
      <c r="W42" s="299"/>
    </row>
    <row r="43" spans="2:23" s="10" customFormat="1" ht="16.5" customHeight="1" thickBot="1" thickTop="1">
      <c r="B43" s="44"/>
      <c r="C43" s="172" t="s">
        <v>73</v>
      </c>
      <c r="D43" s="419" t="s">
        <v>159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388">
        <f>SUM(Q20:Q42)</f>
        <v>2788.3657200000002</v>
      </c>
      <c r="R43" s="389">
        <f>SUM(R20:R42)</f>
        <v>0</v>
      </c>
      <c r="S43" s="389">
        <f>SUM(S20:S42)</f>
        <v>22.555400000000002</v>
      </c>
      <c r="T43" s="390">
        <f>SUM(T20:T42)</f>
        <v>0</v>
      </c>
      <c r="U43" s="391"/>
      <c r="V43" s="392">
        <f>ROUND(SUM(V20:V42),2)</f>
        <v>2810.92</v>
      </c>
      <c r="W43" s="299"/>
    </row>
    <row r="44" spans="2:23" s="185" customFormat="1" ht="9.75" thickTop="1">
      <c r="B44" s="186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3"/>
      <c r="V44" s="393"/>
      <c r="W44" s="325"/>
    </row>
    <row r="45" spans="2:23" s="10" customFormat="1" ht="16.5" customHeight="1" thickBot="1">
      <c r="B45" s="198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8"/>
    </row>
    <row r="46" spans="2:23" ht="16.5" customHeight="1" thickTop="1"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</row>
    <row r="47" spans="3:6" ht="16.5" customHeight="1">
      <c r="C47" s="394"/>
      <c r="D47" s="394"/>
      <c r="E47" s="394"/>
      <c r="F47" s="394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60" zoomScaleNormal="60" zoomScalePageLayoutView="0" workbookViewId="0" topLeftCell="A13">
      <selection activeCell="G25" sqref="G25"/>
    </sheetView>
  </sheetViews>
  <sheetFormatPr defaultColWidth="11.421875" defaultRowHeight="12.75"/>
  <cols>
    <col min="1" max="1" width="22.7109375" style="420" customWidth="1"/>
    <col min="2" max="2" width="15.7109375" style="420" customWidth="1"/>
    <col min="3" max="3" width="5.7109375" style="420" customWidth="1"/>
    <col min="4" max="4" width="56.421875" style="420" customWidth="1"/>
    <col min="5" max="5" width="10.421875" style="420" customWidth="1"/>
    <col min="6" max="6" width="14.140625" style="420" customWidth="1"/>
    <col min="7" max="7" width="11.7109375" style="420" customWidth="1"/>
    <col min="8" max="8" width="12.57421875" style="420" customWidth="1"/>
    <col min="9" max="10" width="10.7109375" style="420" customWidth="1"/>
    <col min="11" max="11" width="14.28125" style="420" customWidth="1"/>
    <col min="12" max="12" width="10.7109375" style="420" customWidth="1"/>
    <col min="13" max="13" width="11.421875" style="420" customWidth="1"/>
    <col min="14" max="19" width="10.7109375" style="420" customWidth="1"/>
    <col min="20" max="20" width="15.7109375" style="420" customWidth="1"/>
    <col min="21" max="16384" width="11.421875" style="420" customWidth="1"/>
  </cols>
  <sheetData>
    <row r="1" ht="38.25" customHeight="1">
      <c r="T1" s="421"/>
    </row>
    <row r="2" spans="2:20" s="422" customFormat="1" ht="40.5" customHeight="1">
      <c r="B2" s="423" t="str">
        <f>'TOT-0914'!B2</f>
        <v>ANEXO IV al Memorandum D.T.E.E. N°    306   / 2015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</row>
    <row r="3" spans="1:2" s="426" customFormat="1" ht="11.25" customHeight="1">
      <c r="A3" s="424" t="s">
        <v>3</v>
      </c>
      <c r="B3" s="425"/>
    </row>
    <row r="4" spans="1:4" s="426" customFormat="1" ht="11.25" customHeight="1">
      <c r="A4" s="424" t="s">
        <v>4</v>
      </c>
      <c r="B4" s="425"/>
      <c r="D4" s="427"/>
    </row>
    <row r="5" spans="1:4" ht="10.5" customHeight="1">
      <c r="A5" s="428"/>
      <c r="D5" s="429"/>
    </row>
    <row r="6" spans="1:20" ht="26.25">
      <c r="A6" s="428"/>
      <c r="B6" s="430" t="s">
        <v>163</v>
      </c>
      <c r="C6" s="431"/>
      <c r="D6" s="429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</row>
    <row r="7" spans="1:4" ht="18.75" customHeight="1">
      <c r="A7" s="428"/>
      <c r="D7" s="429"/>
    </row>
    <row r="8" spans="1:20" ht="26.25">
      <c r="A8" s="428"/>
      <c r="B8" s="432" t="s">
        <v>1</v>
      </c>
      <c r="C8" s="431"/>
      <c r="D8" s="429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</row>
    <row r="9" spans="1:4" ht="18.75" customHeight="1">
      <c r="A9" s="428"/>
      <c r="D9" s="429"/>
    </row>
    <row r="10" spans="1:20" ht="26.25">
      <c r="A10" s="428"/>
      <c r="B10" s="432" t="s">
        <v>164</v>
      </c>
      <c r="C10" s="431"/>
      <c r="D10" s="429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</row>
    <row r="11" ht="18.75" customHeight="1" thickBot="1"/>
    <row r="12" spans="2:20" ht="18.75" customHeight="1" thickTop="1">
      <c r="B12" s="433"/>
      <c r="C12" s="434"/>
      <c r="D12" s="435"/>
      <c r="E12" s="435"/>
      <c r="F12" s="435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6"/>
    </row>
    <row r="13" spans="2:20" ht="30" customHeight="1">
      <c r="B13" s="437" t="s">
        <v>172</v>
      </c>
      <c r="C13" s="431"/>
      <c r="D13" s="438"/>
      <c r="E13" s="438"/>
      <c r="F13" s="438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40"/>
    </row>
    <row r="14" spans="2:20" ht="18.75" customHeight="1" thickBot="1">
      <c r="B14" s="441"/>
      <c r="C14" s="442"/>
      <c r="D14" s="443"/>
      <c r="E14" s="443"/>
      <c r="F14" s="444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6"/>
    </row>
    <row r="15" spans="1:20" s="454" customFormat="1" ht="34.5" customHeight="1" thickBot="1" thickTop="1">
      <c r="A15" s="447"/>
      <c r="B15" s="448"/>
      <c r="C15" s="449"/>
      <c r="D15" s="449" t="s">
        <v>165</v>
      </c>
      <c r="E15" s="450" t="s">
        <v>21</v>
      </c>
      <c r="F15" s="451" t="s">
        <v>22</v>
      </c>
      <c r="G15" s="452">
        <f>'[1]Tasa de Falla'!HQ15</f>
        <v>41518</v>
      </c>
      <c r="H15" s="452">
        <f>'[1]Tasa de Falla'!HR15</f>
        <v>41548</v>
      </c>
      <c r="I15" s="452">
        <f>'[1]Tasa de Falla'!HS15</f>
        <v>41579</v>
      </c>
      <c r="J15" s="452">
        <f>'[1]Tasa de Falla'!HT15</f>
        <v>41609</v>
      </c>
      <c r="K15" s="452">
        <f>'[1]Tasa de Falla'!HU15</f>
        <v>41640</v>
      </c>
      <c r="L15" s="452">
        <f>'[1]Tasa de Falla'!HV15</f>
        <v>41671</v>
      </c>
      <c r="M15" s="452">
        <f>'[1]Tasa de Falla'!HW15</f>
        <v>41699</v>
      </c>
      <c r="N15" s="452">
        <f>'[1]Tasa de Falla'!HX15</f>
        <v>41730</v>
      </c>
      <c r="O15" s="452">
        <f>'[1]Tasa de Falla'!HY15</f>
        <v>41760</v>
      </c>
      <c r="P15" s="452">
        <f>'[1]Tasa de Falla'!HZ15</f>
        <v>41791</v>
      </c>
      <c r="Q15" s="452">
        <f>'[1]Tasa de Falla'!IA15</f>
        <v>41821</v>
      </c>
      <c r="R15" s="452">
        <f>'[1]Tasa de Falla'!IB15</f>
        <v>41852</v>
      </c>
      <c r="S15" s="452">
        <f>'[1]Tasa de Falla'!IC15</f>
        <v>41883</v>
      </c>
      <c r="T15" s="453"/>
    </row>
    <row r="16" spans="2:20" s="454" customFormat="1" ht="24.75" customHeight="1" thickTop="1">
      <c r="B16" s="455"/>
      <c r="C16" s="456"/>
      <c r="D16" s="457"/>
      <c r="E16" s="457"/>
      <c r="F16" s="458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9"/>
      <c r="T16" s="453"/>
    </row>
    <row r="17" spans="2:20" s="454" customFormat="1" ht="24.75" customHeight="1">
      <c r="B17" s="455"/>
      <c r="C17" s="460">
        <f>'[1]Tasa de Falla'!C17</f>
        <v>1</v>
      </c>
      <c r="D17" s="461" t="str">
        <f>'[1]Tasa de Falla'!D17</f>
        <v>AGUA DEL TORO - CRUZ DE PIEDRA</v>
      </c>
      <c r="E17" s="461">
        <f>'[1]Tasa de Falla'!E17</f>
        <v>220</v>
      </c>
      <c r="F17" s="462">
        <f>'[1]Tasa de Falla'!F17</f>
        <v>177.9</v>
      </c>
      <c r="G17" s="461">
        <f>IF('[1]Tasa de Falla'!HQ17="","",'[1]Tasa de Falla'!HQ17)</f>
      </c>
      <c r="H17" s="461">
        <f>IF('[1]Tasa de Falla'!HR17="","",'[1]Tasa de Falla'!HR17)</f>
      </c>
      <c r="I17" s="461">
        <f>IF('[1]Tasa de Falla'!HS17="","",'[1]Tasa de Falla'!HS17)</f>
      </c>
      <c r="J17" s="461">
        <f>IF('[1]Tasa de Falla'!HT17="","",'[1]Tasa de Falla'!HT17)</f>
      </c>
      <c r="K17" s="461">
        <f>IF('[1]Tasa de Falla'!HU17="","",'[1]Tasa de Falla'!HU17)</f>
      </c>
      <c r="L17" s="461">
        <f>IF('[1]Tasa de Falla'!HV17="","",'[1]Tasa de Falla'!HV17)</f>
        <v>1</v>
      </c>
      <c r="M17" s="461">
        <f>IF('[1]Tasa de Falla'!HW17="","",'[1]Tasa de Falla'!HW17)</f>
      </c>
      <c r="N17" s="461">
        <f>IF('[1]Tasa de Falla'!HX17="","",'[1]Tasa de Falla'!HX17)</f>
      </c>
      <c r="O17" s="461">
        <f>IF('[1]Tasa de Falla'!HY17="","",'[1]Tasa de Falla'!HY17)</f>
      </c>
      <c r="P17" s="461">
        <f>IF('[1]Tasa de Falla'!HZ17="","",'[1]Tasa de Falla'!HZ17)</f>
      </c>
      <c r="Q17" s="461">
        <f>IF('[1]Tasa de Falla'!IA17="","",'[1]Tasa de Falla'!IA17)</f>
      </c>
      <c r="R17" s="461">
        <f>IF('[1]Tasa de Falla'!IB17="","",'[1]Tasa de Falla'!IB17)</f>
        <v>3</v>
      </c>
      <c r="S17" s="458"/>
      <c r="T17" s="453"/>
    </row>
    <row r="18" spans="2:20" s="454" customFormat="1" ht="24.75" customHeight="1">
      <c r="B18" s="455"/>
      <c r="C18" s="463">
        <f>'[1]Tasa de Falla'!C18</f>
        <v>2</v>
      </c>
      <c r="D18" s="464" t="str">
        <f>'[1]Tasa de Falla'!D18</f>
        <v>AGUA DEL TORO - LOS REYUNOS</v>
      </c>
      <c r="E18" s="464">
        <f>'[1]Tasa de Falla'!E18</f>
        <v>220</v>
      </c>
      <c r="F18" s="465">
        <f>'[1]Tasa de Falla'!F18</f>
        <v>43</v>
      </c>
      <c r="G18" s="461">
        <f>IF('[1]Tasa de Falla'!HQ18="","",'[1]Tasa de Falla'!HQ18)</f>
      </c>
      <c r="H18" s="461">
        <f>IF('[1]Tasa de Falla'!HR18="","",'[1]Tasa de Falla'!HR18)</f>
      </c>
      <c r="I18" s="461">
        <f>IF('[1]Tasa de Falla'!HS18="","",'[1]Tasa de Falla'!HS18)</f>
      </c>
      <c r="J18" s="461">
        <f>IF('[1]Tasa de Falla'!HT18="","",'[1]Tasa de Falla'!HT18)</f>
      </c>
      <c r="K18" s="461">
        <f>IF('[1]Tasa de Falla'!HU18="","",'[1]Tasa de Falla'!HU18)</f>
      </c>
      <c r="L18" s="461">
        <f>IF('[1]Tasa de Falla'!HV18="","",'[1]Tasa de Falla'!HV18)</f>
        <v>1</v>
      </c>
      <c r="M18" s="461">
        <f>IF('[1]Tasa de Falla'!HW18="","",'[1]Tasa de Falla'!HW18)</f>
      </c>
      <c r="N18" s="461">
        <f>IF('[1]Tasa de Falla'!HX18="","",'[1]Tasa de Falla'!HX18)</f>
      </c>
      <c r="O18" s="461">
        <f>IF('[1]Tasa de Falla'!HY18="","",'[1]Tasa de Falla'!HY18)</f>
      </c>
      <c r="P18" s="461">
        <f>IF('[1]Tasa de Falla'!HZ18="","",'[1]Tasa de Falla'!HZ18)</f>
      </c>
      <c r="Q18" s="461">
        <f>IF('[1]Tasa de Falla'!IA18="","",'[1]Tasa de Falla'!IA18)</f>
      </c>
      <c r="R18" s="461">
        <f>IF('[1]Tasa de Falla'!IB18="","",'[1]Tasa de Falla'!IB18)</f>
      </c>
      <c r="S18" s="458"/>
      <c r="T18" s="453"/>
    </row>
    <row r="19" spans="2:20" s="454" customFormat="1" ht="24.75" customHeight="1">
      <c r="B19" s="455"/>
      <c r="C19" s="460">
        <f>'[1]Tasa de Falla'!C19</f>
        <v>3</v>
      </c>
      <c r="D19" s="461" t="str">
        <f>'[1]Tasa de Falla'!D19</f>
        <v>AGUA DEL TORO - NIHUIL II</v>
      </c>
      <c r="E19" s="461">
        <f>'[1]Tasa de Falla'!E19</f>
        <v>220</v>
      </c>
      <c r="F19" s="462">
        <f>'[1]Tasa de Falla'!F19</f>
        <v>53.5</v>
      </c>
      <c r="G19" s="461">
        <f>IF('[1]Tasa de Falla'!HQ19="","",'[1]Tasa de Falla'!HQ19)</f>
      </c>
      <c r="H19" s="461">
        <f>IF('[1]Tasa de Falla'!HR19="","",'[1]Tasa de Falla'!HR19)</f>
      </c>
      <c r="I19" s="461">
        <f>IF('[1]Tasa de Falla'!HS19="","",'[1]Tasa de Falla'!HS19)</f>
      </c>
      <c r="J19" s="461">
        <f>IF('[1]Tasa de Falla'!HT19="","",'[1]Tasa de Falla'!HT19)</f>
        <v>1</v>
      </c>
      <c r="K19" s="461">
        <f>IF('[1]Tasa de Falla'!HU19="","",'[1]Tasa de Falla'!HU19)</f>
      </c>
      <c r="L19" s="461">
        <f>IF('[1]Tasa de Falla'!HV19="","",'[1]Tasa de Falla'!HV19)</f>
        <v>1</v>
      </c>
      <c r="M19" s="461">
        <f>IF('[1]Tasa de Falla'!HW19="","",'[1]Tasa de Falla'!HW19)</f>
      </c>
      <c r="N19" s="461">
        <f>IF('[1]Tasa de Falla'!HX19="","",'[1]Tasa de Falla'!HX19)</f>
      </c>
      <c r="O19" s="461">
        <f>IF('[1]Tasa de Falla'!HY19="","",'[1]Tasa de Falla'!HY19)</f>
      </c>
      <c r="P19" s="461">
        <f>IF('[1]Tasa de Falla'!HZ19="","",'[1]Tasa de Falla'!HZ19)</f>
      </c>
      <c r="Q19" s="461">
        <f>IF('[1]Tasa de Falla'!IA19="","",'[1]Tasa de Falla'!IA19)</f>
      </c>
      <c r="R19" s="461">
        <f>IF('[1]Tasa de Falla'!IB19="","",'[1]Tasa de Falla'!IB19)</f>
      </c>
      <c r="S19" s="458"/>
      <c r="T19" s="453"/>
    </row>
    <row r="20" spans="2:20" s="454" customFormat="1" ht="24.75" customHeight="1">
      <c r="B20" s="455"/>
      <c r="C20" s="463">
        <f>'[1]Tasa de Falla'!C20</f>
        <v>4</v>
      </c>
      <c r="D20" s="464" t="str">
        <f>'[1]Tasa de Falla'!D20</f>
        <v>CRUZ DE PIEDRA - SAN JUAN</v>
      </c>
      <c r="E20" s="464">
        <f>'[1]Tasa de Falla'!E20</f>
        <v>220</v>
      </c>
      <c r="F20" s="465">
        <f>'[1]Tasa de Falla'!F20</f>
        <v>171.6</v>
      </c>
      <c r="G20" s="461">
        <f>IF('[1]Tasa de Falla'!HQ20="","",'[1]Tasa de Falla'!HQ20)</f>
      </c>
      <c r="H20" s="461">
        <f>IF('[1]Tasa de Falla'!HR20="","",'[1]Tasa de Falla'!HR20)</f>
        <v>1</v>
      </c>
      <c r="I20" s="461">
        <f>IF('[1]Tasa de Falla'!HS20="","",'[1]Tasa de Falla'!HS20)</f>
      </c>
      <c r="J20" s="461">
        <f>IF('[1]Tasa de Falla'!HT20="","",'[1]Tasa de Falla'!HT20)</f>
      </c>
      <c r="K20" s="461">
        <f>IF('[1]Tasa de Falla'!HU20="","",'[1]Tasa de Falla'!HU20)</f>
      </c>
      <c r="L20" s="461">
        <f>IF('[1]Tasa de Falla'!HV20="","",'[1]Tasa de Falla'!HV20)</f>
      </c>
      <c r="M20" s="461">
        <f>IF('[1]Tasa de Falla'!HW20="","",'[1]Tasa de Falla'!HW20)</f>
      </c>
      <c r="N20" s="461">
        <f>IF('[1]Tasa de Falla'!HX20="","",'[1]Tasa de Falla'!HX20)</f>
      </c>
      <c r="O20" s="461">
        <f>IF('[1]Tasa de Falla'!HY20="","",'[1]Tasa de Falla'!HY20)</f>
      </c>
      <c r="P20" s="461">
        <f>IF('[1]Tasa de Falla'!HZ20="","",'[1]Tasa de Falla'!HZ20)</f>
      </c>
      <c r="Q20" s="461">
        <f>IF('[1]Tasa de Falla'!IA20="","",'[1]Tasa de Falla'!IA20)</f>
      </c>
      <c r="R20" s="461">
        <f>IF('[1]Tasa de Falla'!IB20="","",'[1]Tasa de Falla'!IB20)</f>
        <v>1</v>
      </c>
      <c r="S20" s="458"/>
      <c r="T20" s="453"/>
    </row>
    <row r="21" spans="2:20" s="454" customFormat="1" ht="24.75" customHeight="1">
      <c r="B21" s="455"/>
      <c r="C21" s="460">
        <f>'[1]Tasa de Falla'!C21</f>
        <v>5</v>
      </c>
      <c r="D21" s="461" t="str">
        <f>'[1]Tasa de Falla'!D21</f>
        <v>LOS REYUNOS - GRAN MENDOZA</v>
      </c>
      <c r="E21" s="461">
        <f>'[1]Tasa de Falla'!E21</f>
        <v>220</v>
      </c>
      <c r="F21" s="462">
        <f>'[1]Tasa de Falla'!F21</f>
        <v>188.3</v>
      </c>
      <c r="G21" s="461">
        <f>IF('[1]Tasa de Falla'!HQ21="","",'[1]Tasa de Falla'!HQ21)</f>
      </c>
      <c r="H21" s="461">
        <f>IF('[1]Tasa de Falla'!HR21="","",'[1]Tasa de Falla'!HR21)</f>
      </c>
      <c r="I21" s="461">
        <f>IF('[1]Tasa de Falla'!HS21="","",'[1]Tasa de Falla'!HS21)</f>
      </c>
      <c r="J21" s="461">
        <f>IF('[1]Tasa de Falla'!HT21="","",'[1]Tasa de Falla'!HT21)</f>
      </c>
      <c r="K21" s="461">
        <f>IF('[1]Tasa de Falla'!HU21="","",'[1]Tasa de Falla'!HU21)</f>
      </c>
      <c r="L21" s="461">
        <f>IF('[1]Tasa de Falla'!HV21="","",'[1]Tasa de Falla'!HV21)</f>
      </c>
      <c r="M21" s="461">
        <f>IF('[1]Tasa de Falla'!HW21="","",'[1]Tasa de Falla'!HW21)</f>
      </c>
      <c r="N21" s="461">
        <f>IF('[1]Tasa de Falla'!HX21="","",'[1]Tasa de Falla'!HX21)</f>
      </c>
      <c r="O21" s="461">
        <f>IF('[1]Tasa de Falla'!HY21="","",'[1]Tasa de Falla'!HY21)</f>
      </c>
      <c r="P21" s="461">
        <f>IF('[1]Tasa de Falla'!HZ21="","",'[1]Tasa de Falla'!HZ21)</f>
      </c>
      <c r="Q21" s="461">
        <f>IF('[1]Tasa de Falla'!IA21="","",'[1]Tasa de Falla'!IA21)</f>
      </c>
      <c r="R21" s="461">
        <f>IF('[1]Tasa de Falla'!IB21="","",'[1]Tasa de Falla'!IB21)</f>
      </c>
      <c r="S21" s="458"/>
      <c r="T21" s="453"/>
    </row>
    <row r="22" spans="2:20" s="454" customFormat="1" ht="24.75" customHeight="1">
      <c r="B22" s="455"/>
      <c r="C22" s="460">
        <f>'[1]Tasa de Falla'!C22</f>
        <v>6</v>
      </c>
      <c r="D22" s="461" t="str">
        <f>'[1]Tasa de Falla'!D22</f>
        <v>CRUZ DE PIEDRA - CAÑADA HONDA</v>
      </c>
      <c r="E22" s="461">
        <f>'[1]Tasa de Falla'!E22</f>
        <v>132</v>
      </c>
      <c r="F22" s="462">
        <f>'[1]Tasa de Falla'!F22</f>
        <v>125.8</v>
      </c>
      <c r="G22" s="461">
        <f>IF('[1]Tasa de Falla'!HQ22="","",'[1]Tasa de Falla'!HQ22)</f>
      </c>
      <c r="H22" s="461">
        <f>IF('[1]Tasa de Falla'!HR22="","",'[1]Tasa de Falla'!HR22)</f>
        <v>1</v>
      </c>
      <c r="I22" s="461">
        <f>IF('[1]Tasa de Falla'!HS22="","",'[1]Tasa de Falla'!HS22)</f>
      </c>
      <c r="J22" s="461">
        <f>IF('[1]Tasa de Falla'!HT22="","",'[1]Tasa de Falla'!HT22)</f>
      </c>
      <c r="K22" s="461">
        <f>IF('[1]Tasa de Falla'!HU22="","",'[1]Tasa de Falla'!HU22)</f>
      </c>
      <c r="L22" s="461">
        <f>IF('[1]Tasa de Falla'!HV22="","",'[1]Tasa de Falla'!HV22)</f>
      </c>
      <c r="M22" s="461">
        <f>IF('[1]Tasa de Falla'!HW22="","",'[1]Tasa de Falla'!HW22)</f>
        <v>1</v>
      </c>
      <c r="N22" s="461">
        <f>IF('[1]Tasa de Falla'!HX22="","",'[1]Tasa de Falla'!HX22)</f>
      </c>
      <c r="O22" s="461">
        <f>IF('[1]Tasa de Falla'!HY22="","",'[1]Tasa de Falla'!HY22)</f>
      </c>
      <c r="P22" s="461">
        <f>IF('[1]Tasa de Falla'!HZ22="","",'[1]Tasa de Falla'!HZ22)</f>
      </c>
      <c r="Q22" s="461">
        <f>IF('[1]Tasa de Falla'!IA22="","",'[1]Tasa de Falla'!IA22)</f>
      </c>
      <c r="R22" s="461">
        <f>IF('[1]Tasa de Falla'!IB22="","",'[1]Tasa de Falla'!IB22)</f>
      </c>
      <c r="S22" s="458"/>
      <c r="T22" s="453"/>
    </row>
    <row r="23" spans="2:20" s="454" customFormat="1" ht="24.75" customHeight="1">
      <c r="B23" s="455"/>
      <c r="C23" s="463">
        <f>'[1]Tasa de Falla'!C23</f>
        <v>7</v>
      </c>
      <c r="D23" s="464" t="str">
        <f>'[1]Tasa de Falla'!D23</f>
        <v>ANCHORIS - CAPIZ</v>
      </c>
      <c r="E23" s="464">
        <f>'[1]Tasa de Falla'!E23</f>
        <v>132</v>
      </c>
      <c r="F23" s="465">
        <f>'[1]Tasa de Falla'!F23</f>
        <v>42</v>
      </c>
      <c r="G23" s="461">
        <f>IF('[1]Tasa de Falla'!HQ23="","",'[1]Tasa de Falla'!HQ23)</f>
      </c>
      <c r="H23" s="461">
        <f>IF('[1]Tasa de Falla'!HR23="","",'[1]Tasa de Falla'!HR23)</f>
      </c>
      <c r="I23" s="461">
        <f>IF('[1]Tasa de Falla'!HS23="","",'[1]Tasa de Falla'!HS23)</f>
      </c>
      <c r="J23" s="461">
        <f>IF('[1]Tasa de Falla'!HT23="","",'[1]Tasa de Falla'!HT23)</f>
      </c>
      <c r="K23" s="461">
        <f>IF('[1]Tasa de Falla'!HU23="","",'[1]Tasa de Falla'!HU23)</f>
      </c>
      <c r="L23" s="461">
        <f>IF('[1]Tasa de Falla'!HV23="","",'[1]Tasa de Falla'!HV23)</f>
      </c>
      <c r="M23" s="461">
        <f>IF('[1]Tasa de Falla'!HW23="","",'[1]Tasa de Falla'!HW23)</f>
      </c>
      <c r="N23" s="461">
        <f>IF('[1]Tasa de Falla'!HX23="","",'[1]Tasa de Falla'!HX23)</f>
      </c>
      <c r="O23" s="461">
        <f>IF('[1]Tasa de Falla'!HY23="","",'[1]Tasa de Falla'!HY23)</f>
      </c>
      <c r="P23" s="461">
        <f>IF('[1]Tasa de Falla'!HZ23="","",'[1]Tasa de Falla'!HZ23)</f>
      </c>
      <c r="Q23" s="461">
        <f>IF('[1]Tasa de Falla'!IA23="","",'[1]Tasa de Falla'!IA23)</f>
      </c>
      <c r="R23" s="461">
        <f>IF('[1]Tasa de Falla'!IB23="","",'[1]Tasa de Falla'!IB23)</f>
      </c>
      <c r="S23" s="458"/>
      <c r="T23" s="453"/>
    </row>
    <row r="24" spans="2:20" s="454" customFormat="1" ht="24.75" customHeight="1">
      <c r="B24" s="455"/>
      <c r="C24" s="460">
        <f>'[1]Tasa de Falla'!C24</f>
        <v>8</v>
      </c>
      <c r="D24" s="461" t="str">
        <f>'[1]Tasa de Falla'!D24</f>
        <v>ANCHORIS - CRUZ DE PIEDRA</v>
      </c>
      <c r="E24" s="461">
        <f>'[1]Tasa de Falla'!E24</f>
        <v>132</v>
      </c>
      <c r="F24" s="462">
        <f>'[1]Tasa de Falla'!F24</f>
        <v>33.5</v>
      </c>
      <c r="G24" s="461">
        <f>IF('[1]Tasa de Falla'!HQ24="","",'[1]Tasa de Falla'!HQ24)</f>
      </c>
      <c r="H24" s="461">
        <f>IF('[1]Tasa de Falla'!HR24="","",'[1]Tasa de Falla'!HR24)</f>
      </c>
      <c r="I24" s="461">
        <f>IF('[1]Tasa de Falla'!HS24="","",'[1]Tasa de Falla'!HS24)</f>
      </c>
      <c r="J24" s="461">
        <f>IF('[1]Tasa de Falla'!HT24="","",'[1]Tasa de Falla'!HT24)</f>
      </c>
      <c r="K24" s="461">
        <f>IF('[1]Tasa de Falla'!HU24="","",'[1]Tasa de Falla'!HU24)</f>
      </c>
      <c r="L24" s="461">
        <f>IF('[1]Tasa de Falla'!HV24="","",'[1]Tasa de Falla'!HV24)</f>
      </c>
      <c r="M24" s="461">
        <f>IF('[1]Tasa de Falla'!HW24="","",'[1]Tasa de Falla'!HW24)</f>
      </c>
      <c r="N24" s="461">
        <f>IF('[1]Tasa de Falla'!HX24="","",'[1]Tasa de Falla'!HX24)</f>
      </c>
      <c r="O24" s="461">
        <f>IF('[1]Tasa de Falla'!HY24="","",'[1]Tasa de Falla'!HY24)</f>
      </c>
      <c r="P24" s="461">
        <f>IF('[1]Tasa de Falla'!HZ24="","",'[1]Tasa de Falla'!HZ24)</f>
      </c>
      <c r="Q24" s="461">
        <f>IF('[1]Tasa de Falla'!IA24="","",'[1]Tasa de Falla'!IA24)</f>
      </c>
      <c r="R24" s="461">
        <f>IF('[1]Tasa de Falla'!IB24="","",'[1]Tasa de Falla'!IB24)</f>
      </c>
      <c r="S24" s="458"/>
      <c r="T24" s="453"/>
    </row>
    <row r="25" spans="2:20" s="454" customFormat="1" ht="24.75" customHeight="1">
      <c r="B25" s="455"/>
      <c r="C25" s="463">
        <f>'[1]Tasa de Falla'!C25</f>
        <v>9</v>
      </c>
      <c r="D25" s="464" t="str">
        <f>'[1]Tasa de Falla'!D25</f>
        <v>ANCHORIZ -Deriv."T" a LC 35-B.R.Tunuyan</v>
      </c>
      <c r="E25" s="464">
        <f>'[1]Tasa de Falla'!E25</f>
        <v>132</v>
      </c>
      <c r="F25" s="465">
        <f>'[1]Tasa de Falla'!F25</f>
        <v>52.9</v>
      </c>
      <c r="G25" s="461">
        <f>IF('[1]Tasa de Falla'!HQ25="","",'[1]Tasa de Falla'!HQ25)</f>
      </c>
      <c r="H25" s="461">
        <f>IF('[1]Tasa de Falla'!HR25="","",'[1]Tasa de Falla'!HR25)</f>
      </c>
      <c r="I25" s="461">
        <f>IF('[1]Tasa de Falla'!HS25="","",'[1]Tasa de Falla'!HS25)</f>
      </c>
      <c r="J25" s="461">
        <f>IF('[1]Tasa de Falla'!HT25="","",'[1]Tasa de Falla'!HT25)</f>
      </c>
      <c r="K25" s="461">
        <f>IF('[1]Tasa de Falla'!HU25="","",'[1]Tasa de Falla'!HU25)</f>
      </c>
      <c r="L25" s="461">
        <f>IF('[1]Tasa de Falla'!HV25="","",'[1]Tasa de Falla'!HV25)</f>
        <v>1</v>
      </c>
      <c r="M25" s="461">
        <f>IF('[1]Tasa de Falla'!HW25="","",'[1]Tasa de Falla'!HW25)</f>
      </c>
      <c r="N25" s="461">
        <f>IF('[1]Tasa de Falla'!HX25="","",'[1]Tasa de Falla'!HX25)</f>
      </c>
      <c r="O25" s="461">
        <f>IF('[1]Tasa de Falla'!HY25="","",'[1]Tasa de Falla'!HY25)</f>
      </c>
      <c r="P25" s="461">
        <f>IF('[1]Tasa de Falla'!HZ25="","",'[1]Tasa de Falla'!HZ25)</f>
      </c>
      <c r="Q25" s="461">
        <f>IF('[1]Tasa de Falla'!IA25="","",'[1]Tasa de Falla'!IA25)</f>
      </c>
      <c r="R25" s="461">
        <f>IF('[1]Tasa de Falla'!IB25="","",'[1]Tasa de Falla'!IB25)</f>
      </c>
      <c r="S25" s="458"/>
      <c r="T25" s="453"/>
    </row>
    <row r="26" spans="2:20" s="454" customFormat="1" ht="24.75" customHeight="1">
      <c r="B26" s="455"/>
      <c r="C26" s="460">
        <f>'[1]Tasa de Falla'!C26</f>
        <v>10</v>
      </c>
      <c r="D26" s="461" t="str">
        <f>'[1]Tasa de Falla'!D26</f>
        <v>CAPIZ - PEDRO VARGAS</v>
      </c>
      <c r="E26" s="461">
        <f>'[1]Tasa de Falla'!E26</f>
        <v>132</v>
      </c>
      <c r="F26" s="462">
        <f>'[1]Tasa de Falla'!F26</f>
        <v>122.1</v>
      </c>
      <c r="G26" s="461">
        <f>IF('[1]Tasa de Falla'!HQ26="","",'[1]Tasa de Falla'!HQ26)</f>
      </c>
      <c r="H26" s="461">
        <f>IF('[1]Tasa de Falla'!HR26="","",'[1]Tasa de Falla'!HR26)</f>
      </c>
      <c r="I26" s="461">
        <f>IF('[1]Tasa de Falla'!HS26="","",'[1]Tasa de Falla'!HS26)</f>
        <v>1</v>
      </c>
      <c r="J26" s="461">
        <f>IF('[1]Tasa de Falla'!HT26="","",'[1]Tasa de Falla'!HT26)</f>
      </c>
      <c r="K26" s="461">
        <f>IF('[1]Tasa de Falla'!HU26="","",'[1]Tasa de Falla'!HU26)</f>
      </c>
      <c r="L26" s="461">
        <f>IF('[1]Tasa de Falla'!HV26="","",'[1]Tasa de Falla'!HV26)</f>
      </c>
      <c r="M26" s="461">
        <f>IF('[1]Tasa de Falla'!HW26="","",'[1]Tasa de Falla'!HW26)</f>
      </c>
      <c r="N26" s="461">
        <f>IF('[1]Tasa de Falla'!HX26="","",'[1]Tasa de Falla'!HX26)</f>
      </c>
      <c r="O26" s="461">
        <f>IF('[1]Tasa de Falla'!HY26="","",'[1]Tasa de Falla'!HY26)</f>
      </c>
      <c r="P26" s="461">
        <f>IF('[1]Tasa de Falla'!HZ26="","",'[1]Tasa de Falla'!HZ26)</f>
      </c>
      <c r="Q26" s="461">
        <f>IF('[1]Tasa de Falla'!IA26="","",'[1]Tasa de Falla'!IA26)</f>
        <v>1</v>
      </c>
      <c r="R26" s="461">
        <f>IF('[1]Tasa de Falla'!IB26="","",'[1]Tasa de Falla'!IB26)</f>
      </c>
      <c r="S26" s="458"/>
      <c r="T26" s="453"/>
    </row>
    <row r="27" spans="2:20" s="454" customFormat="1" ht="24.75" customHeight="1">
      <c r="B27" s="455"/>
      <c r="C27" s="463">
        <f>'[1]Tasa de Falla'!C27</f>
        <v>11</v>
      </c>
      <c r="D27" s="464" t="str">
        <f>'[1]Tasa de Falla'!D27</f>
        <v>SAN RAFAEL - PEDRO VARGAS</v>
      </c>
      <c r="E27" s="464">
        <f>'[1]Tasa de Falla'!E27</f>
        <v>132</v>
      </c>
      <c r="F27" s="465">
        <f>'[1]Tasa de Falla'!F27</f>
        <v>15.6</v>
      </c>
      <c r="G27" s="461">
        <f>IF('[1]Tasa de Falla'!HQ27="","",'[1]Tasa de Falla'!HQ27)</f>
      </c>
      <c r="H27" s="461">
        <f>IF('[1]Tasa de Falla'!HR27="","",'[1]Tasa de Falla'!HR27)</f>
      </c>
      <c r="I27" s="461">
        <f>IF('[1]Tasa de Falla'!HS27="","",'[1]Tasa de Falla'!HS27)</f>
      </c>
      <c r="J27" s="461">
        <f>IF('[1]Tasa de Falla'!HT27="","",'[1]Tasa de Falla'!HT27)</f>
      </c>
      <c r="K27" s="461">
        <f>IF('[1]Tasa de Falla'!HU27="","",'[1]Tasa de Falla'!HU27)</f>
      </c>
      <c r="L27" s="461">
        <f>IF('[1]Tasa de Falla'!HV27="","",'[1]Tasa de Falla'!HV27)</f>
      </c>
      <c r="M27" s="461">
        <f>IF('[1]Tasa de Falla'!HW27="","",'[1]Tasa de Falla'!HW27)</f>
      </c>
      <c r="N27" s="461">
        <f>IF('[1]Tasa de Falla'!HX27="","",'[1]Tasa de Falla'!HX27)</f>
      </c>
      <c r="O27" s="461">
        <f>IF('[1]Tasa de Falla'!HY27="","",'[1]Tasa de Falla'!HY27)</f>
      </c>
      <c r="P27" s="461">
        <f>IF('[1]Tasa de Falla'!HZ27="","",'[1]Tasa de Falla'!HZ27)</f>
      </c>
      <c r="Q27" s="461">
        <f>IF('[1]Tasa de Falla'!IA27="","",'[1]Tasa de Falla'!IA27)</f>
      </c>
      <c r="R27" s="461">
        <f>IF('[1]Tasa de Falla'!IB27="","",'[1]Tasa de Falla'!IB27)</f>
      </c>
      <c r="S27" s="458"/>
      <c r="T27" s="453"/>
    </row>
    <row r="28" spans="2:20" s="454" customFormat="1" ht="24.75" customHeight="1">
      <c r="B28" s="455"/>
      <c r="C28" s="460">
        <f>'[1]Tasa de Falla'!C28</f>
        <v>12</v>
      </c>
      <c r="D28" s="461" t="str">
        <f>'[1]Tasa de Falla'!D28</f>
        <v>GRAN MENDOZA - MONTE CASEROS 1</v>
      </c>
      <c r="E28" s="461">
        <f>'[1]Tasa de Falla'!E28</f>
        <v>132</v>
      </c>
      <c r="F28" s="462">
        <f>'[1]Tasa de Falla'!F28</f>
        <v>19.1</v>
      </c>
      <c r="G28" s="461">
        <f>IF('[1]Tasa de Falla'!HQ28="","",'[1]Tasa de Falla'!HQ28)</f>
      </c>
      <c r="H28" s="461">
        <f>IF('[1]Tasa de Falla'!HR28="","",'[1]Tasa de Falla'!HR28)</f>
      </c>
      <c r="I28" s="461">
        <f>IF('[1]Tasa de Falla'!HS28="","",'[1]Tasa de Falla'!HS28)</f>
        <v>1</v>
      </c>
      <c r="J28" s="461">
        <f>IF('[1]Tasa de Falla'!HT28="","",'[1]Tasa de Falla'!HT28)</f>
      </c>
      <c r="K28" s="461">
        <f>IF('[1]Tasa de Falla'!HU28="","",'[1]Tasa de Falla'!HU28)</f>
      </c>
      <c r="L28" s="461">
        <f>IF('[1]Tasa de Falla'!HV28="","",'[1]Tasa de Falla'!HV28)</f>
      </c>
      <c r="M28" s="461">
        <f>IF('[1]Tasa de Falla'!HW28="","",'[1]Tasa de Falla'!HW28)</f>
      </c>
      <c r="N28" s="461">
        <f>IF('[1]Tasa de Falla'!HX28="","",'[1]Tasa de Falla'!HX28)</f>
      </c>
      <c r="O28" s="461">
        <f>IF('[1]Tasa de Falla'!HY28="","",'[1]Tasa de Falla'!HY28)</f>
      </c>
      <c r="P28" s="461">
        <f>IF('[1]Tasa de Falla'!HZ28="","",'[1]Tasa de Falla'!HZ28)</f>
      </c>
      <c r="Q28" s="461">
        <f>IF('[1]Tasa de Falla'!IA28="","",'[1]Tasa de Falla'!IA28)</f>
      </c>
      <c r="R28" s="461">
        <f>IF('[1]Tasa de Falla'!IB28="","",'[1]Tasa de Falla'!IB28)</f>
      </c>
      <c r="S28" s="458"/>
      <c r="T28" s="453"/>
    </row>
    <row r="29" spans="2:20" s="454" customFormat="1" ht="24.75" customHeight="1">
      <c r="B29" s="455"/>
      <c r="C29" s="463">
        <f>'[1]Tasa de Falla'!C29</f>
        <v>13</v>
      </c>
      <c r="D29" s="464" t="str">
        <f>'[1]Tasa de Falla'!D29</f>
        <v>GRAN MENDOZA - MONTE CASEROS 2</v>
      </c>
      <c r="E29" s="464">
        <f>'[1]Tasa de Falla'!E29</f>
        <v>132</v>
      </c>
      <c r="F29" s="465">
        <f>'[1]Tasa de Falla'!F29</f>
        <v>19.1</v>
      </c>
      <c r="G29" s="461">
        <f>IF('[1]Tasa de Falla'!HQ29="","",'[1]Tasa de Falla'!HQ29)</f>
      </c>
      <c r="H29" s="461">
        <f>IF('[1]Tasa de Falla'!HR29="","",'[1]Tasa de Falla'!HR29)</f>
      </c>
      <c r="I29" s="461">
        <f>IF('[1]Tasa de Falla'!HS29="","",'[1]Tasa de Falla'!HS29)</f>
      </c>
      <c r="J29" s="461">
        <f>IF('[1]Tasa de Falla'!HT29="","",'[1]Tasa de Falla'!HT29)</f>
      </c>
      <c r="K29" s="461">
        <f>IF('[1]Tasa de Falla'!HU29="","",'[1]Tasa de Falla'!HU29)</f>
      </c>
      <c r="L29" s="461">
        <f>IF('[1]Tasa de Falla'!HV29="","",'[1]Tasa de Falla'!HV29)</f>
      </c>
      <c r="M29" s="461">
        <f>IF('[1]Tasa de Falla'!HW29="","",'[1]Tasa de Falla'!HW29)</f>
      </c>
      <c r="N29" s="461">
        <f>IF('[1]Tasa de Falla'!HX29="","",'[1]Tasa de Falla'!HX29)</f>
      </c>
      <c r="O29" s="461">
        <f>IF('[1]Tasa de Falla'!HY29="","",'[1]Tasa de Falla'!HY29)</f>
      </c>
      <c r="P29" s="461">
        <f>IF('[1]Tasa de Falla'!HZ29="","",'[1]Tasa de Falla'!HZ29)</f>
      </c>
      <c r="Q29" s="461">
        <f>IF('[1]Tasa de Falla'!IA29="","",'[1]Tasa de Falla'!IA29)</f>
      </c>
      <c r="R29" s="461">
        <f>IF('[1]Tasa de Falla'!IB29="","",'[1]Tasa de Falla'!IB29)</f>
      </c>
      <c r="S29" s="458"/>
      <c r="T29" s="453"/>
    </row>
    <row r="30" spans="2:20" s="454" customFormat="1" ht="24.75" customHeight="1">
      <c r="B30" s="455"/>
      <c r="C30" s="460">
        <f>'[1]Tasa de Falla'!C30</f>
        <v>14</v>
      </c>
      <c r="D30" s="461" t="str">
        <f>'[1]Tasa de Falla'!D30</f>
        <v>CRUZ DE PIEDRA - GRAN MENDOZA 1</v>
      </c>
      <c r="E30" s="461">
        <f>'[1]Tasa de Falla'!E30</f>
        <v>132</v>
      </c>
      <c r="F30" s="462">
        <f>'[1]Tasa de Falla'!F30</f>
        <v>22</v>
      </c>
      <c r="G30" s="461">
        <f>IF('[1]Tasa de Falla'!HQ30="","",'[1]Tasa de Falla'!HQ30)</f>
      </c>
      <c r="H30" s="461">
        <f>IF('[1]Tasa de Falla'!HR30="","",'[1]Tasa de Falla'!HR30)</f>
      </c>
      <c r="I30" s="461">
        <f>IF('[1]Tasa de Falla'!HS30="","",'[1]Tasa de Falla'!HS30)</f>
      </c>
      <c r="J30" s="461">
        <f>IF('[1]Tasa de Falla'!HT30="","",'[1]Tasa de Falla'!HT30)</f>
      </c>
      <c r="K30" s="461">
        <f>IF('[1]Tasa de Falla'!HU30="","",'[1]Tasa de Falla'!HU30)</f>
      </c>
      <c r="L30" s="461">
        <f>IF('[1]Tasa de Falla'!HV30="","",'[1]Tasa de Falla'!HV30)</f>
      </c>
      <c r="M30" s="461">
        <f>IF('[1]Tasa de Falla'!HW30="","",'[1]Tasa de Falla'!HW30)</f>
      </c>
      <c r="N30" s="461">
        <f>IF('[1]Tasa de Falla'!HX30="","",'[1]Tasa de Falla'!HX30)</f>
      </c>
      <c r="O30" s="461">
        <f>IF('[1]Tasa de Falla'!HY30="","",'[1]Tasa de Falla'!HY30)</f>
      </c>
      <c r="P30" s="461">
        <f>IF('[1]Tasa de Falla'!HZ30="","",'[1]Tasa de Falla'!HZ30)</f>
      </c>
      <c r="Q30" s="461">
        <f>IF('[1]Tasa de Falla'!IA30="","",'[1]Tasa de Falla'!IA30)</f>
      </c>
      <c r="R30" s="461">
        <f>IF('[1]Tasa de Falla'!IB30="","",'[1]Tasa de Falla'!IB30)</f>
      </c>
      <c r="S30" s="458"/>
      <c r="T30" s="453"/>
    </row>
    <row r="31" spans="2:20" s="454" customFormat="1" ht="24.75" customHeight="1">
      <c r="B31" s="455"/>
      <c r="C31" s="463">
        <f>'[1]Tasa de Falla'!C31</f>
        <v>15</v>
      </c>
      <c r="D31" s="464" t="str">
        <f>'[1]Tasa de Falla'!D31</f>
        <v>CRUZ DE PIEDRA - GRAN MENDOZA 2</v>
      </c>
      <c r="E31" s="464">
        <f>'[1]Tasa de Falla'!E31</f>
        <v>132</v>
      </c>
      <c r="F31" s="465">
        <f>'[1]Tasa de Falla'!F31</f>
        <v>22</v>
      </c>
      <c r="G31" s="461">
        <f>IF('[1]Tasa de Falla'!HQ31="","",'[1]Tasa de Falla'!HQ31)</f>
      </c>
      <c r="H31" s="461">
        <f>IF('[1]Tasa de Falla'!HR31="","",'[1]Tasa de Falla'!HR31)</f>
      </c>
      <c r="I31" s="461">
        <f>IF('[1]Tasa de Falla'!HS31="","",'[1]Tasa de Falla'!HS31)</f>
      </c>
      <c r="J31" s="461">
        <f>IF('[1]Tasa de Falla'!HT31="","",'[1]Tasa de Falla'!HT31)</f>
      </c>
      <c r="K31" s="461">
        <f>IF('[1]Tasa de Falla'!HU31="","",'[1]Tasa de Falla'!HU31)</f>
      </c>
      <c r="L31" s="461">
        <f>IF('[1]Tasa de Falla'!HV31="","",'[1]Tasa de Falla'!HV31)</f>
      </c>
      <c r="M31" s="461">
        <f>IF('[1]Tasa de Falla'!HW31="","",'[1]Tasa de Falla'!HW31)</f>
      </c>
      <c r="N31" s="461">
        <f>IF('[1]Tasa de Falla'!HX31="","",'[1]Tasa de Falla'!HX31)</f>
      </c>
      <c r="O31" s="461">
        <f>IF('[1]Tasa de Falla'!HY31="","",'[1]Tasa de Falla'!HY31)</f>
      </c>
      <c r="P31" s="461">
        <f>IF('[1]Tasa de Falla'!HZ31="","",'[1]Tasa de Falla'!HZ31)</f>
      </c>
      <c r="Q31" s="461">
        <f>IF('[1]Tasa de Falla'!IA31="","",'[1]Tasa de Falla'!IA31)</f>
      </c>
      <c r="R31" s="461">
        <f>IF('[1]Tasa de Falla'!IB31="","",'[1]Tasa de Falla'!IB31)</f>
      </c>
      <c r="S31" s="458"/>
      <c r="T31" s="453"/>
    </row>
    <row r="32" spans="2:20" s="454" customFormat="1" ht="24.75" customHeight="1">
      <c r="B32" s="455"/>
      <c r="C32" s="460">
        <f>'[1]Tasa de Falla'!C32</f>
        <v>16</v>
      </c>
      <c r="D32" s="461" t="str">
        <f>'[1]Tasa de Falla'!D32</f>
        <v>CRUZ DE PIEDRA - SAN JUAN</v>
      </c>
      <c r="E32" s="461">
        <f>'[1]Tasa de Falla'!E32</f>
        <v>132</v>
      </c>
      <c r="F32" s="462">
        <f>'[1]Tasa de Falla'!F32</f>
        <v>180.18</v>
      </c>
      <c r="G32" s="461" t="str">
        <f>IF('[1]Tasa de Falla'!HQ32="","",'[1]Tasa de Falla'!HQ32)</f>
        <v>XXXX</v>
      </c>
      <c r="H32" s="461" t="str">
        <f>IF('[1]Tasa de Falla'!HR32="","",'[1]Tasa de Falla'!HR32)</f>
        <v>XXXX</v>
      </c>
      <c r="I32" s="461" t="str">
        <f>IF('[1]Tasa de Falla'!HS32="","",'[1]Tasa de Falla'!HS32)</f>
        <v>XXXX</v>
      </c>
      <c r="J32" s="461" t="str">
        <f>IF('[1]Tasa de Falla'!HT32="","",'[1]Tasa de Falla'!HT32)</f>
        <v>XXXX</v>
      </c>
      <c r="K32" s="461" t="str">
        <f>IF('[1]Tasa de Falla'!HU32="","",'[1]Tasa de Falla'!HU32)</f>
        <v>XXXX</v>
      </c>
      <c r="L32" s="461" t="str">
        <f>IF('[1]Tasa de Falla'!HV32="","",'[1]Tasa de Falla'!HV32)</f>
        <v>XXXX</v>
      </c>
      <c r="M32" s="461" t="str">
        <f>IF('[1]Tasa de Falla'!HW32="","",'[1]Tasa de Falla'!HW32)</f>
        <v>XXXX</v>
      </c>
      <c r="N32" s="461" t="str">
        <f>IF('[1]Tasa de Falla'!HX32="","",'[1]Tasa de Falla'!HX32)</f>
        <v>XXXX</v>
      </c>
      <c r="O32" s="461" t="str">
        <f>IF('[1]Tasa de Falla'!HY32="","",'[1]Tasa de Falla'!HY32)</f>
        <v>XXXX</v>
      </c>
      <c r="P32" s="461" t="str">
        <f>IF('[1]Tasa de Falla'!HZ32="","",'[1]Tasa de Falla'!HZ32)</f>
        <v>XXXX</v>
      </c>
      <c r="Q32" s="461" t="str">
        <f>IF('[1]Tasa de Falla'!IA32="","",'[1]Tasa de Falla'!IA32)</f>
        <v>XXXX</v>
      </c>
      <c r="R32" s="461" t="str">
        <f>IF('[1]Tasa de Falla'!IB32="","",'[1]Tasa de Falla'!IB32)</f>
        <v>XXXX</v>
      </c>
      <c r="S32" s="458"/>
      <c r="T32" s="453"/>
    </row>
    <row r="33" spans="2:20" s="454" customFormat="1" ht="24.75" customHeight="1">
      <c r="B33" s="455"/>
      <c r="C33" s="463">
        <f>'[1]Tasa de Falla'!C33</f>
        <v>17</v>
      </c>
      <c r="D33" s="464" t="str">
        <f>'[1]Tasa de Falla'!D33</f>
        <v>CRUZ DE PIEDRA - LUJAN DE CUYO 1</v>
      </c>
      <c r="E33" s="464">
        <f>'[1]Tasa de Falla'!E33</f>
        <v>132</v>
      </c>
      <c r="F33" s="465">
        <f>'[1]Tasa de Falla'!F33</f>
        <v>18.1</v>
      </c>
      <c r="G33" s="461">
        <f>IF('[1]Tasa de Falla'!HQ33="","",'[1]Tasa de Falla'!HQ33)</f>
      </c>
      <c r="H33" s="461">
        <f>IF('[1]Tasa de Falla'!HR33="","",'[1]Tasa de Falla'!HR33)</f>
      </c>
      <c r="I33" s="461">
        <f>IF('[1]Tasa de Falla'!HS33="","",'[1]Tasa de Falla'!HS33)</f>
      </c>
      <c r="J33" s="461">
        <f>IF('[1]Tasa de Falla'!HT33="","",'[1]Tasa de Falla'!HT33)</f>
      </c>
      <c r="K33" s="461">
        <f>IF('[1]Tasa de Falla'!HU33="","",'[1]Tasa de Falla'!HU33)</f>
      </c>
      <c r="L33" s="461">
        <f>IF('[1]Tasa de Falla'!HV33="","",'[1]Tasa de Falla'!HV33)</f>
      </c>
      <c r="M33" s="461">
        <f>IF('[1]Tasa de Falla'!HW33="","",'[1]Tasa de Falla'!HW33)</f>
      </c>
      <c r="N33" s="461">
        <f>IF('[1]Tasa de Falla'!HX33="","",'[1]Tasa de Falla'!HX33)</f>
      </c>
      <c r="O33" s="461">
        <f>IF('[1]Tasa de Falla'!HY33="","",'[1]Tasa de Falla'!HY33)</f>
      </c>
      <c r="P33" s="461">
        <f>IF('[1]Tasa de Falla'!HZ33="","",'[1]Tasa de Falla'!HZ33)</f>
      </c>
      <c r="Q33" s="461">
        <f>IF('[1]Tasa de Falla'!IA33="","",'[1]Tasa de Falla'!IA33)</f>
      </c>
      <c r="R33" s="461">
        <f>IF('[1]Tasa de Falla'!IB33="","",'[1]Tasa de Falla'!IB33)</f>
      </c>
      <c r="S33" s="458"/>
      <c r="T33" s="453"/>
    </row>
    <row r="34" spans="2:20" s="454" customFormat="1" ht="24.75" customHeight="1">
      <c r="B34" s="455"/>
      <c r="C34" s="460">
        <f>'[1]Tasa de Falla'!C34</f>
        <v>18</v>
      </c>
      <c r="D34" s="461" t="str">
        <f>'[1]Tasa de Falla'!D34</f>
        <v>CRUZ DE PIEDRA - LUJAN DE CUYO 2</v>
      </c>
      <c r="E34" s="461">
        <f>'[1]Tasa de Falla'!E34</f>
        <v>132</v>
      </c>
      <c r="F34" s="462">
        <f>'[1]Tasa de Falla'!F34</f>
        <v>18.1</v>
      </c>
      <c r="G34" s="461">
        <f>IF('[1]Tasa de Falla'!HQ34="","",'[1]Tasa de Falla'!HQ34)</f>
      </c>
      <c r="H34" s="461">
        <f>IF('[1]Tasa de Falla'!HR34="","",'[1]Tasa de Falla'!HR34)</f>
      </c>
      <c r="I34" s="461">
        <f>IF('[1]Tasa de Falla'!HS34="","",'[1]Tasa de Falla'!HS34)</f>
      </c>
      <c r="J34" s="461">
        <f>IF('[1]Tasa de Falla'!HT34="","",'[1]Tasa de Falla'!HT34)</f>
      </c>
      <c r="K34" s="461">
        <f>IF('[1]Tasa de Falla'!HU34="","",'[1]Tasa de Falla'!HU34)</f>
      </c>
      <c r="L34" s="461">
        <f>IF('[1]Tasa de Falla'!HV34="","",'[1]Tasa de Falla'!HV34)</f>
      </c>
      <c r="M34" s="461">
        <f>IF('[1]Tasa de Falla'!HW34="","",'[1]Tasa de Falla'!HW34)</f>
      </c>
      <c r="N34" s="461">
        <f>IF('[1]Tasa de Falla'!HX34="","",'[1]Tasa de Falla'!HX34)</f>
      </c>
      <c r="O34" s="461">
        <f>IF('[1]Tasa de Falla'!HY34="","",'[1]Tasa de Falla'!HY34)</f>
      </c>
      <c r="P34" s="461">
        <f>IF('[1]Tasa de Falla'!HZ34="","",'[1]Tasa de Falla'!HZ34)</f>
      </c>
      <c r="Q34" s="461">
        <f>IF('[1]Tasa de Falla'!IA34="","",'[1]Tasa de Falla'!IA34)</f>
      </c>
      <c r="R34" s="461">
        <f>IF('[1]Tasa de Falla'!IB34="","",'[1]Tasa de Falla'!IB34)</f>
      </c>
      <c r="S34" s="458"/>
      <c r="T34" s="453"/>
    </row>
    <row r="35" spans="2:20" s="454" customFormat="1" ht="24.75" customHeight="1">
      <c r="B35" s="455"/>
      <c r="C35" s="466">
        <f>'[1]Tasa de Falla'!C35</f>
        <v>19</v>
      </c>
      <c r="D35" s="467" t="str">
        <f>'[1]Tasa de Falla'!D35</f>
        <v>C.H. NIHUIL I - PEDRO VARGAS</v>
      </c>
      <c r="E35" s="467">
        <f>'[1]Tasa de Falla'!E35</f>
        <v>132</v>
      </c>
      <c r="F35" s="468">
        <f>'[1]Tasa de Falla'!F35</f>
        <v>46.5</v>
      </c>
      <c r="G35" s="461">
        <f>IF('[1]Tasa de Falla'!HQ35="","",'[1]Tasa de Falla'!HQ35)</f>
      </c>
      <c r="H35" s="461">
        <f>IF('[1]Tasa de Falla'!HR35="","",'[1]Tasa de Falla'!HR35)</f>
      </c>
      <c r="I35" s="461">
        <f>IF('[1]Tasa de Falla'!HS35="","",'[1]Tasa de Falla'!HS35)</f>
      </c>
      <c r="J35" s="461">
        <f>IF('[1]Tasa de Falla'!HT35="","",'[1]Tasa de Falla'!HT35)</f>
      </c>
      <c r="K35" s="461">
        <f>IF('[1]Tasa de Falla'!HU35="","",'[1]Tasa de Falla'!HU35)</f>
      </c>
      <c r="L35" s="461">
        <f>IF('[1]Tasa de Falla'!HV35="","",'[1]Tasa de Falla'!HV35)</f>
      </c>
      <c r="M35" s="461">
        <f>IF('[1]Tasa de Falla'!HW35="","",'[1]Tasa de Falla'!HW35)</f>
      </c>
      <c r="N35" s="461">
        <f>IF('[1]Tasa de Falla'!HX35="","",'[1]Tasa de Falla'!HX35)</f>
      </c>
      <c r="O35" s="461">
        <f>IF('[1]Tasa de Falla'!HY35="","",'[1]Tasa de Falla'!HY35)</f>
      </c>
      <c r="P35" s="461">
        <f>IF('[1]Tasa de Falla'!HZ35="","",'[1]Tasa de Falla'!HZ35)</f>
      </c>
      <c r="Q35" s="461">
        <f>IF('[1]Tasa de Falla'!IA35="","",'[1]Tasa de Falla'!IA35)</f>
      </c>
      <c r="R35" s="461">
        <f>IF('[1]Tasa de Falla'!IB35="","",'[1]Tasa de Falla'!IB35)</f>
      </c>
      <c r="S35" s="458"/>
      <c r="T35" s="453"/>
    </row>
    <row r="36" spans="2:20" s="454" customFormat="1" ht="24.75" customHeight="1">
      <c r="B36" s="455"/>
      <c r="C36" s="460">
        <f>'[1]Tasa de Falla'!C36</f>
        <v>20</v>
      </c>
      <c r="D36" s="461" t="str">
        <f>'[1]Tasa de Falla'!D36</f>
        <v>N AN JUAN - SAN JUAN</v>
      </c>
      <c r="E36" s="461">
        <f>'[1]Tasa de Falla'!E36</f>
        <v>220</v>
      </c>
      <c r="F36" s="462">
        <f>'[1]Tasa de Falla'!F36</f>
        <v>4.5</v>
      </c>
      <c r="G36" s="461">
        <f>IF('[1]Tasa de Falla'!HQ36="","",'[1]Tasa de Falla'!HQ36)</f>
      </c>
      <c r="H36" s="461">
        <f>IF('[1]Tasa de Falla'!HR36="","",'[1]Tasa de Falla'!HR36)</f>
      </c>
      <c r="I36" s="461">
        <f>IF('[1]Tasa de Falla'!HS36="","",'[1]Tasa de Falla'!HS36)</f>
      </c>
      <c r="J36" s="461">
        <f>IF('[1]Tasa de Falla'!HT36="","",'[1]Tasa de Falla'!HT36)</f>
      </c>
      <c r="K36" s="461">
        <f>IF('[1]Tasa de Falla'!HU36="","",'[1]Tasa de Falla'!HU36)</f>
      </c>
      <c r="L36" s="461">
        <f>IF('[1]Tasa de Falla'!HV36="","",'[1]Tasa de Falla'!HV36)</f>
      </c>
      <c r="M36" s="461">
        <f>IF('[1]Tasa de Falla'!HW36="","",'[1]Tasa de Falla'!HW36)</f>
      </c>
      <c r="N36" s="461">
        <f>IF('[1]Tasa de Falla'!HX36="","",'[1]Tasa de Falla'!HX36)</f>
      </c>
      <c r="O36" s="461">
        <f>IF('[1]Tasa de Falla'!HY36="","",'[1]Tasa de Falla'!HY36)</f>
      </c>
      <c r="P36" s="461">
        <f>IF('[1]Tasa de Falla'!HZ36="","",'[1]Tasa de Falla'!HZ36)</f>
      </c>
      <c r="Q36" s="461">
        <f>IF('[1]Tasa de Falla'!IA36="","",'[1]Tasa de Falla'!IA36)</f>
      </c>
      <c r="R36" s="461">
        <f>IF('[1]Tasa de Falla'!IB36="","",'[1]Tasa de Falla'!IB36)</f>
      </c>
      <c r="S36" s="458"/>
      <c r="T36" s="453"/>
    </row>
    <row r="37" spans="2:20" s="454" customFormat="1" ht="24.75" customHeight="1">
      <c r="B37" s="455"/>
      <c r="C37" s="466">
        <f>'[1]Tasa de Falla'!C37</f>
        <v>21</v>
      </c>
      <c r="D37" s="467" t="str">
        <f>'[1]Tasa de Falla'!D37</f>
        <v>SAN JUAN - CAÑADA HONDA</v>
      </c>
      <c r="E37" s="467">
        <f>'[1]Tasa de Falla'!E37</f>
        <v>132</v>
      </c>
      <c r="F37" s="468">
        <f>'[1]Tasa de Falla'!F37</f>
        <v>54.4</v>
      </c>
      <c r="G37" s="461">
        <f>IF('[1]Tasa de Falla'!HQ37="","",'[1]Tasa de Falla'!HQ37)</f>
      </c>
      <c r="H37" s="461">
        <f>IF('[1]Tasa de Falla'!HR37="","",'[1]Tasa de Falla'!HR37)</f>
      </c>
      <c r="I37" s="461">
        <f>IF('[1]Tasa de Falla'!HS37="","",'[1]Tasa de Falla'!HS37)</f>
      </c>
      <c r="J37" s="461">
        <f>IF('[1]Tasa de Falla'!HT37="","",'[1]Tasa de Falla'!HT37)</f>
      </c>
      <c r="K37" s="461">
        <f>IF('[1]Tasa de Falla'!HU37="","",'[1]Tasa de Falla'!HU37)</f>
      </c>
      <c r="L37" s="461">
        <f>IF('[1]Tasa de Falla'!HV37="","",'[1]Tasa de Falla'!HV37)</f>
      </c>
      <c r="M37" s="461">
        <f>IF('[1]Tasa de Falla'!HW37="","",'[1]Tasa de Falla'!HW37)</f>
        <v>1</v>
      </c>
      <c r="N37" s="461">
        <f>IF('[1]Tasa de Falla'!HX37="","",'[1]Tasa de Falla'!HX37)</f>
      </c>
      <c r="O37" s="461">
        <f>IF('[1]Tasa de Falla'!HY37="","",'[1]Tasa de Falla'!HY37)</f>
      </c>
      <c r="P37" s="461">
        <f>IF('[1]Tasa de Falla'!HZ37="","",'[1]Tasa de Falla'!HZ37)</f>
      </c>
      <c r="Q37" s="461">
        <f>IF('[1]Tasa de Falla'!IA37="","",'[1]Tasa de Falla'!IA37)</f>
      </c>
      <c r="R37" s="461">
        <f>IF('[1]Tasa de Falla'!IB37="","",'[1]Tasa de Falla'!IB37)</f>
      </c>
      <c r="S37" s="458"/>
      <c r="T37" s="453"/>
    </row>
    <row r="38" spans="2:20" s="454" customFormat="1" ht="24.75" customHeight="1" thickBot="1">
      <c r="B38" s="455"/>
      <c r="C38" s="469">
        <f>IF('[2]Tasa de Falla'!C36=0,"",'[2]Tasa de Falla'!C36)</f>
      </c>
      <c r="D38" s="470">
        <f>IF('[2]Tasa de Falla'!D36=0,"",'[2]Tasa de Falla'!D36)</f>
      </c>
      <c r="E38" s="471">
        <f>IF('[2]Tasa de Falla'!E36=0,"",'[2]Tasa de Falla'!E36)</f>
      </c>
      <c r="F38" s="472">
        <f>IF('[2]Tasa de Falla'!F36=0,"",'[2]Tasa de Falla'!F36)</f>
      </c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58"/>
      <c r="T38" s="453"/>
    </row>
    <row r="39" spans="2:20" s="454" customFormat="1" ht="24.75" customHeight="1" thickBot="1" thickTop="1">
      <c r="B39" s="455"/>
      <c r="C39" s="473"/>
      <c r="D39" s="474"/>
      <c r="E39" s="475" t="s">
        <v>166</v>
      </c>
      <c r="F39" s="476">
        <f>ROUND(SUM($F$17:$F$38)-SUMIF($R17:$R38,"XXXX",$F$17:$F$38),2)</f>
        <v>1250</v>
      </c>
      <c r="G39" s="477"/>
      <c r="H39" s="478"/>
      <c r="I39" s="477"/>
      <c r="J39" s="478"/>
      <c r="K39" s="477"/>
      <c r="L39" s="478"/>
      <c r="M39" s="477"/>
      <c r="N39" s="478"/>
      <c r="O39" s="477"/>
      <c r="P39" s="478"/>
      <c r="Q39" s="477"/>
      <c r="R39" s="478"/>
      <c r="S39" s="458"/>
      <c r="T39" s="453"/>
    </row>
    <row r="40" spans="2:20" s="454" customFormat="1" ht="24.75" customHeight="1" thickBot="1" thickTop="1">
      <c r="B40" s="455"/>
      <c r="C40" s="479"/>
      <c r="D40" s="480"/>
      <c r="F40" s="481" t="s">
        <v>167</v>
      </c>
      <c r="G40" s="482">
        <f aca="true" t="shared" si="0" ref="G40:R40">SUM(G17:G38)</f>
        <v>0</v>
      </c>
      <c r="H40" s="482">
        <f t="shared" si="0"/>
        <v>2</v>
      </c>
      <c r="I40" s="482">
        <f t="shared" si="0"/>
        <v>2</v>
      </c>
      <c r="J40" s="482">
        <f t="shared" si="0"/>
        <v>1</v>
      </c>
      <c r="K40" s="482">
        <f t="shared" si="0"/>
        <v>0</v>
      </c>
      <c r="L40" s="482">
        <f t="shared" si="0"/>
        <v>4</v>
      </c>
      <c r="M40" s="482">
        <f t="shared" si="0"/>
        <v>2</v>
      </c>
      <c r="N40" s="482">
        <f t="shared" si="0"/>
        <v>0</v>
      </c>
      <c r="O40" s="482">
        <f t="shared" si="0"/>
        <v>0</v>
      </c>
      <c r="P40" s="482">
        <f t="shared" si="0"/>
        <v>0</v>
      </c>
      <c r="Q40" s="482">
        <f t="shared" si="0"/>
        <v>1</v>
      </c>
      <c r="R40" s="482">
        <f t="shared" si="0"/>
        <v>4</v>
      </c>
      <c r="S40" s="458"/>
      <c r="T40" s="453"/>
    </row>
    <row r="41" spans="2:20" s="454" customFormat="1" ht="24.75" customHeight="1" thickBot="1" thickTop="1">
      <c r="B41" s="455"/>
      <c r="C41" s="479"/>
      <c r="D41" s="479"/>
      <c r="E41" s="479"/>
      <c r="F41" s="483" t="s">
        <v>168</v>
      </c>
      <c r="G41" s="484">
        <f>'[1]Tasa de Falla'!HQ42</f>
        <v>0.8</v>
      </c>
      <c r="H41" s="484">
        <f>'[1]Tasa de Falla'!HR42</f>
        <v>0.72</v>
      </c>
      <c r="I41" s="484">
        <f>'[1]Tasa de Falla'!HS42</f>
        <v>0.72</v>
      </c>
      <c r="J41" s="484">
        <f>'[1]Tasa de Falla'!HT42</f>
        <v>0.8</v>
      </c>
      <c r="K41" s="484">
        <f>'[1]Tasa de Falla'!HU42</f>
        <v>0.88</v>
      </c>
      <c r="L41" s="484">
        <f>'[1]Tasa de Falla'!HV42</f>
        <v>0.72</v>
      </c>
      <c r="M41" s="484">
        <f>'[1]Tasa de Falla'!HW42</f>
        <v>1.04</v>
      </c>
      <c r="N41" s="484">
        <f>'[1]Tasa de Falla'!HX42</f>
        <v>1.2</v>
      </c>
      <c r="O41" s="484">
        <f>'[1]Tasa de Falla'!HY42</f>
        <v>1.2</v>
      </c>
      <c r="P41" s="484">
        <f>'[1]Tasa de Falla'!HZ42</f>
        <v>1.04</v>
      </c>
      <c r="Q41" s="484">
        <f>'[1]Tasa de Falla'!IA42</f>
        <v>0.96</v>
      </c>
      <c r="R41" s="484">
        <f>'[1]Tasa de Falla'!IB42</f>
        <v>1.04</v>
      </c>
      <c r="S41" s="484">
        <f>'[1]Tasa de Falla'!IC42</f>
        <v>1.28</v>
      </c>
      <c r="T41" s="453"/>
    </row>
    <row r="42" spans="2:20" ht="18.75" customHeight="1" thickBot="1" thickTop="1">
      <c r="B42" s="441"/>
      <c r="C42" s="485"/>
      <c r="D42" s="486" t="s">
        <v>169</v>
      </c>
      <c r="E42" s="487"/>
      <c r="F42" s="488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90"/>
    </row>
    <row r="43" spans="2:20" ht="17.25" thickBot="1" thickTop="1">
      <c r="B43" s="491"/>
      <c r="C43" s="445"/>
      <c r="D43" s="445"/>
      <c r="H43" s="492" t="s">
        <v>170</v>
      </c>
      <c r="I43" s="493"/>
      <c r="J43" s="494">
        <f>S41</f>
        <v>1.28</v>
      </c>
      <c r="K43" s="495" t="s">
        <v>171</v>
      </c>
      <c r="L43" s="496"/>
      <c r="M43" s="497"/>
      <c r="N43" s="498"/>
      <c r="O43" s="498"/>
      <c r="P43" s="498"/>
      <c r="Q43" s="498"/>
      <c r="R43" s="445"/>
      <c r="S43" s="445"/>
      <c r="T43" s="446"/>
    </row>
    <row r="44" spans="2:20" ht="18.75" customHeight="1" thickBot="1" thickTop="1">
      <c r="B44" s="499"/>
      <c r="C44" s="500"/>
      <c r="D44" s="501"/>
      <c r="E44" s="501"/>
      <c r="F44" s="502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4"/>
    </row>
    <row r="45" ht="13.5" thickTop="1">
      <c r="AA45" s="420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F31" sqref="F31"/>
    </sheetView>
  </sheetViews>
  <sheetFormatPr defaultColWidth="11.421875" defaultRowHeight="12.75"/>
  <cols>
    <col min="1" max="1" width="21.7109375" style="402" customWidth="1"/>
    <col min="2" max="2" width="9.28125" style="402" customWidth="1"/>
    <col min="3" max="3" width="11.8515625" style="402" bestFit="1" customWidth="1"/>
    <col min="4" max="4" width="9.57421875" style="402" bestFit="1" customWidth="1"/>
    <col min="5" max="5" width="14.8515625" style="402" bestFit="1" customWidth="1"/>
    <col min="6" max="6" width="64.00390625" style="402" bestFit="1" customWidth="1"/>
    <col min="7" max="16384" width="11.421875" style="402" customWidth="1"/>
  </cols>
  <sheetData>
    <row r="1" spans="1:4" ht="12.75">
      <c r="A1" s="401" t="s">
        <v>76</v>
      </c>
      <c r="B1" s="401" t="s">
        <v>76</v>
      </c>
      <c r="C1" s="401" t="s">
        <v>77</v>
      </c>
      <c r="D1" s="401" t="s">
        <v>78</v>
      </c>
    </row>
    <row r="2" spans="1:4" ht="12.75">
      <c r="A2" s="403" t="s">
        <v>60</v>
      </c>
      <c r="B2" s="404" t="s">
        <v>79</v>
      </c>
      <c r="C2" s="403">
        <v>31</v>
      </c>
      <c r="D2" s="403">
        <v>2006</v>
      </c>
    </row>
    <row r="3" spans="1:4" ht="12.75">
      <c r="A3" s="403" t="s">
        <v>61</v>
      </c>
      <c r="B3" s="404" t="s">
        <v>80</v>
      </c>
      <c r="C3" s="403">
        <f>IF(MOD(E14,4)=0,29,28)</f>
        <v>28</v>
      </c>
      <c r="D3" s="403">
        <f>+D2+1</f>
        <v>2007</v>
      </c>
    </row>
    <row r="4" spans="1:4" ht="12.75">
      <c r="A4" s="403" t="s">
        <v>62</v>
      </c>
      <c r="B4" s="404" t="s">
        <v>81</v>
      </c>
      <c r="C4" s="403">
        <v>31</v>
      </c>
      <c r="D4" s="403">
        <v>2008</v>
      </c>
    </row>
    <row r="5" spans="1:4" ht="12.75">
      <c r="A5" s="403" t="s">
        <v>63</v>
      </c>
      <c r="B5" s="404" t="s">
        <v>82</v>
      </c>
      <c r="C5" s="403">
        <v>30</v>
      </c>
      <c r="D5" s="403">
        <v>2009</v>
      </c>
    </row>
    <row r="6" spans="1:4" ht="12.75">
      <c r="A6" s="403" t="s">
        <v>64</v>
      </c>
      <c r="B6" s="404" t="s">
        <v>83</v>
      </c>
      <c r="C6" s="403">
        <v>31</v>
      </c>
      <c r="D6" s="403">
        <v>2010</v>
      </c>
    </row>
    <row r="7" spans="1:4" ht="12.75">
      <c r="A7" s="403" t="s">
        <v>65</v>
      </c>
      <c r="B7" s="404" t="s">
        <v>84</v>
      </c>
      <c r="C7" s="403">
        <v>30</v>
      </c>
      <c r="D7" s="403">
        <v>2011</v>
      </c>
    </row>
    <row r="8" spans="1:4" ht="12.75">
      <c r="A8" s="403" t="s">
        <v>66</v>
      </c>
      <c r="B8" s="404" t="s">
        <v>85</v>
      </c>
      <c r="C8" s="403">
        <v>31</v>
      </c>
      <c r="D8" s="403">
        <v>2012</v>
      </c>
    </row>
    <row r="9" spans="1:4" ht="12.75">
      <c r="A9" s="403" t="s">
        <v>67</v>
      </c>
      <c r="B9" s="404" t="s">
        <v>86</v>
      </c>
      <c r="C9" s="403">
        <v>31</v>
      </c>
      <c r="D9" s="403">
        <v>2013</v>
      </c>
    </row>
    <row r="10" spans="1:4" ht="12.75">
      <c r="A10" s="403" t="s">
        <v>68</v>
      </c>
      <c r="B10" s="404" t="s">
        <v>87</v>
      </c>
      <c r="C10" s="403">
        <v>30</v>
      </c>
      <c r="D10" s="403">
        <v>2014</v>
      </c>
    </row>
    <row r="11" spans="1:4" ht="12.75">
      <c r="A11" s="403" t="s">
        <v>69</v>
      </c>
      <c r="B11" s="404" t="s">
        <v>88</v>
      </c>
      <c r="C11" s="403">
        <v>31</v>
      </c>
      <c r="D11" s="403"/>
    </row>
    <row r="12" spans="1:4" ht="12.75">
      <c r="A12" s="403" t="s">
        <v>70</v>
      </c>
      <c r="B12" s="404" t="s">
        <v>89</v>
      </c>
      <c r="C12" s="403">
        <v>30</v>
      </c>
      <c r="D12" s="403"/>
    </row>
    <row r="13" spans="1:9" ht="12.75">
      <c r="A13" s="403" t="s">
        <v>71</v>
      </c>
      <c r="B13" s="404" t="s">
        <v>90</v>
      </c>
      <c r="C13" s="403">
        <v>31</v>
      </c>
      <c r="D13" s="403"/>
      <c r="I13" s="405" t="s">
        <v>91</v>
      </c>
    </row>
    <row r="14" spans="1:9" ht="12.75">
      <c r="A14" s="406">
        <v>9</v>
      </c>
      <c r="B14" s="407">
        <v>9</v>
      </c>
      <c r="C14" s="406" t="str">
        <f ca="1">CELL("CONTENIDO",OFFSET(A1,B14,0))</f>
        <v>septiembre</v>
      </c>
      <c r="D14" s="406">
        <f ca="1">CELL("CONTENIDO",OFFSET(C1,B14,0))</f>
        <v>30</v>
      </c>
      <c r="E14" s="406">
        <f ca="1">CELL("CONTENIDO",OFFSET(D1,A14,0))</f>
        <v>2014</v>
      </c>
      <c r="F14" s="406" t="str">
        <f>"Desde el 01 al "&amp;D14&amp;" de "&amp;C14&amp;" de "&amp;E14</f>
        <v>Desde el 01 al 30 de septiembre de 2014</v>
      </c>
      <c r="G14" s="406" t="str">
        <f ca="1">CELL("CONTENIDO",OFFSET(B1,B14,0))</f>
        <v>09</v>
      </c>
      <c r="H14" s="406" t="str">
        <f>RIGHT(E14,2)</f>
        <v>14</v>
      </c>
      <c r="I14" s="408" t="s">
        <v>92</v>
      </c>
    </row>
    <row r="15" spans="1:8" ht="12.75">
      <c r="A15" s="406"/>
      <c r="B15" s="409" t="str">
        <f>"\\rugor\files\Transporte\Transporte\AA PROCESO AUT ARCHIVOS J\DISTROCUYO\"&amp;E14</f>
        <v>\\rugor\files\Transporte\Transporte\AA PROCESO AUT ARCHIVOS J\DISTROCUYO\2014</v>
      </c>
      <c r="C15" s="406"/>
      <c r="D15" s="406"/>
      <c r="E15" s="406"/>
      <c r="F15" s="406"/>
      <c r="G15" s="406" t="str">
        <f>"J"&amp;G14&amp;H14&amp;"CUY"</f>
        <v>J0914CUY</v>
      </c>
      <c r="H15" s="406"/>
    </row>
    <row r="16" spans="1:8" ht="12.75">
      <c r="A16" s="406"/>
      <c r="B16" s="409" t="str">
        <f>"\\rugor\files\Transporte\transporte\AA PROCESO AUT\INTERCAMBIO\"&amp;H14&amp;G14</f>
        <v>\\rugor\files\Transporte\transporte\AA PROCESO AUT\INTERCAMBIO\1409</v>
      </c>
      <c r="C16" s="406"/>
      <c r="D16" s="406"/>
      <c r="E16" s="406"/>
      <c r="F16" s="406"/>
      <c r="G16" s="406"/>
      <c r="H16" s="406"/>
    </row>
    <row r="17" spans="1:29" s="410" customFormat="1" ht="12.75">
      <c r="A17" s="401" t="s">
        <v>93</v>
      </c>
      <c r="B17" s="401" t="s">
        <v>94</v>
      </c>
      <c r="C17" s="401" t="s">
        <v>95</v>
      </c>
      <c r="D17" s="401" t="s">
        <v>96</v>
      </c>
      <c r="E17" s="401" t="s">
        <v>97</v>
      </c>
      <c r="F17" s="401" t="s">
        <v>98</v>
      </c>
      <c r="G17" s="401" t="s">
        <v>126</v>
      </c>
      <c r="H17" s="401" t="s">
        <v>99</v>
      </c>
      <c r="I17" s="401" t="s">
        <v>100</v>
      </c>
      <c r="J17" s="401" t="s">
        <v>101</v>
      </c>
      <c r="K17" s="401" t="s">
        <v>102</v>
      </c>
      <c r="L17" s="401" t="s">
        <v>103</v>
      </c>
      <c r="M17" s="401" t="s">
        <v>104</v>
      </c>
      <c r="N17" s="401" t="s">
        <v>105</v>
      </c>
      <c r="O17" s="401" t="s">
        <v>106</v>
      </c>
      <c r="P17" s="401" t="s">
        <v>107</v>
      </c>
      <c r="Q17" s="401" t="s">
        <v>108</v>
      </c>
      <c r="R17" s="401" t="s">
        <v>109</v>
      </c>
      <c r="S17" s="401" t="s">
        <v>110</v>
      </c>
      <c r="T17" s="401" t="s">
        <v>111</v>
      </c>
      <c r="U17" s="401" t="s">
        <v>112</v>
      </c>
      <c r="V17" s="401" t="s">
        <v>113</v>
      </c>
      <c r="W17" s="401" t="s">
        <v>114</v>
      </c>
      <c r="X17" s="401" t="s">
        <v>115</v>
      </c>
      <c r="Y17" s="401" t="s">
        <v>116</v>
      </c>
      <c r="Z17" s="401" t="s">
        <v>117</v>
      </c>
      <c r="AA17" s="401" t="s">
        <v>118</v>
      </c>
      <c r="AB17" s="401" t="s">
        <v>119</v>
      </c>
      <c r="AC17" s="401" t="s">
        <v>120</v>
      </c>
    </row>
    <row r="18" spans="1:29" ht="12.75">
      <c r="A18" s="411" t="s">
        <v>121</v>
      </c>
      <c r="B18" s="411">
        <v>21</v>
      </c>
      <c r="C18" s="411">
        <v>19</v>
      </c>
      <c r="D18" s="411">
        <v>12</v>
      </c>
      <c r="E18" s="411" t="str">
        <f>"LI-"&amp;$G$14</f>
        <v>LI-09</v>
      </c>
      <c r="F18" s="411" t="s">
        <v>127</v>
      </c>
      <c r="G18" s="411">
        <v>3</v>
      </c>
      <c r="H18" s="412">
        <v>5</v>
      </c>
      <c r="I18" s="412">
        <v>4</v>
      </c>
      <c r="J18" s="411">
        <v>6</v>
      </c>
      <c r="K18" s="411">
        <v>7</v>
      </c>
      <c r="L18" s="411">
        <v>8</v>
      </c>
      <c r="M18" s="411">
        <v>0</v>
      </c>
      <c r="N18" s="411">
        <v>10</v>
      </c>
      <c r="O18" s="411">
        <v>11</v>
      </c>
      <c r="P18" s="411">
        <v>14</v>
      </c>
      <c r="Q18" s="411">
        <v>26</v>
      </c>
      <c r="R18" s="411">
        <v>0</v>
      </c>
      <c r="S18" s="411">
        <v>15</v>
      </c>
      <c r="T18" s="411">
        <v>0</v>
      </c>
      <c r="U18" s="411">
        <v>0</v>
      </c>
      <c r="V18" s="411">
        <v>0</v>
      </c>
      <c r="W18" s="411">
        <v>18</v>
      </c>
      <c r="X18" s="411">
        <v>9</v>
      </c>
      <c r="Y18" s="411">
        <v>42</v>
      </c>
      <c r="Z18" s="411">
        <v>27</v>
      </c>
      <c r="AA18" s="411">
        <v>19</v>
      </c>
      <c r="AB18" s="411">
        <v>27</v>
      </c>
      <c r="AC18" s="411">
        <v>14</v>
      </c>
    </row>
    <row r="19" spans="1:29" ht="12.75">
      <c r="A19" s="413" t="s">
        <v>122</v>
      </c>
      <c r="B19" s="413">
        <v>22</v>
      </c>
      <c r="C19" s="413">
        <v>19</v>
      </c>
      <c r="D19" s="413">
        <v>13</v>
      </c>
      <c r="E19" s="413" t="str">
        <f>"T-"&amp;$G$14</f>
        <v>T-09</v>
      </c>
      <c r="F19" s="413" t="s">
        <v>128</v>
      </c>
      <c r="G19" s="411">
        <v>3</v>
      </c>
      <c r="H19" s="412">
        <v>5</v>
      </c>
      <c r="I19" s="412">
        <v>4</v>
      </c>
      <c r="J19" s="413">
        <v>6</v>
      </c>
      <c r="K19" s="413">
        <v>7</v>
      </c>
      <c r="L19" s="413">
        <v>8</v>
      </c>
      <c r="M19" s="413">
        <v>9</v>
      </c>
      <c r="N19" s="413">
        <v>11</v>
      </c>
      <c r="O19" s="413">
        <v>12</v>
      </c>
      <c r="P19" s="413">
        <v>15</v>
      </c>
      <c r="Q19" s="413">
        <v>16</v>
      </c>
      <c r="R19" s="413">
        <v>18</v>
      </c>
      <c r="S19" s="413">
        <v>28</v>
      </c>
      <c r="T19" s="413">
        <v>17</v>
      </c>
      <c r="U19" s="413">
        <v>0</v>
      </c>
      <c r="V19" s="413">
        <v>0</v>
      </c>
      <c r="W19" s="413">
        <v>22</v>
      </c>
      <c r="X19" s="411">
        <v>9</v>
      </c>
      <c r="Y19" s="413">
        <v>43</v>
      </c>
      <c r="Z19" s="413">
        <v>29</v>
      </c>
      <c r="AA19" s="413">
        <v>20</v>
      </c>
      <c r="AB19" s="413">
        <v>29</v>
      </c>
      <c r="AC19" s="413">
        <v>15</v>
      </c>
    </row>
    <row r="20" spans="1:29" ht="12.75">
      <c r="A20" s="411" t="s">
        <v>123</v>
      </c>
      <c r="B20" s="411">
        <v>22</v>
      </c>
      <c r="C20" s="411">
        <v>19</v>
      </c>
      <c r="D20" s="411">
        <v>10</v>
      </c>
      <c r="E20" s="411" t="str">
        <f>"SA-"&amp;$G$14</f>
        <v>SA-09</v>
      </c>
      <c r="F20" s="411" t="s">
        <v>129</v>
      </c>
      <c r="G20" s="411">
        <v>3</v>
      </c>
      <c r="H20" s="412">
        <v>5</v>
      </c>
      <c r="I20" s="412">
        <v>4</v>
      </c>
      <c r="J20" s="411">
        <v>6</v>
      </c>
      <c r="K20" s="411">
        <v>7</v>
      </c>
      <c r="L20" s="411">
        <v>8</v>
      </c>
      <c r="M20" s="411">
        <v>10</v>
      </c>
      <c r="N20" s="411">
        <v>11</v>
      </c>
      <c r="O20" s="411">
        <v>14</v>
      </c>
      <c r="P20" s="411">
        <v>15</v>
      </c>
      <c r="Q20" s="411">
        <v>21</v>
      </c>
      <c r="R20" s="411">
        <v>0</v>
      </c>
      <c r="S20" s="411">
        <v>0</v>
      </c>
      <c r="T20" s="411">
        <v>0</v>
      </c>
      <c r="U20" s="411">
        <v>0</v>
      </c>
      <c r="V20" s="411">
        <v>0</v>
      </c>
      <c r="W20" s="411">
        <v>24</v>
      </c>
      <c r="X20" s="411">
        <v>9</v>
      </c>
      <c r="Y20" s="411">
        <v>43</v>
      </c>
      <c r="Z20" s="411">
        <v>22</v>
      </c>
      <c r="AA20" s="411">
        <v>20</v>
      </c>
      <c r="AB20" s="411">
        <v>22</v>
      </c>
      <c r="AC20" s="411">
        <v>14</v>
      </c>
    </row>
    <row r="21" spans="1:29" s="410" customFormat="1" ht="12.75">
      <c r="A21" s="414" t="s">
        <v>124</v>
      </c>
      <c r="B21" s="414">
        <v>19</v>
      </c>
      <c r="C21" s="414">
        <v>24</v>
      </c>
      <c r="D21" s="415">
        <v>4</v>
      </c>
      <c r="E21" s="414" t="str">
        <f>"CAUSAS-VST-"&amp;$G$14</f>
        <v>CAUSAS-VST-09</v>
      </c>
      <c r="F21" s="414" t="s">
        <v>125</v>
      </c>
      <c r="G21" s="414">
        <v>3</v>
      </c>
      <c r="H21" s="414">
        <v>4</v>
      </c>
      <c r="I21" s="414">
        <v>5</v>
      </c>
      <c r="J21" s="414">
        <v>6</v>
      </c>
      <c r="K21" s="414">
        <v>7</v>
      </c>
      <c r="L21" s="414">
        <v>0</v>
      </c>
      <c r="M21" s="414">
        <v>0</v>
      </c>
      <c r="N21" s="414">
        <v>0</v>
      </c>
      <c r="O21" s="414">
        <v>0</v>
      </c>
      <c r="P21" s="414">
        <v>0</v>
      </c>
      <c r="Q21" s="414">
        <v>0</v>
      </c>
      <c r="R21" s="414">
        <v>0</v>
      </c>
      <c r="S21" s="414">
        <v>0</v>
      </c>
      <c r="T21" s="414">
        <v>0</v>
      </c>
      <c r="U21" s="414">
        <v>0</v>
      </c>
      <c r="V21" s="414">
        <v>0</v>
      </c>
      <c r="W21" s="414">
        <v>999</v>
      </c>
      <c r="X21" s="414">
        <v>999</v>
      </c>
      <c r="Y21" s="414">
        <v>0</v>
      </c>
      <c r="Z21" s="414">
        <v>0</v>
      </c>
      <c r="AA21" s="414">
        <v>0</v>
      </c>
      <c r="AB21" s="414">
        <v>0</v>
      </c>
      <c r="AC21" s="414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2015-04-20T15:27:11Z</cp:lastPrinted>
  <dcterms:created xsi:type="dcterms:W3CDTF">1998-09-02T21:31:22Z</dcterms:created>
  <dcterms:modified xsi:type="dcterms:W3CDTF">2015-05-06T13:44:11Z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