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0"/>
  </bookViews>
  <sheets>
    <sheet name="TOT-0814" sheetId="1" r:id="rId1"/>
    <sheet name="LI-08 (1)" sheetId="2" r:id="rId2"/>
    <sheet name="T-08 (1)" sheetId="3" r:id="rId3"/>
    <sheet name="SA-08 (1)" sheetId="4" r:id="rId4"/>
    <sheet name="TASA FALLA" sheetId="5" r:id="rId5"/>
    <sheet name="DATO" sheetId="6" r:id="rId6"/>
  </sheets>
  <externalReferences>
    <externalReference r:id="rId9"/>
    <externalReference r:id="rId10"/>
  </externalReferences>
  <definedNames>
    <definedName name="_xlnm.Print_Area" localSheetId="4">'TASA FALLA'!$A$1:$T$44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4">'TASA FALLA'!INICIO</definedName>
    <definedName name="INICIO">[0]!INICIO</definedName>
    <definedName name="INICIOTI" localSheetId="4">'TASA FALLA'!INICIOTI</definedName>
    <definedName name="INICIOTI">[0]!INICIOTI</definedName>
    <definedName name="LINEAS" localSheetId="4">'TASA FALLA'!LINEAS</definedName>
    <definedName name="LINEAS">[0]!LINEAS</definedName>
    <definedName name="LINEASTI" localSheetId="4">'TASA FALLA'!LINEASTI</definedName>
    <definedName name="LINEASTI">[0]!LINEASTI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TRAN" localSheetId="4">'TASA FALLA'!TRAN</definedName>
    <definedName name="TRAN">[0]!TRAN</definedName>
    <definedName name="TRANSNOA" localSheetId="4">'TASA FALLA'!TRANSNOA</definedName>
    <definedName name="TRANSNOA">[0]!TRANSNOA</definedName>
    <definedName name="TRANSPA" localSheetId="4">'TASA FALLA'!TRANSPA</definedName>
    <definedName name="TRANSPA">[0]!TRANSPA</definedName>
    <definedName name="x" localSheetId="4">'TASA FALLA'!x</definedName>
    <definedName name="x">[0]!x</definedName>
    <definedName name="XX" localSheetId="4">'TASA FALLA'!XX</definedName>
    <definedName name="XX">[0]!XX</definedName>
    <definedName name="Z_CED65634_EC76_48B7_BCDE_CE4F22E2E6C4_.wvu.PrintArea" localSheetId="4" hidden="1">'TASA FALLA'!$A$1:$T$44</definedName>
    <definedName name="Z_CED65634_EC76_48B7_BCDE_CE4F22E2E6C4_.wvu.Rows" localSheetId="4" hidden="1">'TASA FALLA'!$16:$16</definedName>
  </definedNames>
  <calcPr fullCalcOnLoad="1"/>
</workbook>
</file>

<file path=xl/sharedStrings.xml><?xml version="1.0" encoding="utf-8"?>
<sst xmlns="http://schemas.openxmlformats.org/spreadsheetml/2006/main" count="343" uniqueCount="186">
  <si>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</si>
  <si>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</si>
  <si>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</si>
  <si>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</si>
  <si>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</si>
  <si>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</si>
  <si>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</si>
  <si>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</si>
  <si>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</si>
  <si>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</si>
  <si>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</si>
  <si>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</si>
  <si>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</si>
  <si>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</si>
  <si>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</si>
  <si>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</si>
  <si>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</si>
  <si>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</si>
  <si>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</si>
  <si>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</si>
  <si>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</si>
  <si>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</si>
  <si>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</si>
  <si>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</si>
  <si>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</si>
  <si>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</si>
  <si>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</si>
  <si>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</si>
  <si>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</si>
  <si>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</si>
  <si>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</si>
  <si>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</si>
  <si>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</si>
  <si>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</si>
  <si>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</si>
  <si>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</si>
  <si>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</si>
  <si>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</si>
  <si>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</si>
  <si>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</si>
  <si>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</si>
  <si>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</si>
  <si>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</si>
  <si>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</si>
  <si>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</si>
  <si>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</si>
  <si>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</si>
  <si>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</si>
  <si>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</si>
  <si>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</si>
  <si>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</si>
  <si>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</si>
  <si>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</si>
  <si>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</si>
  <si>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</si>
  <si>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</si>
  <si>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</si>
  <si>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</si>
  <si>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</si>
  <si>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</si>
  <si>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</si>
  <si>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</si>
  <si>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</si>
  <si>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</si>
  <si>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</si>
  <si>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</si>
  <si>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</si>
  <si>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</si>
  <si>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</si>
  <si>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</si>
  <si>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</si>
  <si>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</si>
  <si>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</si>
  <si>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</si>
  <si>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</si>
  <si>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</si>
  <si>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</si>
  <si>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</si>
  <si>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</si>
  <si>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</si>
  <si>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</si>
  <si>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</si>
  <si>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</si>
  <si>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</si>
  <si>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</si>
  <si>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</si>
  <si>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</si>
  <si>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</si>
  <si>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</si>
  <si>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</si>
  <si>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</si>
  <si>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</si>
  <si>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</si>
  <si>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</si>
  <si>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</si>
  <si>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</si>
  <si>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</si>
  <si>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</si>
  <si>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</si>
  <si>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</si>
  <si>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</si>
  <si>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</si>
  <si>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</si>
  <si>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</si>
  <si>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</si>
  <si>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</si>
  <si>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</si>
  <si>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</si>
  <si>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</si>
  <si>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</si>
  <si>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</si>
  <si>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</si>
  <si>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</si>
  <si>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</si>
  <si>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</si>
  <si>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</si>
  <si>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</si>
  <si>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</si>
  <si>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</si>
  <si>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</si>
  <si>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</si>
  <si>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</si>
  <si>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</si>
  <si>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</si>
  <si>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</si>
  <si>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DISTROCUYO_CAUSAS_VST.XLS</t>
  </si>
  <si>
    <t>ID</t>
  </si>
  <si>
    <t>DISTROCUYO_INDISPONIBILIDADES_LINEAS_DISTROCUYO.XLS</t>
  </si>
  <si>
    <t>DISTROCUYO_INDISPONIBILIDADES_TRAFOS_DISTROCUYO.XLS</t>
  </si>
  <si>
    <t>DISTROCUYO_INDISPONIBILIDADES_SALIDAS_DISTROCUYO.XLS</t>
  </si>
  <si>
    <t>Desde el 01 al 31 de agosto de 2014</t>
  </si>
  <si>
    <t>AGUA DEL TORO - CRUZ DE PIEDRA</t>
  </si>
  <si>
    <t>F</t>
  </si>
  <si>
    <t>0,000</t>
  </si>
  <si>
    <t>CAPIZ - PEDRO VARGAS</t>
  </si>
  <si>
    <t>P</t>
  </si>
  <si>
    <t>CRUZ DE PIEDRA - SAN JUAN</t>
  </si>
  <si>
    <t>SI</t>
  </si>
  <si>
    <t>LUJAN DE CUYO</t>
  </si>
  <si>
    <t>TRAFO 18</t>
  </si>
  <si>
    <t>132/13,2</t>
  </si>
  <si>
    <t>ANCHORIS</t>
  </si>
  <si>
    <t>TRAFO 1</t>
  </si>
  <si>
    <t>132/66/13,2</t>
  </si>
  <si>
    <t>CRUZ DE PIEDRA</t>
  </si>
  <si>
    <t>TRAFO 2</t>
  </si>
  <si>
    <t>CAÑADA HONDA</t>
  </si>
  <si>
    <t>AUTOTRAFO 1</t>
  </si>
  <si>
    <t>220/132/13,2</t>
  </si>
  <si>
    <t>MONTE CASEROS</t>
  </si>
  <si>
    <t xml:space="preserve">MONTE CASEROS </t>
  </si>
  <si>
    <t>RP</t>
  </si>
  <si>
    <t>SAN JUAN</t>
  </si>
  <si>
    <t>132/33/13,2</t>
  </si>
  <si>
    <t>LINEA AGRELO</t>
  </si>
  <si>
    <t>ALIMENT. 4 DESTILERIA</t>
  </si>
  <si>
    <t>LINEA RODEO DEL MEDIO 1</t>
  </si>
  <si>
    <t>BAJO RIO TUNUYAN</t>
  </si>
  <si>
    <t>LINEA JUNIN</t>
  </si>
  <si>
    <t>ALIMENT. CD ANCHORIS 1</t>
  </si>
  <si>
    <t>ALIMENT. CD ANCHORIS 2</t>
  </si>
  <si>
    <t>LINEA JUNIN Y EL MARCADO</t>
  </si>
  <si>
    <t>ALIMENT. FABRICAS CEMENTO</t>
  </si>
  <si>
    <t>ALIMENT. VILLA KRAUSE</t>
  </si>
  <si>
    <t xml:space="preserve"> - </t>
  </si>
  <si>
    <t>Res SE 1/03</t>
  </si>
  <si>
    <t>220/33/13,2</t>
  </si>
  <si>
    <t>TRAFO 3</t>
  </si>
  <si>
    <t>SALIDA LAS MARGARITAS</t>
  </si>
  <si>
    <t>SALIDA CHIMBAS</t>
  </si>
  <si>
    <t>P - PROGRAMADO  ; F - FORZADO</t>
  </si>
  <si>
    <t>P - PROGRAMADO  ; F - FORZADO  ; RP - REDUCCIÓN PROGRAMADA</t>
  </si>
  <si>
    <t>P - PROGRAMADA</t>
  </si>
  <si>
    <t>Valores remuneratorios según el Convenio de Renovación. Nota ENRE Nº 113602</t>
  </si>
  <si>
    <t>TOTAL DE PENALIZACIONES</t>
  </si>
  <si>
    <t xml:space="preserve">SISTEMA DE TRANSPORTE DE ENERGÍA ELÉCTRICA POR DISTRIBUCIÓN TRONCAL </t>
  </si>
  <si>
    <t>INDISPONIBILIDADES FORZADAS DE LÍNEAS - TASA DE FALLA</t>
  </si>
  <si>
    <t>LINEAS</t>
  </si>
  <si>
    <t xml:space="preserve">Longitud Total </t>
  </si>
  <si>
    <t xml:space="preserve">Indisponibilidades Forzadas </t>
  </si>
  <si>
    <t xml:space="preserve">TASA DE FALLA </t>
  </si>
  <si>
    <t>VALOR PROVISORIO</t>
  </si>
  <si>
    <t>TASA DE FALLA</t>
  </si>
  <si>
    <t>SALIDAS x AÑO/ 100 km</t>
  </si>
  <si>
    <t xml:space="preserve">Tasa de falla Correspondiente al mes de Agosto de 2014 </t>
  </si>
  <si>
    <t>ANEXO III al Memorandum D.T.E.E. N°        306    / 2015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</si>
</sst>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0.0"/>
    <numFmt numFmtId="174" formatCode="&quot;$&quot;\ #,##0.000;&quot;$&quot;\ \-#,##0.000"/>
    <numFmt numFmtId="175" formatCode="#,##0.0"/>
    <numFmt numFmtId="176" formatCode="0.000"/>
    <numFmt numFmtId="177" formatCode="0.0\ \k\V"/>
    <numFmt numFmtId="178" formatCode="0.00\ &quot;km&quot;"/>
    <numFmt numFmtId="179" formatCode="0.00\ &quot;MVA&quot;"/>
    <numFmt numFmtId="180" formatCode="d/m/yy\ h:mm"/>
    <numFmt numFmtId="181" formatCode="mmm\-yyyy"/>
    <numFmt numFmtId="182" formatCode="0#"/>
    <numFmt numFmtId="183" formatCode="d\ &quot;días&quot;\ \ h:mm\ &quot;horas&quot;"/>
    <numFmt numFmtId="184" formatCode="dd/mm/yy"/>
    <numFmt numFmtId="185" formatCode="#,##0.00000"/>
    <numFmt numFmtId="186" formatCode="0.000_)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&quot;$&quot;\ #,##0.0;&quot;$&quot;\ \-#,##0.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d\-m"/>
    <numFmt numFmtId="210" formatCode="dd/mm/\a\a\a\a\ hh:\n\n"/>
    <numFmt numFmtId="211" formatCode="d\-m\-yy\ h: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0.0000"/>
    <numFmt numFmtId="225" formatCode="[$€-2]\ #,##0.00_);[Red]\([$€-2]\ #,##0.00\)"/>
    <numFmt numFmtId="226" formatCode="[$-2C0A]dddd\,\ dd&quot; de &quot;mmmm&quot; de &quot;yyyy"/>
    <numFmt numFmtId="227" formatCode="[$-2C0A]hh:mm:ss\ AM/PM"/>
  </numFmts>
  <fonts count="111">
    <font>
      <sz val="10"/>
      <name val="Arial"/>
      <family val="0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2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47"/>
      <name val="Times New Roman"/>
      <family val="1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26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sz val="10"/>
      <color indexed="50"/>
      <name val="MS Sans Serif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2"/>
    </font>
    <font>
      <b/>
      <i/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1" borderId="1" applyNumberFormat="0" applyAlignment="0" applyProtection="0"/>
    <xf numFmtId="0" fontId="98" fillId="22" borderId="2" applyNumberFormat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0" applyNumberFormat="0" applyFill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2" fillId="29" borderId="1" applyNumberFormat="0" applyAlignment="0" applyProtection="0"/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5" fillId="21" borderId="6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7" applyNumberFormat="0" applyFill="0" applyAlignment="0" applyProtection="0"/>
    <xf numFmtId="0" fontId="101" fillId="0" borderId="8" applyNumberFormat="0" applyFill="0" applyAlignment="0" applyProtection="0"/>
    <xf numFmtId="0" fontId="110" fillId="0" borderId="9" applyNumberFormat="0" applyFill="0" applyAlignment="0" applyProtection="0"/>
  </cellStyleXfs>
  <cellXfs count="508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Fill="1" applyBorder="1">
      <alignment/>
      <protection/>
    </xf>
    <xf numFmtId="0" fontId="6" fillId="0" borderId="0" xfId="55" applyFont="1" applyBorder="1" applyAlignment="1" applyProtection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6" fillId="0" borderId="0" xfId="55" applyNumberFormat="1" applyFont="1" applyBorder="1" applyAlignment="1" applyProtection="1">
      <alignment horizontal="center"/>
      <protection/>
    </xf>
    <xf numFmtId="0" fontId="8" fillId="0" borderId="0" xfId="55" applyFont="1">
      <alignment/>
      <protection/>
    </xf>
    <xf numFmtId="0" fontId="9" fillId="0" borderId="0" xfId="55" applyFont="1" applyAlignment="1">
      <alignment horizontal="centerContinuous"/>
      <protection/>
    </xf>
    <xf numFmtId="0" fontId="10" fillId="0" borderId="0" xfId="55" applyFont="1" applyAlignment="1">
      <alignment horizontal="centerContinuous"/>
      <protection/>
    </xf>
    <xf numFmtId="0" fontId="8" fillId="0" borderId="0" xfId="55" applyFont="1" applyAlignment="1">
      <alignment horizontal="centerContinuous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6" fillId="0" borderId="0" xfId="55" applyFont="1" applyBorder="1">
      <alignment/>
      <protection/>
    </xf>
    <xf numFmtId="0" fontId="11" fillId="0" borderId="0" xfId="55" applyFont="1">
      <alignment/>
      <protection/>
    </xf>
    <xf numFmtId="0" fontId="11" fillId="0" borderId="0" xfId="55" applyFont="1" applyBorder="1">
      <alignment/>
      <protection/>
    </xf>
    <xf numFmtId="0" fontId="12" fillId="0" borderId="0" xfId="55" applyFont="1" applyFill="1" applyBorder="1" applyAlignment="1" applyProtection="1">
      <alignment horizontal="left"/>
      <protection/>
    </xf>
    <xf numFmtId="0" fontId="8" fillId="0" borderId="0" xfId="55" applyFont="1" applyBorder="1">
      <alignment/>
      <protection/>
    </xf>
    <xf numFmtId="0" fontId="13" fillId="0" borderId="0" xfId="55" applyFont="1">
      <alignment/>
      <protection/>
    </xf>
    <xf numFmtId="0" fontId="14" fillId="0" borderId="0" xfId="55" applyFont="1" applyBorder="1" applyAlignment="1">
      <alignment horizontal="centerContinuous"/>
      <protection/>
    </xf>
    <xf numFmtId="0" fontId="15" fillId="0" borderId="0" xfId="55" applyFont="1" applyAlignment="1">
      <alignment horizontal="centerContinuous"/>
      <protection/>
    </xf>
    <xf numFmtId="0" fontId="13" fillId="0" borderId="0" xfId="55" applyFont="1" applyAlignment="1">
      <alignment horizontal="centerContinuous"/>
      <protection/>
    </xf>
    <xf numFmtId="0" fontId="13" fillId="0" borderId="0" xfId="55" applyFont="1" applyBorder="1" applyAlignment="1">
      <alignment horizontal="centerContinuous"/>
      <protection/>
    </xf>
    <xf numFmtId="0" fontId="13" fillId="0" borderId="0" xfId="55" applyFont="1" applyBorder="1">
      <alignment/>
      <protection/>
    </xf>
    <xf numFmtId="0" fontId="16" fillId="0" borderId="0" xfId="55" applyFont="1">
      <alignment/>
      <protection/>
    </xf>
    <xf numFmtId="0" fontId="17" fillId="0" borderId="0" xfId="55" applyFont="1">
      <alignment/>
      <protection/>
    </xf>
    <xf numFmtId="0" fontId="18" fillId="0" borderId="0" xfId="55" applyFont="1" applyBorder="1">
      <alignment/>
      <protection/>
    </xf>
    <xf numFmtId="0" fontId="17" fillId="0" borderId="0" xfId="55" applyFont="1" applyBorder="1">
      <alignment/>
      <protection/>
    </xf>
    <xf numFmtId="0" fontId="19" fillId="0" borderId="10" xfId="55" applyFont="1" applyBorder="1">
      <alignment/>
      <protection/>
    </xf>
    <xf numFmtId="0" fontId="19" fillId="0" borderId="11" xfId="55" applyFont="1" applyBorder="1">
      <alignment/>
      <protection/>
    </xf>
    <xf numFmtId="0" fontId="17" fillId="0" borderId="11" xfId="55" applyFont="1" applyBorder="1">
      <alignment/>
      <protection/>
    </xf>
    <xf numFmtId="0" fontId="17" fillId="0" borderId="12" xfId="55" applyFont="1" applyBorder="1">
      <alignment/>
      <protection/>
    </xf>
    <xf numFmtId="0" fontId="20" fillId="0" borderId="13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13" fillId="0" borderId="0" xfId="55" applyNumberFormat="1" applyFont="1" applyAlignment="1">
      <alignment horizontal="centerContinuous"/>
      <protection/>
    </xf>
    <xf numFmtId="0" fontId="20" fillId="0" borderId="0" xfId="55" applyFont="1" applyBorder="1" applyAlignment="1">
      <alignment horizontal="centerContinuous"/>
      <protection/>
    </xf>
    <xf numFmtId="0" fontId="13" fillId="0" borderId="14" xfId="55" applyFont="1" applyBorder="1" applyAlignment="1">
      <alignment horizontal="centerContinuous"/>
      <protection/>
    </xf>
    <xf numFmtId="0" fontId="13" fillId="0" borderId="13" xfId="55" applyFont="1" applyBorder="1">
      <alignment/>
      <protection/>
    </xf>
    <xf numFmtId="0" fontId="21" fillId="0" borderId="0" xfId="55" applyNumberFormat="1" applyFont="1" applyBorder="1" applyAlignment="1">
      <alignment horizontal="right"/>
      <protection/>
    </xf>
    <xf numFmtId="0" fontId="20" fillId="0" borderId="0" xfId="55" applyFont="1" applyBorder="1">
      <alignment/>
      <protection/>
    </xf>
    <xf numFmtId="0" fontId="13" fillId="0" borderId="14" xfId="55" applyFont="1" applyBorder="1">
      <alignment/>
      <protection/>
    </xf>
    <xf numFmtId="0" fontId="21" fillId="0" borderId="0" xfId="55" applyNumberFormat="1" applyFont="1" applyBorder="1" applyAlignment="1">
      <alignment horizontal="centerContinuous"/>
      <protection/>
    </xf>
    <xf numFmtId="0" fontId="21" fillId="0" borderId="0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/>
      <protection/>
    </xf>
    <xf numFmtId="7" fontId="21" fillId="0" borderId="0" xfId="55" applyNumberFormat="1" applyFont="1" applyBorder="1" applyAlignment="1">
      <alignment horizontal="right"/>
      <protection/>
    </xf>
    <xf numFmtId="0" fontId="6" fillId="0" borderId="13" xfId="55" applyFont="1" applyBorder="1">
      <alignment/>
      <protection/>
    </xf>
    <xf numFmtId="0" fontId="3" fillId="0" borderId="0" xfId="55" applyNumberFormat="1" applyFont="1" applyBorder="1" applyAlignment="1">
      <alignment horizontal="right"/>
      <protection/>
    </xf>
    <xf numFmtId="0" fontId="3" fillId="0" borderId="0" xfId="55" applyNumberFormat="1" applyFont="1" applyBorder="1" applyAlignment="1">
      <alignment/>
      <protection/>
    </xf>
    <xf numFmtId="0" fontId="22" fillId="0" borderId="0" xfId="55" applyFont="1" applyBorder="1">
      <alignment/>
      <protection/>
    </xf>
    <xf numFmtId="7" fontId="3" fillId="0" borderId="0" xfId="55" applyNumberFormat="1" applyFont="1" applyBorder="1" applyAlignment="1">
      <alignment horizontal="right"/>
      <protection/>
    </xf>
    <xf numFmtId="0" fontId="6" fillId="0" borderId="14" xfId="55" applyFont="1" applyBorder="1">
      <alignment/>
      <protection/>
    </xf>
    <xf numFmtId="0" fontId="6" fillId="0" borderId="0" xfId="55" applyFont="1" applyBorder="1" applyAlignment="1">
      <alignment horizontal="right"/>
      <protection/>
    </xf>
    <xf numFmtId="0" fontId="21" fillId="0" borderId="0" xfId="55" applyFont="1" applyBorder="1">
      <alignment/>
      <protection/>
    </xf>
    <xf numFmtId="0" fontId="13" fillId="0" borderId="0" xfId="55" applyFont="1" applyBorder="1" applyAlignment="1">
      <alignment horizontal="right"/>
      <protection/>
    </xf>
    <xf numFmtId="0" fontId="21" fillId="0" borderId="15" xfId="55" applyFont="1" applyBorder="1" applyAlignment="1">
      <alignment horizontal="center"/>
      <protection/>
    </xf>
    <xf numFmtId="7" fontId="21" fillId="0" borderId="16" xfId="55" applyNumberFormat="1" applyFont="1" applyBorder="1" applyAlignment="1">
      <alignment horizontal="center"/>
      <protection/>
    </xf>
    <xf numFmtId="7" fontId="21" fillId="0" borderId="0" xfId="55" applyNumberFormat="1" applyFont="1" applyBorder="1" applyAlignment="1">
      <alignment horizontal="center"/>
      <protection/>
    </xf>
    <xf numFmtId="0" fontId="17" fillId="0" borderId="17" xfId="55" applyFont="1" applyBorder="1">
      <alignment/>
      <protection/>
    </xf>
    <xf numFmtId="0" fontId="17" fillId="0" borderId="18" xfId="55" applyNumberFormat="1" applyFont="1" applyBorder="1">
      <alignment/>
      <protection/>
    </xf>
    <xf numFmtId="0" fontId="17" fillId="0" borderId="18" xfId="55" applyFont="1" applyBorder="1">
      <alignment/>
      <protection/>
    </xf>
    <xf numFmtId="0" fontId="17" fillId="0" borderId="19" xfId="55" applyFont="1" applyBorder="1">
      <alignment/>
      <protection/>
    </xf>
    <xf numFmtId="0" fontId="17" fillId="0" borderId="0" xfId="55" applyFont="1" applyFill="1" applyBorder="1">
      <alignment/>
      <protection/>
    </xf>
    <xf numFmtId="4" fontId="17" fillId="0" borderId="0" xfId="55" applyNumberFormat="1" applyFont="1" applyFill="1" applyBorder="1">
      <alignment/>
      <protection/>
    </xf>
    <xf numFmtId="7" fontId="17" fillId="0" borderId="0" xfId="55" applyNumberFormat="1" applyFont="1" applyBorder="1">
      <alignment/>
      <protection/>
    </xf>
    <xf numFmtId="172" fontId="17" fillId="0" borderId="0" xfId="55" applyNumberFormat="1" applyFont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4" fontId="6" fillId="0" borderId="0" xfId="55" applyNumberFormat="1" applyFont="1" applyFill="1" applyBorder="1">
      <alignment/>
      <protection/>
    </xf>
    <xf numFmtId="4" fontId="6" fillId="0" borderId="0" xfId="55" applyNumberFormat="1" applyFont="1" applyBorder="1">
      <alignment/>
      <protection/>
    </xf>
    <xf numFmtId="4" fontId="3" fillId="0" borderId="0" xfId="55" applyNumberFormat="1" applyFont="1" applyBorder="1" applyAlignment="1">
      <alignment horizontal="center"/>
      <protection/>
    </xf>
    <xf numFmtId="0" fontId="9" fillId="0" borderId="0" xfId="55" applyFont="1" applyAlignment="1" applyProtection="1">
      <alignment horizontal="centerContinuous"/>
      <protection locked="0"/>
    </xf>
    <xf numFmtId="0" fontId="16" fillId="0" borderId="0" xfId="55" applyFont="1" applyAlignment="1" applyProtection="1">
      <alignment horizontal="centerContinuous"/>
      <protection locked="0"/>
    </xf>
    <xf numFmtId="0" fontId="4" fillId="0" borderId="0" xfId="55" applyFont="1" applyBorder="1" applyAlignment="1" applyProtection="1">
      <alignment horizontal="centerContinuous"/>
      <protection/>
    </xf>
    <xf numFmtId="0" fontId="6" fillId="0" borderId="10" xfId="55" applyFont="1" applyBorder="1">
      <alignment/>
      <protection/>
    </xf>
    <xf numFmtId="0" fontId="6" fillId="0" borderId="11" xfId="55" applyFont="1" applyBorder="1">
      <alignment/>
      <protection/>
    </xf>
    <xf numFmtId="0" fontId="6" fillId="0" borderId="12" xfId="55" applyFont="1" applyBorder="1">
      <alignment/>
      <protection/>
    </xf>
    <xf numFmtId="0" fontId="23" fillId="0" borderId="0" xfId="55" applyFont="1">
      <alignment/>
      <protection/>
    </xf>
    <xf numFmtId="0" fontId="23" fillId="0" borderId="13" xfId="55" applyFont="1" applyBorder="1">
      <alignment/>
      <protection/>
    </xf>
    <xf numFmtId="0" fontId="24" fillId="0" borderId="0" xfId="55" applyFont="1" applyBorder="1">
      <alignment/>
      <protection/>
    </xf>
    <xf numFmtId="0" fontId="23" fillId="0" borderId="0" xfId="55" applyFont="1" applyBorder="1">
      <alignment/>
      <protection/>
    </xf>
    <xf numFmtId="0" fontId="23" fillId="0" borderId="14" xfId="55" applyFont="1" applyBorder="1">
      <alignment/>
      <protection/>
    </xf>
    <xf numFmtId="0" fontId="3" fillId="0" borderId="0" xfId="55" applyFont="1" applyBorder="1">
      <alignment/>
      <protection/>
    </xf>
    <xf numFmtId="0" fontId="20" fillId="0" borderId="0" xfId="55" applyFont="1" applyFill="1" applyBorder="1" applyAlignment="1" applyProtection="1">
      <alignment horizontal="centerContinuous"/>
      <protection locked="0"/>
    </xf>
    <xf numFmtId="0" fontId="20" fillId="0" borderId="0" xfId="55" applyFont="1" applyAlignment="1">
      <alignment horizontal="centerContinuous"/>
      <protection/>
    </xf>
    <xf numFmtId="0" fontId="20" fillId="0" borderId="0" xfId="55" applyFont="1" applyBorder="1" applyAlignment="1" applyProtection="1">
      <alignment horizontal="centerContinuous"/>
      <protection/>
    </xf>
    <xf numFmtId="0" fontId="20" fillId="0" borderId="14" xfId="55" applyFont="1" applyBorder="1" applyAlignment="1">
      <alignment horizontal="centerContinuous"/>
      <protection/>
    </xf>
    <xf numFmtId="0" fontId="16" fillId="0" borderId="0" xfId="55" applyFont="1" applyBorder="1">
      <alignment/>
      <protection/>
    </xf>
    <xf numFmtId="0" fontId="3" fillId="0" borderId="0" xfId="55" applyFont="1" applyBorder="1" applyProtection="1">
      <alignment/>
      <protection/>
    </xf>
    <xf numFmtId="0" fontId="6" fillId="0" borderId="0" xfId="55" applyFont="1" applyBorder="1" applyProtection="1">
      <alignment/>
      <protection/>
    </xf>
    <xf numFmtId="0" fontId="1" fillId="0" borderId="15" xfId="55" applyFont="1" applyBorder="1" applyAlignment="1" applyProtection="1">
      <alignment horizontal="center"/>
      <protection/>
    </xf>
    <xf numFmtId="176" fontId="1" fillId="0" borderId="15" xfId="55" applyNumberFormat="1" applyFont="1" applyBorder="1" applyAlignment="1">
      <alignment horizontal="centerContinuous"/>
      <protection/>
    </xf>
    <xf numFmtId="0" fontId="3" fillId="0" borderId="16" xfId="55" applyFont="1" applyBorder="1" applyAlignment="1" applyProtection="1">
      <alignment horizontal="centerContinuous"/>
      <protection/>
    </xf>
    <xf numFmtId="171" fontId="6" fillId="0" borderId="16" xfId="55" applyNumberFormat="1" applyFont="1" applyBorder="1" applyAlignment="1">
      <alignment horizontal="centerContinuous"/>
      <protection/>
    </xf>
    <xf numFmtId="0" fontId="1" fillId="0" borderId="0" xfId="55" applyFont="1" applyAlignment="1">
      <alignment horizontal="right"/>
      <protection/>
    </xf>
    <xf numFmtId="0" fontId="1" fillId="0" borderId="0" xfId="55" applyFont="1" applyBorder="1" applyAlignment="1">
      <alignment horizontal="right"/>
      <protection/>
    </xf>
    <xf numFmtId="0" fontId="1" fillId="0" borderId="0" xfId="55" applyFont="1" applyBorder="1" applyAlignment="1" applyProtection="1">
      <alignment horizontal="left"/>
      <protection locked="0"/>
    </xf>
    <xf numFmtId="0" fontId="1" fillId="0" borderId="0" xfId="55" applyFont="1" applyAlignment="1" applyProtection="1">
      <alignment/>
      <protection/>
    </xf>
    <xf numFmtId="0" fontId="6" fillId="0" borderId="0" xfId="55" applyFont="1" applyBorder="1" applyAlignment="1">
      <alignment horizontal="left"/>
      <protection/>
    </xf>
    <xf numFmtId="0" fontId="6" fillId="0" borderId="0" xfId="55" applyFont="1" applyAlignment="1">
      <alignment horizontal="center" vertical="center"/>
      <protection/>
    </xf>
    <xf numFmtId="0" fontId="6" fillId="0" borderId="13" xfId="55" applyFont="1" applyBorder="1" applyAlignment="1">
      <alignment horizontal="center" vertical="center"/>
      <protection/>
    </xf>
    <xf numFmtId="0" fontId="25" fillId="0" borderId="20" xfId="55" applyFont="1" applyBorder="1" applyAlignment="1" applyProtection="1">
      <alignment horizontal="center" vertical="center"/>
      <protection/>
    </xf>
    <xf numFmtId="0" fontId="25" fillId="0" borderId="20" xfId="55" applyFont="1" applyBorder="1" applyAlignment="1" applyProtection="1">
      <alignment horizontal="center" vertical="center" wrapText="1"/>
      <protection/>
    </xf>
    <xf numFmtId="0" fontId="26" fillId="33" borderId="20" xfId="55" applyFont="1" applyFill="1" applyBorder="1" applyAlignment="1" applyProtection="1">
      <alignment horizontal="center" vertical="center"/>
      <protection/>
    </xf>
    <xf numFmtId="0" fontId="28" fillId="34" borderId="20" xfId="55" applyFont="1" applyFill="1" applyBorder="1" applyAlignment="1">
      <alignment horizontal="center" vertical="center" wrapText="1"/>
      <protection/>
    </xf>
    <xf numFmtId="0" fontId="29" fillId="35" borderId="20" xfId="55" applyFont="1" applyFill="1" applyBorder="1" applyAlignment="1">
      <alignment horizontal="center" vertical="center" wrapText="1"/>
      <protection/>
    </xf>
    <xf numFmtId="0" fontId="30" fillId="33" borderId="15" xfId="55" applyFont="1" applyFill="1" applyBorder="1" applyAlignment="1" applyProtection="1">
      <alignment horizontal="centerContinuous" vertical="center" wrapText="1"/>
      <protection/>
    </xf>
    <xf numFmtId="0" fontId="7" fillId="33" borderId="21" xfId="55" applyFont="1" applyFill="1" applyBorder="1" applyAlignment="1">
      <alignment horizontal="centerContinuous"/>
      <protection/>
    </xf>
    <xf numFmtId="0" fontId="30" fillId="33" borderId="16" xfId="55" applyFont="1" applyFill="1" applyBorder="1" applyAlignment="1">
      <alignment horizontal="centerContinuous" vertical="center"/>
      <protection/>
    </xf>
    <xf numFmtId="0" fontId="28" fillId="36" borderId="15" xfId="55" applyFont="1" applyFill="1" applyBorder="1" applyAlignment="1" applyProtection="1">
      <alignment horizontal="centerContinuous" vertical="center" wrapText="1"/>
      <protection/>
    </xf>
    <xf numFmtId="0" fontId="28" fillId="36" borderId="21" xfId="55" applyFont="1" applyFill="1" applyBorder="1" applyAlignment="1">
      <alignment horizontal="centerContinuous" vertical="center"/>
      <protection/>
    </xf>
    <xf numFmtId="0" fontId="28" fillId="36" borderId="16" xfId="55" applyFont="1" applyFill="1" applyBorder="1" applyAlignment="1">
      <alignment horizontal="centerContinuous" vertical="center"/>
      <protection/>
    </xf>
    <xf numFmtId="0" fontId="31" fillId="37" borderId="20" xfId="55" applyFont="1" applyFill="1" applyBorder="1" applyAlignment="1">
      <alignment horizontal="center" vertical="center" wrapText="1"/>
      <protection/>
    </xf>
    <xf numFmtId="0" fontId="32" fillId="38" borderId="20" xfId="55" applyFont="1" applyFill="1" applyBorder="1" applyAlignment="1">
      <alignment horizontal="center" vertical="center" wrapText="1"/>
      <protection/>
    </xf>
    <xf numFmtId="0" fontId="25" fillId="0" borderId="20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22" xfId="55" applyFont="1" applyBorder="1" applyProtection="1">
      <alignment/>
      <protection locked="0"/>
    </xf>
    <xf numFmtId="0" fontId="6" fillId="0" borderId="22" xfId="55" applyFont="1" applyBorder="1" applyAlignment="1" applyProtection="1">
      <alignment horizontal="center"/>
      <protection locked="0"/>
    </xf>
    <xf numFmtId="0" fontId="33" fillId="33" borderId="22" xfId="55" applyFont="1" applyFill="1" applyBorder="1" applyProtection="1">
      <alignment/>
      <protection locked="0"/>
    </xf>
    <xf numFmtId="0" fontId="6" fillId="0" borderId="22" xfId="55" applyFont="1" applyBorder="1" applyAlignment="1">
      <alignment horizontal="center"/>
      <protection/>
    </xf>
    <xf numFmtId="0" fontId="34" fillId="34" borderId="22" xfId="55" applyFont="1" applyFill="1" applyBorder="1" applyProtection="1">
      <alignment/>
      <protection locked="0"/>
    </xf>
    <xf numFmtId="0" fontId="35" fillId="35" borderId="22" xfId="55" applyFont="1" applyFill="1" applyBorder="1" applyProtection="1">
      <alignment/>
      <protection locked="0"/>
    </xf>
    <xf numFmtId="0" fontId="36" fillId="33" borderId="22" xfId="55" applyFont="1" applyFill="1" applyBorder="1" applyAlignment="1" applyProtection="1">
      <alignment horizontal="center"/>
      <protection locked="0"/>
    </xf>
    <xf numFmtId="0" fontId="36" fillId="33" borderId="22" xfId="55" applyFont="1" applyFill="1" applyBorder="1" applyProtection="1">
      <alignment/>
      <protection locked="0"/>
    </xf>
    <xf numFmtId="0" fontId="34" fillId="36" borderId="22" xfId="55" applyFont="1" applyFill="1" applyBorder="1" applyProtection="1">
      <alignment/>
      <protection locked="0"/>
    </xf>
    <xf numFmtId="0" fontId="37" fillId="37" borderId="22" xfId="55" applyFont="1" applyFill="1" applyBorder="1" applyProtection="1">
      <alignment/>
      <protection locked="0"/>
    </xf>
    <xf numFmtId="0" fontId="38" fillId="38" borderId="22" xfId="55" applyFont="1" applyFill="1" applyBorder="1" applyProtection="1">
      <alignment/>
      <protection locked="0"/>
    </xf>
    <xf numFmtId="0" fontId="39" fillId="0" borderId="22" xfId="55" applyFont="1" applyBorder="1" applyAlignment="1">
      <alignment horizontal="center"/>
      <protection/>
    </xf>
    <xf numFmtId="0" fontId="6" fillId="0" borderId="23" xfId="55" applyFont="1" applyBorder="1" applyProtection="1">
      <alignment/>
      <protection locked="0"/>
    </xf>
    <xf numFmtId="0" fontId="6" fillId="0" borderId="24" xfId="55" applyFont="1" applyBorder="1" applyAlignment="1" applyProtection="1">
      <alignment horizontal="center"/>
      <protection locked="0"/>
    </xf>
    <xf numFmtId="0" fontId="33" fillId="33" borderId="23" xfId="55" applyFont="1" applyFill="1" applyBorder="1" applyProtection="1">
      <alignment/>
      <protection locked="0"/>
    </xf>
    <xf numFmtId="0" fontId="6" fillId="0" borderId="23" xfId="55" applyFont="1" applyBorder="1" applyAlignment="1" applyProtection="1">
      <alignment horizontal="center"/>
      <protection locked="0"/>
    </xf>
    <xf numFmtId="0" fontId="6" fillId="0" borderId="23" xfId="55" applyFont="1" applyBorder="1" applyAlignment="1">
      <alignment horizontal="center"/>
      <protection/>
    </xf>
    <xf numFmtId="0" fontId="34" fillId="34" borderId="23" xfId="55" applyFont="1" applyFill="1" applyBorder="1" applyProtection="1">
      <alignment/>
      <protection locked="0"/>
    </xf>
    <xf numFmtId="0" fontId="35" fillId="35" borderId="23" xfId="55" applyFont="1" applyFill="1" applyBorder="1" applyProtection="1">
      <alignment/>
      <protection locked="0"/>
    </xf>
    <xf numFmtId="0" fontId="36" fillId="33" borderId="23" xfId="55" applyFont="1" applyFill="1" applyBorder="1" applyAlignment="1" applyProtection="1">
      <alignment horizontal="center"/>
      <protection locked="0"/>
    </xf>
    <xf numFmtId="0" fontId="36" fillId="33" borderId="23" xfId="55" applyFont="1" applyFill="1" applyBorder="1" applyProtection="1">
      <alignment/>
      <protection locked="0"/>
    </xf>
    <xf numFmtId="0" fontId="34" fillId="36" borderId="23" xfId="55" applyFont="1" applyFill="1" applyBorder="1" applyProtection="1">
      <alignment/>
      <protection locked="0"/>
    </xf>
    <xf numFmtId="0" fontId="37" fillId="37" borderId="23" xfId="55" applyFont="1" applyFill="1" applyBorder="1" applyProtection="1">
      <alignment/>
      <protection locked="0"/>
    </xf>
    <xf numFmtId="0" fontId="38" fillId="38" borderId="23" xfId="55" applyFont="1" applyFill="1" applyBorder="1" applyProtection="1">
      <alignment/>
      <protection locked="0"/>
    </xf>
    <xf numFmtId="0" fontId="39" fillId="0" borderId="23" xfId="55" applyFont="1" applyBorder="1" applyAlignment="1">
      <alignment horizontal="center"/>
      <protection/>
    </xf>
    <xf numFmtId="2" fontId="6" fillId="0" borderId="24" xfId="55" applyNumberFormat="1" applyFont="1" applyBorder="1" applyAlignment="1" applyProtection="1">
      <alignment horizontal="center"/>
      <protection locked="0"/>
    </xf>
    <xf numFmtId="172" fontId="33" fillId="33" borderId="23" xfId="55" applyNumberFormat="1" applyFont="1" applyFill="1" applyBorder="1" applyAlignment="1" applyProtection="1">
      <alignment horizontal="center"/>
      <protection locked="0"/>
    </xf>
    <xf numFmtId="22" fontId="6" fillId="0" borderId="23" xfId="55" applyNumberFormat="1" applyFont="1" applyBorder="1" applyAlignment="1" applyProtection="1">
      <alignment horizontal="center"/>
      <protection locked="0"/>
    </xf>
    <xf numFmtId="2" fontId="6" fillId="0" borderId="23" xfId="55" applyNumberFormat="1" applyFont="1" applyBorder="1" applyAlignment="1" applyProtection="1">
      <alignment horizontal="center"/>
      <protection/>
    </xf>
    <xf numFmtId="1" fontId="6" fillId="0" borderId="23" xfId="55" applyNumberFormat="1" applyFont="1" applyBorder="1" applyAlignment="1" applyProtection="1">
      <alignment horizontal="center"/>
      <protection/>
    </xf>
    <xf numFmtId="172" fontId="6" fillId="0" borderId="23" xfId="55" applyNumberFormat="1" applyFont="1" applyBorder="1" applyAlignment="1" applyProtection="1">
      <alignment horizontal="center"/>
      <protection locked="0"/>
    </xf>
    <xf numFmtId="172" fontId="6" fillId="0" borderId="23" xfId="55" applyNumberFormat="1" applyFont="1" applyBorder="1" applyAlignment="1" applyProtection="1" quotePrefix="1">
      <alignment horizontal="center"/>
      <protection locked="0"/>
    </xf>
    <xf numFmtId="2" fontId="34" fillId="34" borderId="23" xfId="55" applyNumberFormat="1" applyFont="1" applyFill="1" applyBorder="1" applyAlignment="1" applyProtection="1">
      <alignment horizontal="center"/>
      <protection locked="0"/>
    </xf>
    <xf numFmtId="2" fontId="35" fillId="35" borderId="23" xfId="55" applyNumberFormat="1" applyFont="1" applyFill="1" applyBorder="1" applyAlignment="1" applyProtection="1">
      <alignment horizontal="center"/>
      <protection locked="0"/>
    </xf>
    <xf numFmtId="172" fontId="36" fillId="33" borderId="23" xfId="55" applyNumberFormat="1" applyFont="1" applyFill="1" applyBorder="1" applyAlignment="1" applyProtection="1" quotePrefix="1">
      <alignment horizontal="center"/>
      <protection locked="0"/>
    </xf>
    <xf numFmtId="4" fontId="36" fillId="33" borderId="23" xfId="55" applyNumberFormat="1" applyFont="1" applyFill="1" applyBorder="1" applyAlignment="1" applyProtection="1">
      <alignment horizontal="center"/>
      <protection locked="0"/>
    </xf>
    <xf numFmtId="172" fontId="34" fillId="36" borderId="23" xfId="55" applyNumberFormat="1" applyFont="1" applyFill="1" applyBorder="1" applyAlignment="1" applyProtection="1" quotePrefix="1">
      <alignment horizontal="center"/>
      <protection locked="0"/>
    </xf>
    <xf numFmtId="4" fontId="34" fillId="36" borderId="23" xfId="55" applyNumberFormat="1" applyFont="1" applyFill="1" applyBorder="1" applyAlignment="1" applyProtection="1">
      <alignment horizontal="center"/>
      <protection locked="0"/>
    </xf>
    <xf numFmtId="4" fontId="37" fillId="37" borderId="23" xfId="55" applyNumberFormat="1" applyFont="1" applyFill="1" applyBorder="1" applyAlignment="1" applyProtection="1">
      <alignment horizontal="center"/>
      <protection locked="0"/>
    </xf>
    <xf numFmtId="4" fontId="38" fillId="38" borderId="23" xfId="55" applyNumberFormat="1" applyFont="1" applyFill="1" applyBorder="1" applyAlignment="1" applyProtection="1">
      <alignment horizontal="center"/>
      <protection locked="0"/>
    </xf>
    <xf numFmtId="4" fontId="6" fillId="0" borderId="23" xfId="55" applyNumberFormat="1" applyFont="1" applyBorder="1" applyAlignment="1" applyProtection="1">
      <alignment horizontal="center"/>
      <protection locked="0"/>
    </xf>
    <xf numFmtId="4" fontId="39" fillId="0" borderId="23" xfId="55" applyNumberFormat="1" applyFont="1" applyBorder="1" applyAlignment="1">
      <alignment horizontal="right"/>
      <protection/>
    </xf>
    <xf numFmtId="2" fontId="6" fillId="0" borderId="14" xfId="55" applyNumberFormat="1" applyFont="1" applyBorder="1">
      <alignment/>
      <protection/>
    </xf>
    <xf numFmtId="0" fontId="6" fillId="0" borderId="13" xfId="55" applyFont="1" applyBorder="1" applyAlignment="1">
      <alignment horizontal="center"/>
      <protection/>
    </xf>
    <xf numFmtId="0" fontId="6" fillId="0" borderId="25" xfId="55" applyFont="1" applyBorder="1" applyAlignment="1" applyProtection="1">
      <alignment horizontal="center"/>
      <protection locked="0"/>
    </xf>
    <xf numFmtId="0" fontId="6" fillId="0" borderId="26" xfId="55" applyFont="1" applyBorder="1" applyAlignment="1" applyProtection="1">
      <alignment horizontal="center"/>
      <protection/>
    </xf>
    <xf numFmtId="2" fontId="6" fillId="0" borderId="26" xfId="55" applyNumberFormat="1" applyFont="1" applyBorder="1" applyAlignment="1" applyProtection="1">
      <alignment horizontal="center"/>
      <protection/>
    </xf>
    <xf numFmtId="172" fontId="6" fillId="0" borderId="25" xfId="55" applyNumberFormat="1" applyFont="1" applyBorder="1" applyAlignment="1" applyProtection="1">
      <alignment horizontal="center"/>
      <protection/>
    </xf>
    <xf numFmtId="172" fontId="33" fillId="33" borderId="25" xfId="55" applyNumberFormat="1" applyFont="1" applyFill="1" applyBorder="1" applyAlignment="1" applyProtection="1">
      <alignment horizontal="center"/>
      <protection/>
    </xf>
    <xf numFmtId="22" fontId="6" fillId="0" borderId="25" xfId="55" applyNumberFormat="1" applyFont="1" applyBorder="1" applyAlignment="1">
      <alignment horizontal="center"/>
      <protection/>
    </xf>
    <xf numFmtId="172" fontId="34" fillId="34" borderId="25" xfId="55" applyNumberFormat="1" applyFont="1" applyFill="1" applyBorder="1" applyAlignment="1" applyProtection="1" quotePrefix="1">
      <alignment horizontal="center"/>
      <protection/>
    </xf>
    <xf numFmtId="172" fontId="35" fillId="35" borderId="25" xfId="55" applyNumberFormat="1" applyFont="1" applyFill="1" applyBorder="1" applyAlignment="1" applyProtection="1" quotePrefix="1">
      <alignment horizontal="center"/>
      <protection/>
    </xf>
    <xf numFmtId="172" fontId="36" fillId="33" borderId="25" xfId="55" applyNumberFormat="1" applyFont="1" applyFill="1" applyBorder="1" applyAlignment="1" applyProtection="1" quotePrefix="1">
      <alignment horizontal="center"/>
      <protection/>
    </xf>
    <xf numFmtId="4" fontId="36" fillId="33" borderId="25" xfId="55" applyNumberFormat="1" applyFont="1" applyFill="1" applyBorder="1" applyAlignment="1">
      <alignment horizontal="center"/>
      <protection/>
    </xf>
    <xf numFmtId="4" fontId="34" fillId="36" borderId="25" xfId="55" applyNumberFormat="1" applyFont="1" applyFill="1" applyBorder="1" applyAlignment="1">
      <alignment horizontal="center"/>
      <protection/>
    </xf>
    <xf numFmtId="4" fontId="37" fillId="37" borderId="25" xfId="55" applyNumberFormat="1" applyFont="1" applyFill="1" applyBorder="1" applyAlignment="1">
      <alignment horizontal="center"/>
      <protection/>
    </xf>
    <xf numFmtId="4" fontId="38" fillId="38" borderId="25" xfId="55" applyNumberFormat="1" applyFont="1" applyFill="1" applyBorder="1" applyAlignment="1">
      <alignment horizontal="center"/>
      <protection/>
    </xf>
    <xf numFmtId="4" fontId="6" fillId="0" borderId="25" xfId="55" applyNumberFormat="1" applyFont="1" applyBorder="1" applyAlignment="1">
      <alignment horizontal="center"/>
      <protection/>
    </xf>
    <xf numFmtId="7" fontId="39" fillId="0" borderId="27" xfId="55" applyNumberFormat="1" applyFont="1" applyBorder="1" applyAlignment="1">
      <alignment horizontal="center"/>
      <protection/>
    </xf>
    <xf numFmtId="0" fontId="41" fillId="0" borderId="28" xfId="55" applyFont="1" applyBorder="1" applyAlignment="1">
      <alignment horizontal="center"/>
      <protection/>
    </xf>
    <xf numFmtId="0" fontId="42" fillId="0" borderId="0" xfId="55" applyFont="1" applyBorder="1" applyAlignment="1" applyProtection="1">
      <alignment horizontal="left"/>
      <protection/>
    </xf>
    <xf numFmtId="172" fontId="6" fillId="0" borderId="0" xfId="55" applyNumberFormat="1" applyFont="1" applyBorder="1" applyAlignment="1" applyProtection="1">
      <alignment horizontal="center"/>
      <protection/>
    </xf>
    <xf numFmtId="172" fontId="6" fillId="0" borderId="0" xfId="55" applyNumberFormat="1" applyFont="1" applyBorder="1" applyAlignment="1" applyProtection="1" quotePrefix="1">
      <alignment horizontal="center"/>
      <protection/>
    </xf>
    <xf numFmtId="2" fontId="34" fillId="34" borderId="20" xfId="55" applyNumberFormat="1" applyFont="1" applyFill="1" applyBorder="1" applyAlignment="1">
      <alignment horizontal="center"/>
      <protection/>
    </xf>
    <xf numFmtId="2" fontId="35" fillId="35" borderId="20" xfId="55" applyNumberFormat="1" applyFont="1" applyFill="1" applyBorder="1" applyAlignment="1">
      <alignment horizontal="center"/>
      <protection/>
    </xf>
    <xf numFmtId="172" fontId="36" fillId="33" borderId="20" xfId="55" applyNumberFormat="1" applyFont="1" applyFill="1" applyBorder="1" applyAlignment="1" applyProtection="1" quotePrefix="1">
      <alignment horizontal="center"/>
      <protection/>
    </xf>
    <xf numFmtId="172" fontId="34" fillId="36" borderId="20" xfId="55" applyNumberFormat="1" applyFont="1" applyFill="1" applyBorder="1" applyAlignment="1" applyProtection="1" quotePrefix="1">
      <alignment horizontal="center"/>
      <protection/>
    </xf>
    <xf numFmtId="172" fontId="37" fillId="37" borderId="20" xfId="55" applyNumberFormat="1" applyFont="1" applyFill="1" applyBorder="1" applyAlignment="1" applyProtection="1" quotePrefix="1">
      <alignment horizontal="center"/>
      <protection/>
    </xf>
    <xf numFmtId="172" fontId="38" fillId="38" borderId="20" xfId="55" applyNumberFormat="1" applyFont="1" applyFill="1" applyBorder="1" applyAlignment="1" applyProtection="1" quotePrefix="1">
      <alignment horizontal="center"/>
      <protection/>
    </xf>
    <xf numFmtId="4" fontId="5" fillId="0" borderId="0" xfId="55" applyNumberFormat="1" applyFont="1" applyBorder="1" applyAlignment="1">
      <alignment horizontal="center"/>
      <protection/>
    </xf>
    <xf numFmtId="8" fontId="2" fillId="0" borderId="20" xfId="55" applyNumberFormat="1" applyFont="1" applyBorder="1" applyAlignment="1" applyProtection="1">
      <alignment horizontal="right"/>
      <protection locked="0"/>
    </xf>
    <xf numFmtId="2" fontId="6" fillId="0" borderId="14" xfId="55" applyNumberFormat="1" applyFont="1" applyBorder="1" applyAlignment="1">
      <alignment horizontal="center"/>
      <protection/>
    </xf>
    <xf numFmtId="0" fontId="41" fillId="0" borderId="0" xfId="55" applyFont="1">
      <alignment/>
      <protection/>
    </xf>
    <xf numFmtId="0" fontId="41" fillId="0" borderId="13" xfId="55" applyFont="1" applyBorder="1">
      <alignment/>
      <protection/>
    </xf>
    <xf numFmtId="0" fontId="41" fillId="0" borderId="0" xfId="55" applyFont="1" applyBorder="1" applyAlignment="1">
      <alignment horizontal="center"/>
      <protection/>
    </xf>
    <xf numFmtId="0" fontId="42" fillId="0" borderId="0" xfId="55" applyFont="1" applyBorder="1" applyAlignment="1" applyProtection="1">
      <alignment horizontal="left" vertical="top"/>
      <protection/>
    </xf>
    <xf numFmtId="0" fontId="41" fillId="0" borderId="0" xfId="55" applyFont="1" applyBorder="1" applyAlignment="1" applyProtection="1">
      <alignment horizontal="center"/>
      <protection/>
    </xf>
    <xf numFmtId="2" fontId="41" fillId="0" borderId="0" xfId="55" applyNumberFormat="1" applyFont="1" applyBorder="1" applyAlignment="1" applyProtection="1">
      <alignment horizontal="center"/>
      <protection/>
    </xf>
    <xf numFmtId="172" fontId="41" fillId="0" borderId="0" xfId="55" applyNumberFormat="1" applyFont="1" applyBorder="1" applyAlignment="1" applyProtection="1">
      <alignment horizontal="center"/>
      <protection/>
    </xf>
    <xf numFmtId="172" fontId="41" fillId="0" borderId="0" xfId="55" applyNumberFormat="1" applyFont="1" applyBorder="1" applyAlignment="1" applyProtection="1" quotePrefix="1">
      <alignment horizontal="center"/>
      <protection/>
    </xf>
    <xf numFmtId="2" fontId="43" fillId="0" borderId="0" xfId="55" applyNumberFormat="1" applyFont="1" applyBorder="1" applyAlignment="1">
      <alignment horizontal="center"/>
      <protection/>
    </xf>
    <xf numFmtId="172" fontId="44" fillId="0" borderId="0" xfId="55" applyNumberFormat="1" applyFont="1" applyBorder="1" applyAlignment="1" applyProtection="1" quotePrefix="1">
      <alignment horizontal="center"/>
      <protection/>
    </xf>
    <xf numFmtId="4" fontId="44" fillId="0" borderId="0" xfId="55" applyNumberFormat="1" applyFont="1" applyBorder="1" applyAlignment="1">
      <alignment horizontal="center"/>
      <protection/>
    </xf>
    <xf numFmtId="8" fontId="45" fillId="0" borderId="0" xfId="55" applyNumberFormat="1" applyFont="1" applyBorder="1" applyAlignment="1" applyProtection="1">
      <alignment horizontal="right"/>
      <protection locked="0"/>
    </xf>
    <xf numFmtId="2" fontId="41" fillId="0" borderId="14" xfId="55" applyNumberFormat="1" applyFont="1" applyBorder="1" applyAlignment="1">
      <alignment horizontal="center"/>
      <protection/>
    </xf>
    <xf numFmtId="0" fontId="6" fillId="0" borderId="17" xfId="55" applyFont="1" applyBorder="1">
      <alignment/>
      <protection/>
    </xf>
    <xf numFmtId="0" fontId="6" fillId="0" borderId="18" xfId="55" applyFont="1" applyBorder="1">
      <alignment/>
      <protection/>
    </xf>
    <xf numFmtId="0" fontId="6" fillId="0" borderId="19" xfId="55" applyFont="1" applyBorder="1">
      <alignment/>
      <protection/>
    </xf>
    <xf numFmtId="0" fontId="1" fillId="0" borderId="0" xfId="55" applyBorder="1">
      <alignment/>
      <protection/>
    </xf>
    <xf numFmtId="0" fontId="8" fillId="0" borderId="0" xfId="55" applyFont="1" applyFill="1">
      <alignment/>
      <protection/>
    </xf>
    <xf numFmtId="0" fontId="8" fillId="0" borderId="0" xfId="55" applyFont="1" applyFill="1" applyAlignment="1">
      <alignment horizontal="centerContinuous"/>
      <protection/>
    </xf>
    <xf numFmtId="0" fontId="6" fillId="0" borderId="0" xfId="55" applyFont="1" applyFill="1" applyAlignment="1">
      <alignment horizontal="centerContinuous"/>
      <protection/>
    </xf>
    <xf numFmtId="0" fontId="4" fillId="0" borderId="0" xfId="55" applyFont="1" applyFill="1" applyBorder="1" applyAlignment="1" applyProtection="1">
      <alignment horizontal="centerContinuous"/>
      <protection/>
    </xf>
    <xf numFmtId="0" fontId="11" fillId="0" borderId="0" xfId="55" applyFont="1" applyFill="1" applyAlignment="1">
      <alignment horizontal="centerContinuous"/>
      <protection/>
    </xf>
    <xf numFmtId="0" fontId="11" fillId="0" borderId="0" xfId="55" applyFont="1" applyFill="1">
      <alignment/>
      <protection/>
    </xf>
    <xf numFmtId="0" fontId="6" fillId="0" borderId="0" xfId="55" applyFont="1" applyFill="1">
      <alignment/>
      <protection/>
    </xf>
    <xf numFmtId="0" fontId="6" fillId="0" borderId="10" xfId="55" applyFont="1" applyFill="1" applyBorder="1">
      <alignment/>
      <protection/>
    </xf>
    <xf numFmtId="0" fontId="6" fillId="0" borderId="11" xfId="55" applyFont="1" applyFill="1" applyBorder="1">
      <alignment/>
      <protection/>
    </xf>
    <xf numFmtId="0" fontId="6" fillId="0" borderId="12" xfId="55" applyFont="1" applyFill="1" applyBorder="1">
      <alignment/>
      <protection/>
    </xf>
    <xf numFmtId="0" fontId="23" fillId="0" borderId="13" xfId="55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4" fillId="0" borderId="0" xfId="55" applyFont="1" applyFill="1" applyBorder="1">
      <alignment/>
      <protection/>
    </xf>
    <xf numFmtId="0" fontId="23" fillId="0" borderId="0" xfId="55" applyFont="1" applyFill="1">
      <alignment/>
      <protection/>
    </xf>
    <xf numFmtId="0" fontId="23" fillId="0" borderId="14" xfId="55" applyFont="1" applyFill="1" applyBorder="1">
      <alignment/>
      <protection/>
    </xf>
    <xf numFmtId="0" fontId="6" fillId="0" borderId="13" xfId="55" applyFont="1" applyFill="1" applyBorder="1">
      <alignment/>
      <protection/>
    </xf>
    <xf numFmtId="0" fontId="6" fillId="0" borderId="14" xfId="55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24" fillId="0" borderId="0" xfId="55" applyFont="1" applyFill="1">
      <alignment/>
      <protection/>
    </xf>
    <xf numFmtId="0" fontId="23" fillId="0" borderId="0" xfId="55" applyFont="1" applyFill="1" applyBorder="1" applyProtection="1">
      <alignment/>
      <protection/>
    </xf>
    <xf numFmtId="0" fontId="6" fillId="0" borderId="0" xfId="55" applyFont="1" applyFill="1" applyBorder="1" applyAlignment="1" applyProtection="1">
      <alignment horizontal="left"/>
      <protection/>
    </xf>
    <xf numFmtId="168" fontId="6" fillId="0" borderId="0" xfId="55" applyNumberFormat="1" applyFont="1" applyFill="1" applyBorder="1" applyProtection="1">
      <alignment/>
      <protection/>
    </xf>
    <xf numFmtId="0" fontId="6" fillId="0" borderId="0" xfId="55" applyFont="1" applyFill="1" applyBorder="1" applyProtection="1">
      <alignment/>
      <protection/>
    </xf>
    <xf numFmtId="0" fontId="20" fillId="0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20" fillId="0" borderId="14" xfId="55" applyFont="1" applyFill="1" applyBorder="1" applyAlignment="1">
      <alignment horizontal="centerContinuous"/>
      <protection/>
    </xf>
    <xf numFmtId="0" fontId="6" fillId="0" borderId="0" xfId="55" applyFont="1" applyFill="1" applyBorder="1" applyAlignment="1">
      <alignment horizontal="center"/>
      <protection/>
    </xf>
    <xf numFmtId="0" fontId="22" fillId="0" borderId="0" xfId="55" applyFont="1" applyFill="1" applyBorder="1" applyAlignment="1">
      <alignment horizontal="left"/>
      <protection/>
    </xf>
    <xf numFmtId="0" fontId="1" fillId="0" borderId="15" xfId="55" applyFont="1" applyFill="1" applyBorder="1" applyAlignment="1" applyProtection="1">
      <alignment horizontal="left"/>
      <protection/>
    </xf>
    <xf numFmtId="0" fontId="1" fillId="0" borderId="28" xfId="55" applyFont="1" applyFill="1" applyBorder="1" applyAlignment="1" applyProtection="1">
      <alignment horizontal="center"/>
      <protection/>
    </xf>
    <xf numFmtId="0" fontId="1" fillId="0" borderId="28" xfId="55" applyFont="1" applyFill="1" applyBorder="1">
      <alignment/>
      <protection/>
    </xf>
    <xf numFmtId="0" fontId="1" fillId="0" borderId="20" xfId="55" applyFont="1" applyFill="1" applyBorder="1" applyAlignment="1">
      <alignment horizontal="center"/>
      <protection/>
    </xf>
    <xf numFmtId="0" fontId="1" fillId="0" borderId="15" xfId="55" applyFont="1" applyFill="1" applyBorder="1" applyAlignment="1" applyProtection="1" quotePrefix="1">
      <alignment horizontal="left"/>
      <protection/>
    </xf>
    <xf numFmtId="0" fontId="1" fillId="0" borderId="21" xfId="55" applyFont="1" applyFill="1" applyBorder="1" applyAlignment="1" applyProtection="1">
      <alignment horizontal="center"/>
      <protection/>
    </xf>
    <xf numFmtId="168" fontId="1" fillId="0" borderId="20" xfId="55" applyNumberFormat="1" applyFont="1" applyFill="1" applyBorder="1" applyAlignment="1" applyProtection="1">
      <alignment horizontal="center"/>
      <protection/>
    </xf>
    <xf numFmtId="0" fontId="6" fillId="0" borderId="0" xfId="55" applyFont="1" applyAlignment="1" applyProtection="1">
      <alignment/>
      <protection/>
    </xf>
    <xf numFmtId="22" fontId="6" fillId="0" borderId="0" xfId="55" applyNumberFormat="1" applyFont="1" applyFill="1" applyBorder="1">
      <alignment/>
      <protection/>
    </xf>
    <xf numFmtId="0" fontId="6" fillId="0" borderId="0" xfId="55" applyFont="1" applyAlignment="1">
      <alignment vertical="center"/>
      <protection/>
    </xf>
    <xf numFmtId="0" fontId="6" fillId="0" borderId="13" xfId="55" applyFont="1" applyFill="1" applyBorder="1" applyAlignment="1">
      <alignment vertical="center"/>
      <protection/>
    </xf>
    <xf numFmtId="0" fontId="25" fillId="0" borderId="20" xfId="55" applyFont="1" applyFill="1" applyBorder="1" applyAlignment="1" applyProtection="1">
      <alignment horizontal="center" vertical="center" wrapText="1"/>
      <protection/>
    </xf>
    <xf numFmtId="0" fontId="25" fillId="0" borderId="20" xfId="55" applyFont="1" applyFill="1" applyBorder="1" applyAlignment="1" applyProtection="1">
      <alignment horizontal="center" vertical="center"/>
      <protection/>
    </xf>
    <xf numFmtId="0" fontId="25" fillId="0" borderId="20" xfId="55" applyFont="1" applyFill="1" applyBorder="1" applyAlignment="1" applyProtection="1" quotePrefix="1">
      <alignment horizontal="center" vertical="center" wrapText="1"/>
      <protection/>
    </xf>
    <xf numFmtId="0" fontId="25" fillId="0" borderId="20" xfId="55" applyFont="1" applyFill="1" applyBorder="1" applyAlignment="1">
      <alignment horizontal="center" vertical="center" wrapText="1"/>
      <protection/>
    </xf>
    <xf numFmtId="0" fontId="26" fillId="33" borderId="20" xfId="55" applyFont="1" applyFill="1" applyBorder="1" applyAlignment="1" applyProtection="1">
      <alignment horizontal="center" vertical="center"/>
      <protection/>
    </xf>
    <xf numFmtId="0" fontId="32" fillId="38" borderId="20" xfId="55" applyFont="1" applyFill="1" applyBorder="1" applyAlignment="1" applyProtection="1">
      <alignment horizontal="center" vertical="center"/>
      <protection/>
    </xf>
    <xf numFmtId="0" fontId="28" fillId="36" borderId="20" xfId="55" applyFont="1" applyFill="1" applyBorder="1" applyAlignment="1">
      <alignment horizontal="center" vertical="center" wrapText="1"/>
      <protection/>
    </xf>
    <xf numFmtId="0" fontId="46" fillId="39" borderId="20" xfId="55" applyFont="1" applyFill="1" applyBorder="1" applyAlignment="1">
      <alignment horizontal="center" vertical="center" wrapText="1"/>
      <protection/>
    </xf>
    <xf numFmtId="0" fontId="46" fillId="40" borderId="15" xfId="55" applyFont="1" applyFill="1" applyBorder="1" applyAlignment="1" applyProtection="1">
      <alignment horizontal="centerContinuous" vertical="center" wrapText="1"/>
      <protection/>
    </xf>
    <xf numFmtId="0" fontId="46" fillId="40" borderId="16" xfId="55" applyFont="1" applyFill="1" applyBorder="1" applyAlignment="1">
      <alignment horizontal="centerContinuous" vertical="center"/>
      <protection/>
    </xf>
    <xf numFmtId="0" fontId="47" fillId="41" borderId="15" xfId="55" applyFont="1" applyFill="1" applyBorder="1" applyAlignment="1" applyProtection="1">
      <alignment horizontal="centerContinuous" vertical="center" wrapText="1"/>
      <protection/>
    </xf>
    <xf numFmtId="0" fontId="47" fillId="41" borderId="16" xfId="55" applyFont="1" applyFill="1" applyBorder="1" applyAlignment="1">
      <alignment horizontal="centerContinuous" vertical="center"/>
      <protection/>
    </xf>
    <xf numFmtId="0" fontId="31" fillId="42" borderId="20" xfId="55" applyFont="1" applyFill="1" applyBorder="1" applyAlignment="1">
      <alignment horizontal="center" vertical="center" wrapText="1"/>
      <protection/>
    </xf>
    <xf numFmtId="0" fontId="46" fillId="43" borderId="20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vertical="center"/>
      <protection/>
    </xf>
    <xf numFmtId="0" fontId="6" fillId="0" borderId="29" xfId="55" applyFont="1" applyFill="1" applyBorder="1" applyAlignment="1" applyProtection="1">
      <alignment horizontal="center"/>
      <protection locked="0"/>
    </xf>
    <xf numFmtId="0" fontId="6" fillId="0" borderId="22" xfId="55" applyFont="1" applyFill="1" applyBorder="1" applyAlignment="1" applyProtection="1">
      <alignment horizontal="center"/>
      <protection locked="0"/>
    </xf>
    <xf numFmtId="0" fontId="6" fillId="0" borderId="22" xfId="55" applyFont="1" applyFill="1" applyBorder="1" applyProtection="1">
      <alignment/>
      <protection locked="0"/>
    </xf>
    <xf numFmtId="0" fontId="48" fillId="33" borderId="22" xfId="55" applyFont="1" applyFill="1" applyBorder="1" applyProtection="1">
      <alignment/>
      <protection locked="0"/>
    </xf>
    <xf numFmtId="0" fontId="6" fillId="0" borderId="22" xfId="55" applyFont="1" applyFill="1" applyBorder="1" applyAlignment="1">
      <alignment horizontal="center"/>
      <protection/>
    </xf>
    <xf numFmtId="0" fontId="49" fillId="39" borderId="22" xfId="55" applyFont="1" applyFill="1" applyBorder="1" applyProtection="1">
      <alignment/>
      <protection locked="0"/>
    </xf>
    <xf numFmtId="0" fontId="49" fillId="40" borderId="30" xfId="55" applyFont="1" applyFill="1" applyBorder="1" applyAlignment="1" applyProtection="1">
      <alignment horizontal="center"/>
      <protection locked="0"/>
    </xf>
    <xf numFmtId="0" fontId="49" fillId="40" borderId="31" xfId="55" applyFont="1" applyFill="1" applyBorder="1" applyProtection="1">
      <alignment/>
      <protection locked="0"/>
    </xf>
    <xf numFmtId="0" fontId="50" fillId="41" borderId="30" xfId="55" applyFont="1" applyFill="1" applyBorder="1" applyAlignment="1" applyProtection="1">
      <alignment horizontal="center"/>
      <protection locked="0"/>
    </xf>
    <xf numFmtId="0" fontId="50" fillId="41" borderId="31" xfId="55" applyFont="1" applyFill="1" applyBorder="1" applyProtection="1">
      <alignment/>
      <protection locked="0"/>
    </xf>
    <xf numFmtId="0" fontId="37" fillId="42" borderId="22" xfId="55" applyFont="1" applyFill="1" applyBorder="1" applyProtection="1">
      <alignment/>
      <protection locked="0"/>
    </xf>
    <xf numFmtId="0" fontId="49" fillId="43" borderId="22" xfId="55" applyFont="1" applyFill="1" applyBorder="1" applyProtection="1">
      <alignment/>
      <protection locked="0"/>
    </xf>
    <xf numFmtId="0" fontId="39" fillId="0" borderId="22" xfId="55" applyFont="1" applyFill="1" applyBorder="1" applyAlignment="1">
      <alignment horizontal="right"/>
      <protection/>
    </xf>
    <xf numFmtId="0" fontId="6" fillId="0" borderId="32" xfId="55" applyFont="1" applyFill="1" applyBorder="1" applyAlignment="1" applyProtection="1">
      <alignment horizontal="center"/>
      <protection locked="0"/>
    </xf>
    <xf numFmtId="0" fontId="6" fillId="0" borderId="23" xfId="55" applyFont="1" applyFill="1" applyBorder="1" applyProtection="1">
      <alignment/>
      <protection locked="0"/>
    </xf>
    <xf numFmtId="0" fontId="48" fillId="33" borderId="23" xfId="55" applyFont="1" applyFill="1" applyBorder="1" applyProtection="1">
      <alignment/>
      <protection locked="0"/>
    </xf>
    <xf numFmtId="0" fontId="6" fillId="0" borderId="23" xfId="55" applyFont="1" applyFill="1" applyBorder="1" applyAlignment="1" applyProtection="1">
      <alignment horizontal="center"/>
      <protection locked="0"/>
    </xf>
    <xf numFmtId="0" fontId="6" fillId="0" borderId="23" xfId="55" applyFont="1" applyFill="1" applyBorder="1" applyAlignment="1">
      <alignment horizontal="center"/>
      <protection/>
    </xf>
    <xf numFmtId="0" fontId="49" fillId="39" borderId="23" xfId="55" applyFont="1" applyFill="1" applyBorder="1" applyProtection="1">
      <alignment/>
      <protection locked="0"/>
    </xf>
    <xf numFmtId="0" fontId="49" fillId="40" borderId="33" xfId="55" applyFont="1" applyFill="1" applyBorder="1" applyAlignment="1" applyProtection="1">
      <alignment horizontal="center"/>
      <protection locked="0"/>
    </xf>
    <xf numFmtId="0" fontId="49" fillId="40" borderId="34" xfId="55" applyFont="1" applyFill="1" applyBorder="1" applyProtection="1">
      <alignment/>
      <protection locked="0"/>
    </xf>
    <xf numFmtId="0" fontId="50" fillId="41" borderId="33" xfId="55" applyFont="1" applyFill="1" applyBorder="1" applyAlignment="1" applyProtection="1">
      <alignment horizontal="center"/>
      <protection locked="0"/>
    </xf>
    <xf numFmtId="0" fontId="50" fillId="41" borderId="34" xfId="55" applyFont="1" applyFill="1" applyBorder="1" applyProtection="1">
      <alignment/>
      <protection locked="0"/>
    </xf>
    <xf numFmtId="0" fontId="37" fillId="42" borderId="23" xfId="55" applyFont="1" applyFill="1" applyBorder="1" applyProtection="1">
      <alignment/>
      <protection locked="0"/>
    </xf>
    <xf numFmtId="0" fontId="49" fillId="43" borderId="23" xfId="55" applyFont="1" applyFill="1" applyBorder="1" applyProtection="1">
      <alignment/>
      <protection locked="0"/>
    </xf>
    <xf numFmtId="0" fontId="39" fillId="0" borderId="34" xfId="55" applyFont="1" applyFill="1" applyBorder="1" applyAlignment="1">
      <alignment horizontal="right"/>
      <protection/>
    </xf>
    <xf numFmtId="169" fontId="6" fillId="0" borderId="24" xfId="55" applyNumberFormat="1" applyFont="1" applyBorder="1" applyAlignment="1" applyProtection="1" quotePrefix="1">
      <alignment horizontal="center"/>
      <protection locked="0"/>
    </xf>
    <xf numFmtId="2" fontId="6" fillId="0" borderId="24" xfId="55" applyNumberFormat="1" applyFont="1" applyBorder="1" applyAlignment="1" applyProtection="1" quotePrefix="1">
      <alignment horizontal="center"/>
      <protection locked="0"/>
    </xf>
    <xf numFmtId="172" fontId="48" fillId="33" borderId="23" xfId="55" applyNumberFormat="1" applyFont="1" applyFill="1" applyBorder="1" applyAlignment="1" applyProtection="1">
      <alignment horizontal="center"/>
      <protection locked="0"/>
    </xf>
    <xf numFmtId="22" fontId="6" fillId="0" borderId="23" xfId="55" applyNumberFormat="1" applyFont="1" applyFill="1" applyBorder="1" applyAlignment="1" applyProtection="1">
      <alignment horizontal="center"/>
      <protection locked="0"/>
    </xf>
    <xf numFmtId="2" fontId="6" fillId="0" borderId="23" xfId="55" applyNumberFormat="1" applyFont="1" applyFill="1" applyBorder="1" applyAlignment="1" applyProtection="1">
      <alignment horizontal="center"/>
      <protection/>
    </xf>
    <xf numFmtId="3" fontId="6" fillId="0" borderId="23" xfId="55" applyNumberFormat="1" applyFont="1" applyFill="1" applyBorder="1" applyAlignment="1" applyProtection="1">
      <alignment horizontal="center"/>
      <protection/>
    </xf>
    <xf numFmtId="172" fontId="6" fillId="0" borderId="23" xfId="55" applyNumberFormat="1" applyFont="1" applyFill="1" applyBorder="1" applyAlignment="1" applyProtection="1">
      <alignment horizontal="center"/>
      <protection locked="0"/>
    </xf>
    <xf numFmtId="172" fontId="6" fillId="0" borderId="23" xfId="55" applyNumberFormat="1" applyFont="1" applyFill="1" applyBorder="1" applyAlignment="1" applyProtection="1" quotePrefix="1">
      <alignment horizontal="center"/>
      <protection locked="0"/>
    </xf>
    <xf numFmtId="2" fontId="34" fillId="36" borderId="23" xfId="55" applyNumberFormat="1" applyFont="1" applyFill="1" applyBorder="1" applyAlignment="1" applyProtection="1">
      <alignment horizontal="center"/>
      <protection locked="0"/>
    </xf>
    <xf numFmtId="2" fontId="49" fillId="39" borderId="23" xfId="55" applyNumberFormat="1" applyFont="1" applyFill="1" applyBorder="1" applyAlignment="1" applyProtection="1">
      <alignment horizontal="center"/>
      <protection locked="0"/>
    </xf>
    <xf numFmtId="172" fontId="49" fillId="40" borderId="33" xfId="55" applyNumberFormat="1" applyFont="1" applyFill="1" applyBorder="1" applyAlignment="1" applyProtection="1" quotePrefix="1">
      <alignment horizontal="center"/>
      <protection locked="0"/>
    </xf>
    <xf numFmtId="172" fontId="49" fillId="40" borderId="35" xfId="55" applyNumberFormat="1" applyFont="1" applyFill="1" applyBorder="1" applyAlignment="1" applyProtection="1" quotePrefix="1">
      <alignment horizontal="center"/>
      <protection locked="0"/>
    </xf>
    <xf numFmtId="172" fontId="50" fillId="41" borderId="33" xfId="55" applyNumberFormat="1" applyFont="1" applyFill="1" applyBorder="1" applyAlignment="1" applyProtection="1" quotePrefix="1">
      <alignment horizontal="center"/>
      <protection locked="0"/>
    </xf>
    <xf numFmtId="172" fontId="50" fillId="41" borderId="35" xfId="55" applyNumberFormat="1" applyFont="1" applyFill="1" applyBorder="1" applyAlignment="1" applyProtection="1" quotePrefix="1">
      <alignment horizontal="center"/>
      <protection locked="0"/>
    </xf>
    <xf numFmtId="172" fontId="37" fillId="42" borderId="23" xfId="55" applyNumberFormat="1" applyFont="1" applyFill="1" applyBorder="1" applyAlignment="1" applyProtection="1" quotePrefix="1">
      <alignment horizontal="center"/>
      <protection locked="0"/>
    </xf>
    <xf numFmtId="172" fontId="49" fillId="43" borderId="24" xfId="55" applyNumberFormat="1" applyFont="1" applyFill="1" applyBorder="1" applyAlignment="1" applyProtection="1" quotePrefix="1">
      <alignment horizontal="center"/>
      <protection locked="0"/>
    </xf>
    <xf numFmtId="172" fontId="39" fillId="0" borderId="34" xfId="55" applyNumberFormat="1" applyFont="1" applyFill="1" applyBorder="1" applyAlignment="1">
      <alignment horizontal="right"/>
      <protection/>
    </xf>
    <xf numFmtId="2" fontId="6" fillId="0" borderId="14" xfId="55" applyNumberFormat="1" applyFont="1" applyFill="1" applyBorder="1">
      <alignment/>
      <protection/>
    </xf>
    <xf numFmtId="0" fontId="6" fillId="0" borderId="25" xfId="55" applyFont="1" applyFill="1" applyBorder="1">
      <alignment/>
      <protection/>
    </xf>
    <xf numFmtId="0" fontId="48" fillId="33" borderId="25" xfId="55" applyFont="1" applyFill="1" applyBorder="1">
      <alignment/>
      <protection/>
    </xf>
    <xf numFmtId="0" fontId="38" fillId="38" borderId="25" xfId="55" applyFont="1" applyFill="1" applyBorder="1">
      <alignment/>
      <protection/>
    </xf>
    <xf numFmtId="0" fontId="34" fillId="36" borderId="25" xfId="55" applyFont="1" applyFill="1" applyBorder="1">
      <alignment/>
      <protection/>
    </xf>
    <xf numFmtId="0" fontId="49" fillId="39" borderId="25" xfId="55" applyFont="1" applyFill="1" applyBorder="1">
      <alignment/>
      <protection/>
    </xf>
    <xf numFmtId="0" fontId="49" fillId="40" borderId="36" xfId="55" applyFont="1" applyFill="1" applyBorder="1">
      <alignment/>
      <protection/>
    </xf>
    <xf numFmtId="0" fontId="49" fillId="40" borderId="37" xfId="55" applyFont="1" applyFill="1" applyBorder="1">
      <alignment/>
      <protection/>
    </xf>
    <xf numFmtId="0" fontId="50" fillId="41" borderId="36" xfId="55" applyFont="1" applyFill="1" applyBorder="1">
      <alignment/>
      <protection/>
    </xf>
    <xf numFmtId="0" fontId="50" fillId="41" borderId="37" xfId="55" applyFont="1" applyFill="1" applyBorder="1">
      <alignment/>
      <protection/>
    </xf>
    <xf numFmtId="0" fontId="37" fillId="42" borderId="25" xfId="55" applyFont="1" applyFill="1" applyBorder="1">
      <alignment/>
      <protection/>
    </xf>
    <xf numFmtId="0" fontId="49" fillId="43" borderId="25" xfId="55" applyFont="1" applyFill="1" applyBorder="1">
      <alignment/>
      <protection/>
    </xf>
    <xf numFmtId="0" fontId="39" fillId="0" borderId="27" xfId="55" applyFont="1" applyFill="1" applyBorder="1" applyAlignment="1">
      <alignment horizontal="right"/>
      <protection/>
    </xf>
    <xf numFmtId="7" fontId="34" fillId="36" borderId="20" xfId="55" applyNumberFormat="1" applyFont="1" applyFill="1" applyBorder="1" applyAlignment="1">
      <alignment horizontal="center"/>
      <protection/>
    </xf>
    <xf numFmtId="7" fontId="49" fillId="39" borderId="20" xfId="55" applyNumberFormat="1" applyFont="1" applyFill="1" applyBorder="1" applyAlignment="1">
      <alignment horizontal="center"/>
      <protection/>
    </xf>
    <xf numFmtId="7" fontId="49" fillId="40" borderId="20" xfId="55" applyNumberFormat="1" applyFont="1" applyFill="1" applyBorder="1" applyAlignment="1">
      <alignment horizontal="center"/>
      <protection/>
    </xf>
    <xf numFmtId="7" fontId="49" fillId="40" borderId="38" xfId="55" applyNumberFormat="1" applyFont="1" applyFill="1" applyBorder="1" applyAlignment="1">
      <alignment horizontal="center"/>
      <protection/>
    </xf>
    <xf numFmtId="7" fontId="50" fillId="41" borderId="20" xfId="55" applyNumberFormat="1" applyFont="1" applyFill="1" applyBorder="1" applyAlignment="1">
      <alignment horizontal="center"/>
      <protection/>
    </xf>
    <xf numFmtId="7" fontId="37" fillId="42" borderId="20" xfId="55" applyNumberFormat="1" applyFont="1" applyFill="1" applyBorder="1" applyAlignment="1">
      <alignment horizontal="center"/>
      <protection/>
    </xf>
    <xf numFmtId="7" fontId="49" fillId="43" borderId="20" xfId="55" applyNumberFormat="1" applyFont="1" applyFill="1" applyBorder="1" applyAlignment="1">
      <alignment horizontal="center"/>
      <protection/>
    </xf>
    <xf numFmtId="0" fontId="6" fillId="0" borderId="39" xfId="55" applyFont="1" applyFill="1" applyBorder="1">
      <alignment/>
      <protection/>
    </xf>
    <xf numFmtId="7" fontId="2" fillId="0" borderId="20" xfId="55" applyNumberFormat="1" applyFont="1" applyFill="1" applyBorder="1" applyAlignment="1" applyProtection="1">
      <alignment horizontal="right"/>
      <protection locked="0"/>
    </xf>
    <xf numFmtId="0" fontId="41" fillId="0" borderId="13" xfId="55" applyFont="1" applyFill="1" applyBorder="1">
      <alignment/>
      <protection/>
    </xf>
    <xf numFmtId="0" fontId="41" fillId="0" borderId="0" xfId="55" applyFont="1" applyFill="1" applyBorder="1">
      <alignment/>
      <protection/>
    </xf>
    <xf numFmtId="7" fontId="41" fillId="0" borderId="0" xfId="55" applyNumberFormat="1" applyFont="1" applyFill="1" applyBorder="1" applyAlignment="1">
      <alignment horizontal="center"/>
      <protection/>
    </xf>
    <xf numFmtId="7" fontId="41" fillId="0" borderId="0" xfId="55" applyNumberFormat="1" applyFont="1" applyFill="1" applyBorder="1" applyAlignment="1" applyProtection="1">
      <alignment horizontal="right"/>
      <protection locked="0"/>
    </xf>
    <xf numFmtId="0" fontId="41" fillId="0" borderId="14" xfId="55" applyFont="1" applyFill="1" applyBorder="1">
      <alignment/>
      <protection/>
    </xf>
    <xf numFmtId="0" fontId="6" fillId="0" borderId="17" xfId="55" applyFont="1" applyFill="1" applyBorder="1">
      <alignment/>
      <protection/>
    </xf>
    <xf numFmtId="0" fontId="6" fillId="0" borderId="18" xfId="55" applyFont="1" applyFill="1" applyBorder="1">
      <alignment/>
      <protection/>
    </xf>
    <xf numFmtId="0" fontId="6" fillId="0" borderId="19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8" fillId="0" borderId="0" xfId="55" applyFont="1" applyAlignment="1">
      <alignment horizontal="centerContinuous" vertical="center"/>
      <protection/>
    </xf>
    <xf numFmtId="0" fontId="6" fillId="0" borderId="0" xfId="55" applyFont="1" applyAlignment="1">
      <alignment horizontal="centerContinuous" vertical="center"/>
      <protection/>
    </xf>
    <xf numFmtId="0" fontId="11" fillId="0" borderId="0" xfId="55" applyFont="1" applyAlignment="1">
      <alignment horizontal="centerContinuous"/>
      <protection/>
    </xf>
    <xf numFmtId="0" fontId="51" fillId="0" borderId="0" xfId="55" applyFont="1" applyBorder="1">
      <alignment/>
      <protection/>
    </xf>
    <xf numFmtId="0" fontId="20" fillId="0" borderId="0" xfId="55" applyFont="1" applyFill="1" applyBorder="1" applyAlignment="1" applyProtection="1" quotePrefix="1">
      <alignment horizontal="centerContinuous"/>
      <protection locked="0"/>
    </xf>
    <xf numFmtId="0" fontId="1" fillId="0" borderId="15" xfId="55" applyFont="1" applyBorder="1" applyAlignment="1" applyProtection="1">
      <alignment horizontal="left"/>
      <protection/>
    </xf>
    <xf numFmtId="174" fontId="1" fillId="0" borderId="38" xfId="55" applyNumberFormat="1" applyFont="1" applyBorder="1" applyAlignment="1" applyProtection="1">
      <alignment horizontal="center"/>
      <protection/>
    </xf>
    <xf numFmtId="0" fontId="1" fillId="0" borderId="20" xfId="55" applyFont="1" applyBorder="1" applyAlignment="1">
      <alignment horizontal="center"/>
      <protection/>
    </xf>
    <xf numFmtId="22" fontId="6" fillId="0" borderId="0" xfId="55" applyNumberFormat="1" applyFont="1" applyBorder="1">
      <alignment/>
      <protection/>
    </xf>
    <xf numFmtId="0" fontId="1" fillId="0" borderId="15" xfId="55" applyFont="1" applyBorder="1">
      <alignment/>
      <protection/>
    </xf>
    <xf numFmtId="174" fontId="52" fillId="0" borderId="38" xfId="55" applyNumberFormat="1" applyFont="1" applyBorder="1" applyAlignment="1">
      <alignment horizontal="center"/>
      <protection/>
    </xf>
    <xf numFmtId="0" fontId="1" fillId="0" borderId="25" xfId="55" applyFont="1" applyBorder="1" applyAlignment="1">
      <alignment horizontal="center"/>
      <protection/>
    </xf>
    <xf numFmtId="174" fontId="6" fillId="0" borderId="0" xfId="55" applyNumberFormat="1" applyFont="1" applyBorder="1">
      <alignment/>
      <protection/>
    </xf>
    <xf numFmtId="0" fontId="6" fillId="0" borderId="0" xfId="55" applyFont="1" applyBorder="1" applyAlignment="1" quotePrefix="1">
      <alignment horizontal="center"/>
      <protection/>
    </xf>
    <xf numFmtId="0" fontId="1" fillId="0" borderId="15" xfId="55" applyFont="1" applyBorder="1" applyAlignment="1">
      <alignment horizontal="left"/>
      <protection/>
    </xf>
    <xf numFmtId="1" fontId="1" fillId="0" borderId="25" xfId="55" applyNumberFormat="1" applyFont="1" applyBorder="1" applyAlignment="1">
      <alignment horizontal="center"/>
      <protection/>
    </xf>
    <xf numFmtId="0" fontId="25" fillId="0" borderId="0" xfId="55" applyFont="1">
      <alignment/>
      <protection/>
    </xf>
    <xf numFmtId="0" fontId="25" fillId="0" borderId="13" xfId="55" applyFont="1" applyBorder="1">
      <alignment/>
      <protection/>
    </xf>
    <xf numFmtId="0" fontId="25" fillId="0" borderId="16" xfId="55" applyFont="1" applyFill="1" applyBorder="1" applyAlignment="1" applyProtection="1">
      <alignment horizontal="center" vertical="center"/>
      <protection/>
    </xf>
    <xf numFmtId="0" fontId="25" fillId="0" borderId="21" xfId="55" applyFont="1" applyFill="1" applyBorder="1" applyAlignment="1">
      <alignment horizontal="center" vertical="center" wrapText="1"/>
      <protection/>
    </xf>
    <xf numFmtId="0" fontId="46" fillId="43" borderId="20" xfId="55" applyFont="1" applyFill="1" applyBorder="1" applyAlignment="1" applyProtection="1">
      <alignment horizontal="center" vertical="center"/>
      <protection/>
    </xf>
    <xf numFmtId="0" fontId="53" fillId="42" borderId="20" xfId="55" applyFont="1" applyFill="1" applyBorder="1" applyAlignment="1">
      <alignment horizontal="center" vertical="center" wrapText="1"/>
      <protection/>
    </xf>
    <xf numFmtId="0" fontId="46" fillId="41" borderId="15" xfId="55" applyFont="1" applyFill="1" applyBorder="1" applyAlignment="1" applyProtection="1">
      <alignment horizontal="centerContinuous" vertical="center" wrapText="1"/>
      <protection/>
    </xf>
    <xf numFmtId="0" fontId="46" fillId="41" borderId="16" xfId="55" applyFont="1" applyFill="1" applyBorder="1" applyAlignment="1">
      <alignment horizontal="centerContinuous" vertical="center"/>
      <protection/>
    </xf>
    <xf numFmtId="0" fontId="28" fillId="44" borderId="20" xfId="55" applyFont="1" applyFill="1" applyBorder="1" applyAlignment="1">
      <alignment horizontal="center" vertical="center" wrapText="1"/>
      <protection/>
    </xf>
    <xf numFmtId="0" fontId="25" fillId="0" borderId="14" xfId="55" applyFont="1" applyFill="1" applyBorder="1">
      <alignment/>
      <protection/>
    </xf>
    <xf numFmtId="168" fontId="6" fillId="0" borderId="23" xfId="55" applyNumberFormat="1" applyFont="1" applyFill="1" applyBorder="1" applyAlignment="1" applyProtection="1">
      <alignment horizontal="center"/>
      <protection locked="0"/>
    </xf>
    <xf numFmtId="0" fontId="33" fillId="33" borderId="22" xfId="55" applyFont="1" applyFill="1" applyBorder="1" applyAlignment="1" applyProtection="1">
      <alignment horizontal="center"/>
      <protection locked="0"/>
    </xf>
    <xf numFmtId="0" fontId="6" fillId="0" borderId="34" xfId="55" applyFont="1" applyFill="1" applyBorder="1" applyAlignment="1" applyProtection="1">
      <alignment horizontal="center"/>
      <protection locked="0"/>
    </xf>
    <xf numFmtId="0" fontId="54" fillId="43" borderId="22" xfId="55" applyFont="1" applyFill="1" applyBorder="1" applyAlignment="1" applyProtection="1">
      <alignment horizontal="center"/>
      <protection locked="0"/>
    </xf>
    <xf numFmtId="0" fontId="55" fillId="42" borderId="22" xfId="55" applyFont="1" applyFill="1" applyBorder="1" applyAlignment="1" applyProtection="1">
      <alignment horizontal="center"/>
      <protection locked="0"/>
    </xf>
    <xf numFmtId="172" fontId="49" fillId="41" borderId="30" xfId="55" applyNumberFormat="1" applyFont="1" applyFill="1" applyBorder="1" applyAlignment="1" applyProtection="1" quotePrefix="1">
      <alignment horizontal="center"/>
      <protection locked="0"/>
    </xf>
    <xf numFmtId="172" fontId="49" fillId="41" borderId="40" xfId="55" applyNumberFormat="1" applyFont="1" applyFill="1" applyBorder="1" applyAlignment="1" applyProtection="1" quotePrefix="1">
      <alignment horizontal="center"/>
      <protection locked="0"/>
    </xf>
    <xf numFmtId="172" fontId="34" fillId="44" borderId="22" xfId="55" applyNumberFormat="1" applyFont="1" applyFill="1" applyBorder="1" applyAlignment="1" applyProtection="1" quotePrefix="1">
      <alignment horizontal="center"/>
      <protection locked="0"/>
    </xf>
    <xf numFmtId="0" fontId="6" fillId="0" borderId="32" xfId="55" applyFont="1" applyFill="1" applyBorder="1" applyAlignment="1" applyProtection="1">
      <alignment horizontal="left"/>
      <protection locked="0"/>
    </xf>
    <xf numFmtId="0" fontId="39" fillId="0" borderId="23" xfId="55" applyFont="1" applyFill="1" applyBorder="1" applyAlignment="1">
      <alignment horizontal="center"/>
      <protection/>
    </xf>
    <xf numFmtId="0" fontId="56" fillId="0" borderId="32" xfId="55" applyFont="1" applyFill="1" applyBorder="1" applyAlignment="1" applyProtection="1">
      <alignment horizontal="center"/>
      <protection locked="0"/>
    </xf>
    <xf numFmtId="175" fontId="5" fillId="0" borderId="23" xfId="55" applyNumberFormat="1" applyFont="1" applyFill="1" applyBorder="1" applyAlignment="1" applyProtection="1">
      <alignment horizontal="center"/>
      <protection locked="0"/>
    </xf>
    <xf numFmtId="174" fontId="33" fillId="33" borderId="23" xfId="55" applyNumberFormat="1" applyFont="1" applyFill="1" applyBorder="1" applyAlignment="1" applyProtection="1">
      <alignment horizontal="center"/>
      <protection locked="0"/>
    </xf>
    <xf numFmtId="22" fontId="6" fillId="0" borderId="24" xfId="55" applyNumberFormat="1" applyFont="1" applyFill="1" applyBorder="1" applyAlignment="1" applyProtection="1">
      <alignment horizontal="center"/>
      <protection locked="0"/>
    </xf>
    <xf numFmtId="22" fontId="6" fillId="0" borderId="35" xfId="55" applyNumberFormat="1" applyFont="1" applyFill="1" applyBorder="1" applyAlignment="1" applyProtection="1">
      <alignment horizontal="center"/>
      <protection locked="0"/>
    </xf>
    <xf numFmtId="168" fontId="6" fillId="0" borderId="23" xfId="55" applyNumberFormat="1" applyFont="1" applyFill="1" applyBorder="1" applyAlignment="1" applyProtection="1" quotePrefix="1">
      <alignment horizontal="center"/>
      <protection/>
    </xf>
    <xf numFmtId="168" fontId="54" fillId="43" borderId="23" xfId="55" applyNumberFormat="1" applyFont="1" applyFill="1" applyBorder="1" applyAlignment="1" applyProtection="1">
      <alignment horizontal="center"/>
      <protection locked="0"/>
    </xf>
    <xf numFmtId="2" fontId="55" fillId="42" borderId="23" xfId="55" applyNumberFormat="1" applyFont="1" applyFill="1" applyBorder="1" applyAlignment="1" applyProtection="1">
      <alignment horizontal="center"/>
      <protection locked="0"/>
    </xf>
    <xf numFmtId="172" fontId="49" fillId="41" borderId="33" xfId="55" applyNumberFormat="1" applyFont="1" applyFill="1" applyBorder="1" applyAlignment="1" applyProtection="1" quotePrefix="1">
      <alignment horizontal="center"/>
      <protection locked="0"/>
    </xf>
    <xf numFmtId="172" fontId="49" fillId="41" borderId="35" xfId="55" applyNumberFormat="1" applyFont="1" applyFill="1" applyBorder="1" applyAlignment="1" applyProtection="1" quotePrefix="1">
      <alignment horizontal="center"/>
      <protection locked="0"/>
    </xf>
    <xf numFmtId="172" fontId="34" fillId="44" borderId="23" xfId="55" applyNumberFormat="1" applyFont="1" applyFill="1" applyBorder="1" applyAlignment="1" applyProtection="1" quotePrefix="1">
      <alignment horizontal="center"/>
      <protection locked="0"/>
    </xf>
    <xf numFmtId="172" fontId="6" fillId="0" borderId="32" xfId="55" applyNumberFormat="1" applyFont="1" applyFill="1" applyBorder="1" applyAlignment="1" applyProtection="1">
      <alignment horizontal="center"/>
      <protection locked="0"/>
    </xf>
    <xf numFmtId="172" fontId="39" fillId="0" borderId="23" xfId="55" applyNumberFormat="1" applyFont="1" applyFill="1" applyBorder="1" applyAlignment="1">
      <alignment horizontal="center"/>
      <protection/>
    </xf>
    <xf numFmtId="175" fontId="5" fillId="0" borderId="23" xfId="55" applyNumberFormat="1" applyFont="1" applyFill="1" applyBorder="1" applyAlignment="1" applyProtection="1" quotePrefix="1">
      <alignment horizontal="center"/>
      <protection locked="0"/>
    </xf>
    <xf numFmtId="172" fontId="39" fillId="0" borderId="23" xfId="55" applyNumberFormat="1" applyFont="1" applyFill="1" applyBorder="1" applyAlignment="1">
      <alignment horizontal="right"/>
      <protection/>
    </xf>
    <xf numFmtId="0" fontId="33" fillId="33" borderId="25" xfId="55" applyFont="1" applyFill="1" applyBorder="1">
      <alignment/>
      <protection/>
    </xf>
    <xf numFmtId="0" fontId="54" fillId="43" borderId="25" xfId="55" applyFont="1" applyFill="1" applyBorder="1">
      <alignment/>
      <protection/>
    </xf>
    <xf numFmtId="0" fontId="55" fillId="42" borderId="25" xfId="55" applyFont="1" applyFill="1" applyBorder="1">
      <alignment/>
      <protection/>
    </xf>
    <xf numFmtId="0" fontId="49" fillId="41" borderId="36" xfId="55" applyFont="1" applyFill="1" applyBorder="1">
      <alignment/>
      <protection/>
    </xf>
    <xf numFmtId="0" fontId="49" fillId="41" borderId="37" xfId="55" applyFont="1" applyFill="1" applyBorder="1">
      <alignment/>
      <protection/>
    </xf>
    <xf numFmtId="0" fontId="34" fillId="44" borderId="25" xfId="55" applyFont="1" applyFill="1" applyBorder="1">
      <alignment/>
      <protection/>
    </xf>
    <xf numFmtId="0" fontId="39" fillId="0" borderId="27" xfId="55" applyFont="1" applyFill="1" applyBorder="1">
      <alignment/>
      <protection/>
    </xf>
    <xf numFmtId="2" fontId="55" fillId="42" borderId="20" xfId="55" applyNumberFormat="1" applyFont="1" applyFill="1" applyBorder="1" applyAlignment="1">
      <alignment horizontal="center"/>
      <protection/>
    </xf>
    <xf numFmtId="2" fontId="49" fillId="41" borderId="20" xfId="55" applyNumberFormat="1" applyFont="1" applyFill="1" applyBorder="1" applyAlignment="1">
      <alignment horizontal="center"/>
      <protection/>
    </xf>
    <xf numFmtId="2" fontId="34" fillId="44" borderId="20" xfId="55" applyNumberFormat="1" applyFont="1" applyFill="1" applyBorder="1" applyAlignment="1">
      <alignment horizontal="center"/>
      <protection/>
    </xf>
    <xf numFmtId="7" fontId="6" fillId="0" borderId="0" xfId="55" applyNumberFormat="1" applyFont="1" applyFill="1" applyBorder="1" applyAlignment="1">
      <alignment horizontal="center"/>
      <protection/>
    </xf>
    <xf numFmtId="7" fontId="2" fillId="0" borderId="20" xfId="55" applyNumberFormat="1" applyFont="1" applyFill="1" applyBorder="1" applyAlignment="1" applyProtection="1">
      <alignment horizontal="right"/>
      <protection locked="0"/>
    </xf>
    <xf numFmtId="7" fontId="45" fillId="0" borderId="0" xfId="55" applyNumberFormat="1" applyFont="1" applyFill="1" applyBorder="1" applyAlignment="1" applyProtection="1">
      <alignment horizontal="center"/>
      <protection locked="0"/>
    </xf>
    <xf numFmtId="0" fontId="1" fillId="0" borderId="0" xfId="55" applyFont="1">
      <alignment/>
      <protection/>
    </xf>
    <xf numFmtId="0" fontId="57" fillId="0" borderId="0" xfId="55" applyFont="1" applyAlignment="1">
      <alignment horizontal="right" vertical="top"/>
      <protection/>
    </xf>
    <xf numFmtId="0" fontId="57" fillId="0" borderId="0" xfId="55" applyFont="1" applyFill="1" applyAlignment="1">
      <alignment horizontal="right" vertical="top"/>
      <protection/>
    </xf>
    <xf numFmtId="0" fontId="21" fillId="0" borderId="0" xfId="55" applyFont="1" applyBorder="1" applyAlignment="1">
      <alignment horizontal="center"/>
      <protection/>
    </xf>
    <xf numFmtId="0" fontId="58" fillId="0" borderId="0" xfId="55" applyNumberFormat="1" applyFont="1" applyBorder="1" applyAlignment="1">
      <alignment horizontal="left"/>
      <protection/>
    </xf>
    <xf numFmtId="0" fontId="6" fillId="0" borderId="32" xfId="55" applyFont="1" applyFill="1" applyBorder="1" applyProtection="1">
      <alignment/>
      <protection locked="0"/>
    </xf>
    <xf numFmtId="0" fontId="25" fillId="0" borderId="20" xfId="0" applyFont="1" applyBorder="1" applyAlignment="1">
      <alignment horizontal="center" vertical="center"/>
    </xf>
    <xf numFmtId="0" fontId="1" fillId="33" borderId="4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1" xfId="0" applyFont="1" applyBorder="1" applyAlignment="1">
      <alignment/>
    </xf>
    <xf numFmtId="0" fontId="1" fillId="0" borderId="41" xfId="0" applyFont="1" applyBorder="1" applyAlignment="1" quotePrefix="1">
      <alignment/>
    </xf>
    <xf numFmtId="0" fontId="60" fillId="33" borderId="41" xfId="0" applyFont="1" applyFill="1" applyBorder="1" applyAlignment="1">
      <alignment horizontal="center"/>
    </xf>
    <xf numFmtId="0" fontId="1" fillId="45" borderId="0" xfId="0" applyFont="1" applyFill="1" applyAlignment="1">
      <alignment/>
    </xf>
    <xf numFmtId="0" fontId="1" fillId="45" borderId="0" xfId="0" applyNumberFormat="1" applyFont="1" applyFill="1" applyAlignment="1">
      <alignment/>
    </xf>
    <xf numFmtId="0" fontId="60" fillId="0" borderId="41" xfId="0" applyFont="1" applyFill="1" applyBorder="1" applyAlignment="1">
      <alignment horizontal="center"/>
    </xf>
    <xf numFmtId="0" fontId="1" fillId="45" borderId="0" xfId="54" applyFont="1" applyFill="1" applyAlignment="1">
      <alignment/>
      <protection/>
    </xf>
    <xf numFmtId="0" fontId="1" fillId="0" borderId="0" xfId="0" applyFont="1" applyFill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Border="1" applyAlignment="1">
      <alignment/>
    </xf>
    <xf numFmtId="0" fontId="61" fillId="0" borderId="41" xfId="0" applyFont="1" applyFill="1" applyBorder="1" applyAlignment="1">
      <alignment/>
    </xf>
    <xf numFmtId="0" fontId="61" fillId="0" borderId="42" xfId="0" applyFont="1" applyFill="1" applyBorder="1" applyAlignment="1">
      <alignment/>
    </xf>
    <xf numFmtId="174" fontId="1" fillId="0" borderId="38" xfId="55" applyNumberFormat="1" applyFont="1" applyBorder="1" applyAlignment="1">
      <alignment horizontal="center"/>
      <protection/>
    </xf>
    <xf numFmtId="0" fontId="54" fillId="0" borderId="0" xfId="55" applyFont="1" applyBorder="1">
      <alignment/>
      <protection/>
    </xf>
    <xf numFmtId="0" fontId="54" fillId="0" borderId="0" xfId="55" applyFont="1" applyFill="1" applyBorder="1">
      <alignment/>
      <protection/>
    </xf>
    <xf numFmtId="169" fontId="6" fillId="0" borderId="24" xfId="55" applyNumberFormat="1" applyFont="1" applyBorder="1" applyAlignment="1" applyProtection="1">
      <alignment horizontal="center"/>
      <protection locked="0"/>
    </xf>
    <xf numFmtId="0" fontId="6" fillId="0" borderId="24" xfId="55" applyNumberFormat="1" applyFont="1" applyBorder="1" applyAlignment="1" applyProtection="1">
      <alignment horizontal="center"/>
      <protection locked="0"/>
    </xf>
    <xf numFmtId="0" fontId="63" fillId="0" borderId="0" xfId="55" applyFont="1" applyBorder="1" applyAlignment="1">
      <alignment horizontal="left"/>
      <protection/>
    </xf>
    <xf numFmtId="0" fontId="1" fillId="0" borderId="0" xfId="56">
      <alignment/>
      <protection/>
    </xf>
    <xf numFmtId="0" fontId="57" fillId="0" borderId="0" xfId="56" applyFont="1" applyAlignment="1">
      <alignment horizontal="right" vertical="top"/>
      <protection/>
    </xf>
    <xf numFmtId="0" fontId="64" fillId="0" borderId="0" xfId="56" applyFont="1">
      <alignment/>
      <protection/>
    </xf>
    <xf numFmtId="0" fontId="65" fillId="0" borderId="0" xfId="56" applyFont="1" applyAlignment="1">
      <alignment horizontal="centerContinuous"/>
      <protection/>
    </xf>
    <xf numFmtId="0" fontId="4" fillId="0" borderId="0" xfId="56" applyFont="1" applyBorder="1" applyAlignment="1" applyProtection="1">
      <alignment horizontal="centerContinuous" vertical="center"/>
      <protection/>
    </xf>
    <xf numFmtId="0" fontId="60" fillId="0" borderId="0" xfId="56" applyFont="1" applyAlignment="1">
      <alignment horizontal="centerContinuous" vertical="center"/>
      <protection/>
    </xf>
    <xf numFmtId="0" fontId="60" fillId="0" borderId="0" xfId="56" applyFont="1">
      <alignment/>
      <protection/>
    </xf>
    <xf numFmtId="0" fontId="66" fillId="0" borderId="0" xfId="56" applyFont="1" applyBorder="1" applyAlignment="1">
      <alignment horizontal="centerContinuous"/>
      <protection/>
    </xf>
    <xf numFmtId="0" fontId="67" fillId="0" borderId="0" xfId="56" applyFont="1" applyBorder="1" applyAlignment="1" applyProtection="1">
      <alignment horizontal="left"/>
      <protection/>
    </xf>
    <xf numFmtId="0" fontId="68" fillId="0" borderId="0" xfId="56" applyFont="1" applyBorder="1" applyAlignment="1">
      <alignment horizontal="centerContinuous"/>
      <protection/>
    </xf>
    <xf numFmtId="0" fontId="69" fillId="0" borderId="0" xfId="56" applyFont="1" applyBorder="1" applyAlignment="1" applyProtection="1">
      <alignment horizontal="centerContinuous"/>
      <protection/>
    </xf>
    <xf numFmtId="0" fontId="1" fillId="0" borderId="0" xfId="56" applyAlignment="1">
      <alignment horizontal="centerContinuous"/>
      <protection/>
    </xf>
    <xf numFmtId="0" fontId="69" fillId="0" borderId="0" xfId="56" applyFont="1" applyAlignment="1">
      <alignment horizontal="centerContinuous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70" fillId="0" borderId="11" xfId="56" applyFont="1" applyBorder="1">
      <alignment/>
      <protection/>
    </xf>
    <xf numFmtId="0" fontId="1" fillId="0" borderId="12" xfId="56" applyBorder="1">
      <alignment/>
      <protection/>
    </xf>
    <xf numFmtId="0" fontId="20" fillId="0" borderId="13" xfId="56" applyFont="1" applyBorder="1" applyAlignment="1">
      <alignment horizontal="centerContinuous"/>
      <protection/>
    </xf>
    <xf numFmtId="0" fontId="70" fillId="0" borderId="0" xfId="56" applyFont="1" applyBorder="1" applyAlignment="1">
      <alignment horizontal="centerContinuous"/>
      <protection/>
    </xf>
    <xf numFmtId="0" fontId="1" fillId="0" borderId="0" xfId="56" applyBorder="1" applyAlignment="1">
      <alignment horizontal="centerContinuous"/>
      <protection/>
    </xf>
    <xf numFmtId="0" fontId="1" fillId="0" borderId="14" xfId="56" applyBorder="1" applyAlignment="1">
      <alignment horizontal="centerContinuous"/>
      <protection/>
    </xf>
    <xf numFmtId="0" fontId="1" fillId="0" borderId="13" xfId="56" applyBorder="1">
      <alignment/>
      <protection/>
    </xf>
    <xf numFmtId="0" fontId="1" fillId="0" borderId="43" xfId="56" applyBorder="1">
      <alignment/>
      <protection/>
    </xf>
    <xf numFmtId="0" fontId="70" fillId="0" borderId="0" xfId="56" applyFont="1" applyBorder="1" applyAlignment="1" applyProtection="1">
      <alignment horizontal="center"/>
      <protection/>
    </xf>
    <xf numFmtId="0" fontId="70" fillId="0" borderId="0" xfId="56" applyFont="1" applyBorder="1">
      <alignment/>
      <protection/>
    </xf>
    <xf numFmtId="0" fontId="1" fillId="0" borderId="0" xfId="56" applyBorder="1">
      <alignment/>
      <protection/>
    </xf>
    <xf numFmtId="0" fontId="1" fillId="0" borderId="14" xfId="56" applyBorder="1">
      <alignment/>
      <protection/>
    </xf>
    <xf numFmtId="0" fontId="71" fillId="0" borderId="0" xfId="56" applyFont="1" applyAlignment="1">
      <alignment horizontal="centerContinuous" vertical="center"/>
      <protection/>
    </xf>
    <xf numFmtId="0" fontId="71" fillId="0" borderId="13" xfId="56" applyFont="1" applyBorder="1" applyAlignment="1">
      <alignment horizontal="centerContinuous" vertical="center"/>
      <protection/>
    </xf>
    <xf numFmtId="0" fontId="71" fillId="46" borderId="44" xfId="56" applyFont="1" applyFill="1" applyBorder="1" applyAlignment="1" applyProtection="1">
      <alignment horizontal="centerContinuous" vertical="center"/>
      <protection/>
    </xf>
    <xf numFmtId="0" fontId="71" fillId="46" borderId="44" xfId="56" applyFont="1" applyFill="1" applyBorder="1" applyAlignment="1" applyProtection="1">
      <alignment horizontal="centerContinuous" vertical="center" wrapText="1"/>
      <protection/>
    </xf>
    <xf numFmtId="172" fontId="71" fillId="46" borderId="20" xfId="56" applyNumberFormat="1" applyFont="1" applyFill="1" applyBorder="1" applyAlignment="1" applyProtection="1">
      <alignment horizontal="centerContinuous" vertical="center" wrapText="1"/>
      <protection/>
    </xf>
    <xf numFmtId="17" fontId="71" fillId="46" borderId="16" xfId="56" applyNumberFormat="1" applyFont="1" applyFill="1" applyBorder="1" applyAlignment="1">
      <alignment horizontal="center" vertical="center"/>
      <protection/>
    </xf>
    <xf numFmtId="0" fontId="71" fillId="0" borderId="14" xfId="56" applyFont="1" applyBorder="1" applyAlignment="1">
      <alignment vertical="center"/>
      <protection/>
    </xf>
    <xf numFmtId="0" fontId="71" fillId="0" borderId="0" xfId="56" applyFont="1" applyAlignment="1">
      <alignment vertical="center"/>
      <protection/>
    </xf>
    <xf numFmtId="0" fontId="71" fillId="0" borderId="13" xfId="56" applyFont="1" applyBorder="1" applyAlignment="1">
      <alignment vertical="center"/>
      <protection/>
    </xf>
    <xf numFmtId="0" fontId="71" fillId="0" borderId="32" xfId="56" applyFont="1" applyBorder="1" applyAlignment="1">
      <alignment vertical="center"/>
      <protection/>
    </xf>
    <xf numFmtId="0" fontId="71" fillId="0" borderId="45" xfId="56" applyFont="1" applyBorder="1" applyAlignment="1">
      <alignment vertical="center"/>
      <protection/>
    </xf>
    <xf numFmtId="0" fontId="71" fillId="0" borderId="27" xfId="56" applyFont="1" applyBorder="1" applyAlignment="1">
      <alignment vertical="center"/>
      <protection/>
    </xf>
    <xf numFmtId="0" fontId="71" fillId="0" borderId="46" xfId="56" applyFont="1" applyBorder="1" applyAlignment="1">
      <alignment vertical="center"/>
      <protection/>
    </xf>
    <xf numFmtId="0" fontId="71" fillId="47" borderId="32" xfId="56" applyFont="1" applyFill="1" applyBorder="1" applyAlignment="1">
      <alignment horizontal="center" vertical="center"/>
      <protection/>
    </xf>
    <xf numFmtId="0" fontId="71" fillId="47" borderId="47" xfId="56" applyFont="1" applyFill="1" applyBorder="1" applyAlignment="1" applyProtection="1">
      <alignment horizontal="center" vertical="center"/>
      <protection/>
    </xf>
    <xf numFmtId="2" fontId="71" fillId="47" borderId="24" xfId="56" applyNumberFormat="1" applyFont="1" applyFill="1" applyBorder="1" applyAlignment="1" applyProtection="1">
      <alignment horizontal="center" vertical="center"/>
      <protection/>
    </xf>
    <xf numFmtId="0" fontId="71" fillId="48" borderId="32" xfId="56" applyFont="1" applyFill="1" applyBorder="1" applyAlignment="1">
      <alignment horizontal="center" vertical="center"/>
      <protection/>
    </xf>
    <xf numFmtId="0" fontId="71" fillId="48" borderId="47" xfId="56" applyFont="1" applyFill="1" applyBorder="1" applyAlignment="1" applyProtection="1">
      <alignment horizontal="center" vertical="center"/>
      <protection/>
    </xf>
    <xf numFmtId="2" fontId="71" fillId="48" borderId="24" xfId="56" applyNumberFormat="1" applyFont="1" applyFill="1" applyBorder="1" applyAlignment="1" applyProtection="1">
      <alignment horizontal="center" vertical="center"/>
      <protection/>
    </xf>
    <xf numFmtId="0" fontId="71" fillId="48" borderId="24" xfId="56" applyFont="1" applyFill="1" applyBorder="1" applyAlignment="1">
      <alignment horizontal="center" vertical="center"/>
      <protection/>
    </xf>
    <xf numFmtId="0" fontId="71" fillId="48" borderId="48" xfId="56" applyFont="1" applyFill="1" applyBorder="1" applyAlignment="1" applyProtection="1">
      <alignment horizontal="center" vertical="center"/>
      <protection/>
    </xf>
    <xf numFmtId="2" fontId="71" fillId="48" borderId="49" xfId="56" applyNumberFormat="1" applyFont="1" applyFill="1" applyBorder="1" applyAlignment="1" applyProtection="1">
      <alignment horizontal="center" vertical="center"/>
      <protection/>
    </xf>
    <xf numFmtId="0" fontId="71" fillId="0" borderId="50" xfId="56" applyFont="1" applyBorder="1" applyAlignment="1">
      <alignment horizontal="center" vertical="center"/>
      <protection/>
    </xf>
    <xf numFmtId="0" fontId="71" fillId="0" borderId="51" xfId="56" applyFont="1" applyBorder="1" applyAlignment="1" applyProtection="1">
      <alignment horizontal="left" vertical="center"/>
      <protection/>
    </xf>
    <xf numFmtId="0" fontId="71" fillId="0" borderId="51" xfId="56" applyFont="1" applyBorder="1" applyAlignment="1" applyProtection="1">
      <alignment horizontal="center" vertical="center"/>
      <protection/>
    </xf>
    <xf numFmtId="2" fontId="71" fillId="0" borderId="26" xfId="56" applyNumberFormat="1" applyFont="1" applyBorder="1" applyAlignment="1" applyProtection="1">
      <alignment horizontal="center" vertical="center"/>
      <protection/>
    </xf>
    <xf numFmtId="0" fontId="71" fillId="0" borderId="0" xfId="56" applyFont="1" applyBorder="1" applyAlignment="1">
      <alignment horizontal="center" vertical="center"/>
      <protection/>
    </xf>
    <xf numFmtId="0" fontId="71" fillId="0" borderId="0" xfId="56" applyFont="1" applyBorder="1" applyAlignment="1" applyProtection="1">
      <alignment horizontal="left" vertical="center"/>
      <protection/>
    </xf>
    <xf numFmtId="0" fontId="72" fillId="0" borderId="28" xfId="56" applyFont="1" applyBorder="1" applyAlignment="1" applyProtection="1">
      <alignment horizontal="right" vertical="center"/>
      <protection/>
    </xf>
    <xf numFmtId="172" fontId="72" fillId="0" borderId="26" xfId="56" applyNumberFormat="1" applyFont="1" applyBorder="1" applyAlignment="1" applyProtection="1">
      <alignment horizontal="center" vertical="center"/>
      <protection/>
    </xf>
    <xf numFmtId="1" fontId="71" fillId="0" borderId="20" xfId="56" applyNumberFormat="1" applyFont="1" applyFill="1" applyBorder="1" applyAlignment="1">
      <alignment horizontal="center" vertical="center"/>
      <protection/>
    </xf>
    <xf numFmtId="1" fontId="71" fillId="0" borderId="20" xfId="56" applyNumberFormat="1" applyFont="1" applyBorder="1" applyAlignment="1">
      <alignment horizontal="center" vertical="center"/>
      <protection/>
    </xf>
    <xf numFmtId="0" fontId="71" fillId="0" borderId="0" xfId="56" applyFont="1" applyBorder="1" applyAlignment="1">
      <alignment vertical="center"/>
      <protection/>
    </xf>
    <xf numFmtId="0" fontId="71" fillId="0" borderId="0" xfId="56" applyFont="1" applyBorder="1" applyAlignment="1" applyProtection="1">
      <alignment horizontal="center" vertical="center"/>
      <protection/>
    </xf>
    <xf numFmtId="0" fontId="72" fillId="0" borderId="0" xfId="56" applyFont="1" applyAlignment="1">
      <alignment horizontal="right" vertical="center"/>
      <protection/>
    </xf>
    <xf numFmtId="1" fontId="71" fillId="0" borderId="20" xfId="56" applyNumberFormat="1" applyFont="1" applyBorder="1" applyAlignment="1" applyProtection="1">
      <alignment horizontal="center" vertical="center"/>
      <protection/>
    </xf>
    <xf numFmtId="17" fontId="72" fillId="0" borderId="0" xfId="56" applyNumberFormat="1" applyFont="1" applyBorder="1" applyAlignment="1">
      <alignment horizontal="right" vertical="center"/>
      <protection/>
    </xf>
    <xf numFmtId="2" fontId="72" fillId="49" borderId="26" xfId="57" applyNumberFormat="1" applyFont="1" applyFill="1" applyBorder="1" applyAlignment="1">
      <alignment horizontal="center" vertical="center"/>
      <protection/>
    </xf>
    <xf numFmtId="2" fontId="72" fillId="50" borderId="52" xfId="57" applyNumberFormat="1" applyFont="1" applyFill="1" applyBorder="1" applyAlignment="1">
      <alignment horizontal="center" vertical="center"/>
      <protection/>
    </xf>
    <xf numFmtId="0" fontId="6" fillId="0" borderId="0" xfId="56" applyFont="1" applyBorder="1">
      <alignment/>
      <protection/>
    </xf>
    <xf numFmtId="0" fontId="3" fillId="0" borderId="0" xfId="56" applyFont="1" applyBorder="1" applyAlignment="1" applyProtection="1">
      <alignment horizontal="center"/>
      <protection/>
    </xf>
    <xf numFmtId="172" fontId="3" fillId="0" borderId="0" xfId="56" applyNumberFormat="1" applyFont="1" applyBorder="1" applyAlignment="1" applyProtection="1">
      <alignment horizontal="right"/>
      <protection/>
    </xf>
    <xf numFmtId="2" fontId="1" fillId="0" borderId="0" xfId="56" applyNumberFormat="1" applyBorder="1" applyAlignment="1">
      <alignment horizontal="center"/>
      <protection/>
    </xf>
    <xf numFmtId="2" fontId="1" fillId="0" borderId="14" xfId="56" applyNumberFormat="1" applyBorder="1" applyAlignment="1">
      <alignment horizontal="center"/>
      <protection/>
    </xf>
    <xf numFmtId="0" fontId="73" fillId="0" borderId="13" xfId="56" applyFont="1" applyBorder="1">
      <alignment/>
      <protection/>
    </xf>
    <xf numFmtId="0" fontId="1" fillId="0" borderId="15" xfId="56" applyFont="1" applyBorder="1">
      <alignment/>
      <protection/>
    </xf>
    <xf numFmtId="0" fontId="74" fillId="0" borderId="21" xfId="56" applyFont="1" applyBorder="1" applyAlignment="1">
      <alignment horizontal="center"/>
      <protection/>
    </xf>
    <xf numFmtId="2" fontId="75" fillId="0" borderId="21" xfId="56" applyNumberFormat="1" applyFont="1" applyBorder="1" applyAlignment="1">
      <alignment horizontal="center"/>
      <protection/>
    </xf>
    <xf numFmtId="0" fontId="76" fillId="0" borderId="21" xfId="56" applyFont="1" applyBorder="1">
      <alignment/>
      <protection/>
    </xf>
    <xf numFmtId="0" fontId="1" fillId="0" borderId="21" xfId="56" applyBorder="1">
      <alignment/>
      <protection/>
    </xf>
    <xf numFmtId="0" fontId="1" fillId="0" borderId="16" xfId="56" applyBorder="1">
      <alignment/>
      <protection/>
    </xf>
    <xf numFmtId="1" fontId="1" fillId="0" borderId="0" xfId="56" applyNumberFormat="1" applyBorder="1" applyAlignment="1">
      <alignment horizontal="center"/>
      <protection/>
    </xf>
    <xf numFmtId="0" fontId="73" fillId="0" borderId="17" xfId="56" applyFont="1" applyBorder="1">
      <alignment/>
      <protection/>
    </xf>
    <xf numFmtId="0" fontId="3" fillId="0" borderId="18" xfId="56" applyFont="1" applyBorder="1" applyAlignment="1" applyProtection="1">
      <alignment horizontal="left"/>
      <protection/>
    </xf>
    <xf numFmtId="0" fontId="6" fillId="0" borderId="18" xfId="56" applyFont="1" applyBorder="1">
      <alignment/>
      <protection/>
    </xf>
    <xf numFmtId="0" fontId="3" fillId="0" borderId="18" xfId="56" applyFont="1" applyBorder="1" applyAlignment="1">
      <alignment horizontal="center"/>
      <protection/>
    </xf>
    <xf numFmtId="0" fontId="1" fillId="0" borderId="18" xfId="56" applyBorder="1">
      <alignment/>
      <protection/>
    </xf>
    <xf numFmtId="0" fontId="1" fillId="0" borderId="19" xfId="56" applyBorder="1">
      <alignment/>
      <protection/>
    </xf>
    <xf numFmtId="0" fontId="4" fillId="0" borderId="0" xfId="55" applyFont="1" applyFill="1" applyBorder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omahue" xfId="54"/>
    <cellStyle name="Normal_Cuyo" xfId="55"/>
    <cellStyle name="Normal_T0002CUY" xfId="56"/>
    <cellStyle name="Normal_T9904CUY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0</xdr:rowOff>
    </xdr:from>
    <xdr:to>
      <xdr:col>0</xdr:col>
      <xdr:colOff>1000125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990600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990600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28575</xdr:rowOff>
    </xdr:from>
    <xdr:to>
      <xdr:col>1</xdr:col>
      <xdr:colOff>28575</xdr:colOff>
      <xdr:row>1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575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DSCUYO\TBASECU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DSCUYO\TBASEC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</sheetNames>
    <sheetDataSet>
      <sheetData sheetId="0">
        <row r="15">
          <cell r="HP15">
            <v>41487</v>
          </cell>
          <cell r="HQ15">
            <v>41518</v>
          </cell>
          <cell r="HR15">
            <v>41548</v>
          </cell>
          <cell r="HS15">
            <v>41579</v>
          </cell>
          <cell r="HT15">
            <v>41609</v>
          </cell>
          <cell r="HU15">
            <v>41640</v>
          </cell>
          <cell r="HV15">
            <v>41671</v>
          </cell>
          <cell r="HW15">
            <v>41699</v>
          </cell>
          <cell r="HX15">
            <v>41730</v>
          </cell>
          <cell r="HY15">
            <v>41760</v>
          </cell>
          <cell r="HZ15">
            <v>41791</v>
          </cell>
          <cell r="IA15">
            <v>41821</v>
          </cell>
          <cell r="IB15">
            <v>41852</v>
          </cell>
        </row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177.9</v>
          </cell>
          <cell r="HV17">
            <v>1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43</v>
          </cell>
          <cell r="HV18">
            <v>1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53.5</v>
          </cell>
          <cell r="HT19">
            <v>1</v>
          </cell>
          <cell r="HV19">
            <v>1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  <cell r="HR20">
            <v>1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HP22">
            <v>1</v>
          </cell>
          <cell r="HR22">
            <v>1</v>
          </cell>
          <cell r="HW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42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52.9</v>
          </cell>
          <cell r="HV25">
            <v>1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</v>
          </cell>
          <cell r="HS26">
            <v>1</v>
          </cell>
          <cell r="IA26">
            <v>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15.6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19.1</v>
          </cell>
          <cell r="HS28">
            <v>1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19.1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22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22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HP32" t="str">
            <v>XXXX</v>
          </cell>
          <cell r="HQ32" t="str">
            <v>XXXX</v>
          </cell>
          <cell r="HR32" t="str">
            <v>XXXX</v>
          </cell>
          <cell r="HS32" t="str">
            <v>XXXX</v>
          </cell>
          <cell r="HT32" t="str">
            <v>XXXX</v>
          </cell>
          <cell r="HU32" t="str">
            <v>XXXX</v>
          </cell>
          <cell r="HV32" t="str">
            <v>XXXX</v>
          </cell>
          <cell r="HW32" t="str">
            <v>XXXX</v>
          </cell>
          <cell r="HX32" t="str">
            <v>XXXX</v>
          </cell>
          <cell r="HY32" t="str">
            <v>XXXX</v>
          </cell>
          <cell r="HZ32" t="str">
            <v>XXXX</v>
          </cell>
          <cell r="IA32" t="str">
            <v>XXXX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18.1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46.5</v>
          </cell>
        </row>
        <row r="36">
          <cell r="C36">
            <v>20</v>
          </cell>
          <cell r="D36" t="str">
            <v>N AN JUAN - SAN JUAN</v>
          </cell>
          <cell r="E36">
            <v>220</v>
          </cell>
          <cell r="F36">
            <v>4.5</v>
          </cell>
        </row>
        <row r="37">
          <cell r="C37">
            <v>21</v>
          </cell>
          <cell r="D37" t="str">
            <v>SAN JUAN - CAÑADA HONDA</v>
          </cell>
          <cell r="E37">
            <v>132</v>
          </cell>
          <cell r="F37">
            <v>54.4</v>
          </cell>
          <cell r="HW37">
            <v>1</v>
          </cell>
        </row>
        <row r="42">
          <cell r="HP42">
            <v>0.8</v>
          </cell>
          <cell r="HQ42">
            <v>0.8</v>
          </cell>
          <cell r="HR42">
            <v>0.72</v>
          </cell>
          <cell r="HS42">
            <v>0.72</v>
          </cell>
          <cell r="HT42">
            <v>0.8</v>
          </cell>
          <cell r="HU42">
            <v>0.88</v>
          </cell>
          <cell r="HV42">
            <v>0.72</v>
          </cell>
          <cell r="HW42">
            <v>1.04</v>
          </cell>
          <cell r="HX42">
            <v>1.2</v>
          </cell>
          <cell r="HY42">
            <v>1.2</v>
          </cell>
          <cell r="HZ42">
            <v>1.04</v>
          </cell>
          <cell r="IA42">
            <v>0.96</v>
          </cell>
          <cell r="IB42">
            <v>1.04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aperez\Configuraci&#65533;n%20local\Temp\7zO34.tmp\DISTROCUYO\FABI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18.8515625" style="10" customWidth="1"/>
    <col min="2" max="2" width="7.7109375" style="10" customWidth="1"/>
    <col min="3" max="3" width="9.8515625" style="10" customWidth="1"/>
    <col min="4" max="4" width="8.421875" style="10" customWidth="1"/>
    <col min="5" max="5" width="9.421875" style="10" customWidth="1"/>
    <col min="6" max="7" width="17.7109375" style="10" customWidth="1"/>
    <col min="8" max="8" width="8.00390625" style="10" customWidth="1"/>
    <col min="9" max="9" width="15.7109375" style="10" customWidth="1"/>
    <col min="10" max="10" width="13.281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6" customFormat="1" ht="26.25">
      <c r="B1" s="7"/>
      <c r="K1" s="395"/>
    </row>
    <row r="2" spans="2:10" s="6" customFormat="1" ht="26.25">
      <c r="B2" s="7" t="s">
        <v>185</v>
      </c>
      <c r="C2" s="8"/>
      <c r="D2" s="9"/>
      <c r="E2" s="9"/>
      <c r="F2" s="9"/>
      <c r="G2" s="9"/>
      <c r="H2" s="9"/>
      <c r="I2" s="9"/>
      <c r="J2" s="9"/>
    </row>
    <row r="3" spans="3:19" ht="12.75">
      <c r="C3" s="1"/>
      <c r="D3" s="11"/>
      <c r="E3" s="11"/>
      <c r="F3" s="11"/>
      <c r="G3" s="11"/>
      <c r="H3" s="11"/>
      <c r="I3" s="11"/>
      <c r="J3" s="11"/>
      <c r="P3" s="12"/>
      <c r="Q3" s="12"/>
      <c r="R3" s="12"/>
      <c r="S3" s="12"/>
    </row>
    <row r="4" spans="1:19" s="13" customFormat="1" ht="11.25">
      <c r="A4" s="507" t="s">
        <v>3</v>
      </c>
      <c r="B4" s="50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507" t="s">
        <v>4</v>
      </c>
      <c r="B5" s="50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6" customFormat="1" ht="8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19.5">
      <c r="B7" s="18" t="s">
        <v>0</v>
      </c>
      <c r="C7" s="19"/>
      <c r="D7" s="20"/>
      <c r="E7" s="20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</row>
    <row r="8" spans="9:19" ht="12.75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7" customFormat="1" ht="19.5">
      <c r="B9" s="18" t="s">
        <v>1</v>
      </c>
      <c r="C9" s="19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</row>
    <row r="10" spans="4:19" ht="12.75">
      <c r="D10" s="23"/>
      <c r="E10" s="2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s="17" customFormat="1" ht="19.5">
      <c r="B11" s="18" t="s">
        <v>174</v>
      </c>
      <c r="C11" s="19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4:19" s="24" customFormat="1" ht="16.5" thickBot="1">
      <c r="D12" s="25"/>
      <c r="E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s="24" customFormat="1" ht="16.5" thickTop="1">
      <c r="B13" s="27">
        <v>1</v>
      </c>
      <c r="C13" s="28" t="b">
        <v>0</v>
      </c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</row>
    <row r="14" spans="2:19" s="17" customFormat="1" ht="19.5">
      <c r="B14" s="31" t="s">
        <v>130</v>
      </c>
      <c r="C14" s="32"/>
      <c r="D14" s="33"/>
      <c r="E14" s="34"/>
      <c r="F14" s="34"/>
      <c r="G14" s="34"/>
      <c r="H14" s="34"/>
      <c r="I14" s="21"/>
      <c r="J14" s="35"/>
      <c r="K14" s="22"/>
      <c r="L14" s="22"/>
      <c r="M14" s="22"/>
      <c r="N14" s="22"/>
      <c r="O14" s="22"/>
      <c r="P14" s="22"/>
      <c r="Q14" s="22"/>
      <c r="R14" s="22"/>
      <c r="S14" s="22"/>
    </row>
    <row r="15" spans="2:19" s="17" customFormat="1" ht="19.5" hidden="1">
      <c r="B15" s="36"/>
      <c r="C15" s="37"/>
      <c r="D15" s="37"/>
      <c r="E15" s="22"/>
      <c r="F15" s="38"/>
      <c r="G15" s="38"/>
      <c r="H15" s="38"/>
      <c r="I15" s="22"/>
      <c r="J15" s="39"/>
      <c r="K15" s="22"/>
      <c r="L15" s="22"/>
      <c r="M15" s="22"/>
      <c r="N15" s="22"/>
      <c r="O15" s="22"/>
      <c r="P15" s="22"/>
      <c r="Q15" s="22"/>
      <c r="R15" s="22"/>
      <c r="S15" s="22"/>
    </row>
    <row r="16" spans="2:19" s="17" customFormat="1" ht="19.5" hidden="1">
      <c r="B16" s="31" t="s">
        <v>5</v>
      </c>
      <c r="C16" s="40"/>
      <c r="D16" s="40"/>
      <c r="E16" s="21"/>
      <c r="F16" s="34"/>
      <c r="G16" s="34"/>
      <c r="H16" s="34"/>
      <c r="I16" s="21"/>
      <c r="J16" s="35"/>
      <c r="K16" s="1"/>
      <c r="L16" s="22"/>
      <c r="M16" s="22"/>
      <c r="N16" s="22"/>
      <c r="O16" s="22"/>
      <c r="P16" s="22"/>
      <c r="Q16" s="22"/>
      <c r="R16" s="22"/>
      <c r="S16" s="22"/>
    </row>
    <row r="17" spans="2:19" s="17" customFormat="1" ht="19.5">
      <c r="B17" s="36"/>
      <c r="C17" s="37"/>
      <c r="D17" s="37"/>
      <c r="E17" s="22"/>
      <c r="F17" s="38"/>
      <c r="G17" s="38"/>
      <c r="H17" s="38"/>
      <c r="I17" s="22"/>
      <c r="J17" s="39"/>
      <c r="K17" s="1"/>
      <c r="L17" s="22"/>
      <c r="M17" s="22"/>
      <c r="N17" s="22"/>
      <c r="O17" s="22"/>
      <c r="P17" s="22"/>
      <c r="Q17" s="22"/>
      <c r="R17" s="22"/>
      <c r="S17" s="22"/>
    </row>
    <row r="18" spans="2:19" s="17" customFormat="1" ht="19.5">
      <c r="B18" s="36"/>
      <c r="C18" s="41" t="s">
        <v>6</v>
      </c>
      <c r="D18" s="42" t="s">
        <v>2</v>
      </c>
      <c r="E18" s="22"/>
      <c r="F18" s="38"/>
      <c r="G18" s="38"/>
      <c r="H18" s="38"/>
      <c r="I18" s="43">
        <f>'LI-08 (1)'!AA42</f>
        <v>296347.14</v>
      </c>
      <c r="J18" s="39"/>
      <c r="K18" s="22"/>
      <c r="L18" s="22"/>
      <c r="M18" s="22"/>
      <c r="N18" s="22"/>
      <c r="O18" s="22"/>
      <c r="P18" s="22"/>
      <c r="Q18" s="22"/>
      <c r="R18" s="22"/>
      <c r="S18" s="22"/>
    </row>
    <row r="19" spans="2:19" ht="13.5">
      <c r="B19" s="44"/>
      <c r="C19" s="45"/>
      <c r="D19" s="46"/>
      <c r="E19" s="12"/>
      <c r="F19" s="47"/>
      <c r="G19" s="47"/>
      <c r="H19" s="47"/>
      <c r="I19" s="48"/>
      <c r="J19" s="49"/>
      <c r="K19" s="12"/>
      <c r="L19" s="12"/>
      <c r="M19" s="12"/>
      <c r="N19" s="12"/>
      <c r="O19" s="12"/>
      <c r="P19" s="12"/>
      <c r="Q19" s="12"/>
      <c r="R19" s="12"/>
      <c r="S19" s="12"/>
    </row>
    <row r="20" spans="2:19" s="17" customFormat="1" ht="19.5">
      <c r="B20" s="36"/>
      <c r="C20" s="41" t="s">
        <v>7</v>
      </c>
      <c r="D20" s="42" t="s">
        <v>8</v>
      </c>
      <c r="E20" s="22"/>
      <c r="F20" s="38"/>
      <c r="G20" s="38"/>
      <c r="H20" s="38"/>
      <c r="I20" s="43"/>
      <c r="J20" s="39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13.5">
      <c r="B21" s="44"/>
      <c r="C21" s="45"/>
      <c r="D21" s="45"/>
      <c r="E21" s="12"/>
      <c r="F21" s="47"/>
      <c r="G21" s="47"/>
      <c r="H21" s="47"/>
      <c r="I21" s="50"/>
      <c r="J21" s="49"/>
      <c r="K21" s="12"/>
      <c r="L21" s="12"/>
      <c r="M21" s="12"/>
      <c r="N21" s="12"/>
      <c r="O21" s="12"/>
      <c r="P21" s="12"/>
      <c r="Q21" s="12"/>
      <c r="R21" s="12"/>
      <c r="S21" s="12"/>
    </row>
    <row r="22" spans="2:19" s="17" customFormat="1" ht="19.5">
      <c r="B22" s="36"/>
      <c r="C22" s="41"/>
      <c r="D22" s="41" t="s">
        <v>9</v>
      </c>
      <c r="E22" s="51" t="s">
        <v>10</v>
      </c>
      <c r="F22" s="38"/>
      <c r="G22" s="38"/>
      <c r="H22" s="38"/>
      <c r="I22" s="43">
        <f>'T-08 (1)'!AC43</f>
        <v>9009.68</v>
      </c>
      <c r="J22" s="39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3.5">
      <c r="B23" s="44"/>
      <c r="C23" s="45"/>
      <c r="D23" s="45"/>
      <c r="E23" s="12"/>
      <c r="F23" s="47"/>
      <c r="G23" s="47"/>
      <c r="H23" s="47"/>
      <c r="I23" s="50"/>
      <c r="J23" s="49"/>
      <c r="K23" s="12"/>
      <c r="L23" s="12"/>
      <c r="M23" s="12"/>
      <c r="N23" s="12"/>
      <c r="O23" s="12"/>
      <c r="P23" s="12"/>
      <c r="Q23" s="12"/>
      <c r="R23" s="12"/>
      <c r="S23" s="12"/>
    </row>
    <row r="24" spans="2:19" s="17" customFormat="1" ht="19.5">
      <c r="B24" s="36"/>
      <c r="C24" s="41"/>
      <c r="D24" s="41" t="s">
        <v>11</v>
      </c>
      <c r="E24" s="51" t="s">
        <v>12</v>
      </c>
      <c r="F24" s="38"/>
      <c r="G24" s="38"/>
      <c r="H24" s="38"/>
      <c r="I24" s="43">
        <f>'SA-08 (1)'!V43</f>
        <v>6283.52</v>
      </c>
      <c r="J24" s="39"/>
      <c r="K24" s="22"/>
      <c r="L24" s="22"/>
      <c r="M24" s="22"/>
      <c r="N24" s="22"/>
      <c r="O24" s="22"/>
      <c r="P24" s="22"/>
      <c r="Q24" s="22"/>
      <c r="R24" s="22"/>
      <c r="S24" s="22"/>
    </row>
    <row r="25" spans="2:19" s="17" customFormat="1" ht="19.5">
      <c r="B25" s="36"/>
      <c r="C25" s="37"/>
      <c r="D25" s="37"/>
      <c r="E25" s="51"/>
      <c r="F25" s="38"/>
      <c r="G25" s="38"/>
      <c r="H25" s="38"/>
      <c r="I25" s="43"/>
      <c r="J25" s="39"/>
      <c r="K25" s="22"/>
      <c r="L25" s="22"/>
      <c r="M25" s="22"/>
      <c r="N25" s="22"/>
      <c r="O25" s="22"/>
      <c r="P25" s="22"/>
      <c r="Q25" s="22"/>
      <c r="R25" s="22"/>
      <c r="S25" s="22"/>
    </row>
    <row r="26" spans="2:19" s="17" customFormat="1" ht="19.5">
      <c r="B26" s="36"/>
      <c r="C26" s="37"/>
      <c r="D26" s="37"/>
      <c r="E26" s="22"/>
      <c r="F26" s="38"/>
      <c r="G26" s="38"/>
      <c r="H26" s="38"/>
      <c r="I26" s="52"/>
      <c r="J26" s="39"/>
      <c r="K26" s="22"/>
      <c r="L26" s="22"/>
      <c r="M26" s="22"/>
      <c r="N26" s="22"/>
      <c r="O26" s="22"/>
      <c r="P26" s="22"/>
      <c r="Q26" s="22"/>
      <c r="R26" s="22"/>
      <c r="S26" s="22"/>
    </row>
    <row r="27" spans="2:19" s="17" customFormat="1" ht="20.25" thickBot="1">
      <c r="B27" s="36"/>
      <c r="C27" s="37"/>
      <c r="D27" s="37"/>
      <c r="E27" s="22"/>
      <c r="F27" s="38"/>
      <c r="G27" s="38"/>
      <c r="H27" s="38"/>
      <c r="I27" s="22"/>
      <c r="J27" s="39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7" customFormat="1" ht="20.25" thickBot="1" thickTop="1">
      <c r="B28" s="36"/>
      <c r="C28" s="41"/>
      <c r="D28" s="41"/>
      <c r="F28" s="53" t="s">
        <v>13</v>
      </c>
      <c r="G28" s="54">
        <f>SUM(I18:I26)</f>
        <v>311640.34</v>
      </c>
      <c r="H28" s="55"/>
      <c r="J28" s="39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7" customFormat="1" ht="19.5" thickTop="1">
      <c r="B29" s="36"/>
      <c r="C29" s="41"/>
      <c r="D29" s="41"/>
      <c r="F29" s="397"/>
      <c r="G29" s="55"/>
      <c r="H29" s="55"/>
      <c r="J29" s="39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7" customFormat="1" ht="18.75">
      <c r="B30" s="36"/>
      <c r="C30" s="398" t="s">
        <v>173</v>
      </c>
      <c r="D30" s="41"/>
      <c r="F30" s="397"/>
      <c r="G30" s="55"/>
      <c r="H30" s="55"/>
      <c r="J30" s="39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24" customFormat="1" ht="16.5" thickBot="1">
      <c r="B31" s="56"/>
      <c r="C31" s="57"/>
      <c r="D31" s="57"/>
      <c r="E31" s="58"/>
      <c r="F31" s="58"/>
      <c r="G31" s="58"/>
      <c r="H31" s="58"/>
      <c r="I31" s="58"/>
      <c r="J31" s="59"/>
      <c r="K31" s="26"/>
      <c r="L31" s="26"/>
      <c r="M31" s="60"/>
      <c r="N31" s="61"/>
      <c r="O31" s="61"/>
      <c r="P31" s="62"/>
      <c r="Q31" s="63"/>
      <c r="R31" s="26"/>
      <c r="S31" s="26"/>
    </row>
    <row r="32" spans="4:19" ht="13.5" thickTop="1">
      <c r="D32" s="12"/>
      <c r="F32" s="12"/>
      <c r="G32" s="12"/>
      <c r="H32" s="12"/>
      <c r="I32" s="12"/>
      <c r="J32" s="12"/>
      <c r="K32" s="12"/>
      <c r="L32" s="12"/>
      <c r="M32" s="64"/>
      <c r="N32" s="65"/>
      <c r="O32" s="65"/>
      <c r="P32" s="12"/>
      <c r="Q32" s="4"/>
      <c r="R32" s="12"/>
      <c r="S32" s="12"/>
    </row>
    <row r="33" spans="4:19" ht="12.75">
      <c r="D33" s="12"/>
      <c r="F33" s="12"/>
      <c r="G33" s="12"/>
      <c r="H33" s="12"/>
      <c r="I33" s="12"/>
      <c r="J33" s="12"/>
      <c r="K33" s="12"/>
      <c r="L33" s="12"/>
      <c r="M33" s="12"/>
      <c r="N33" s="66"/>
      <c r="O33" s="66"/>
      <c r="P33" s="67"/>
      <c r="Q33" s="4"/>
      <c r="R33" s="12"/>
      <c r="S33" s="12"/>
    </row>
    <row r="34" spans="4:19" ht="12.7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66"/>
      <c r="O34" s="66"/>
      <c r="P34" s="67"/>
      <c r="Q34" s="4"/>
      <c r="R34" s="12"/>
      <c r="S34" s="12"/>
    </row>
    <row r="35" spans="4:19" ht="12.75">
      <c r="D35" s="12"/>
      <c r="E35" s="12"/>
      <c r="L35" s="12"/>
      <c r="M35" s="12"/>
      <c r="N35" s="12"/>
      <c r="O35" s="12"/>
      <c r="P35" s="12"/>
      <c r="Q35" s="12"/>
      <c r="R35" s="12"/>
      <c r="S35" s="12"/>
    </row>
    <row r="36" spans="4:19" ht="12.75">
      <c r="D36" s="12"/>
      <c r="E36" s="12"/>
      <c r="P36" s="12"/>
      <c r="Q36" s="12"/>
      <c r="R36" s="12"/>
      <c r="S36" s="12"/>
    </row>
    <row r="37" spans="4:19" ht="12.75">
      <c r="D37" s="12"/>
      <c r="E37" s="12"/>
      <c r="P37" s="12"/>
      <c r="Q37" s="12"/>
      <c r="R37" s="12"/>
      <c r="S37" s="12"/>
    </row>
    <row r="38" spans="4:19" ht="12.75">
      <c r="D38" s="12"/>
      <c r="E38" s="12"/>
      <c r="P38" s="12"/>
      <c r="Q38" s="12"/>
      <c r="R38" s="12"/>
      <c r="S38" s="12"/>
    </row>
    <row r="39" spans="4:19" ht="12.75">
      <c r="D39" s="12"/>
      <c r="E39" s="12"/>
      <c r="P39" s="12"/>
      <c r="Q39" s="12"/>
      <c r="R39" s="12"/>
      <c r="S39" s="12"/>
    </row>
    <row r="40" spans="4:19" ht="12.75">
      <c r="D40" s="12"/>
      <c r="E40" s="12"/>
      <c r="P40" s="12"/>
      <c r="Q40" s="12"/>
      <c r="R40" s="12"/>
      <c r="S40" s="12"/>
    </row>
    <row r="41" spans="16:19" ht="12.75">
      <c r="P41" s="12"/>
      <c r="Q41" s="12"/>
      <c r="R41" s="12"/>
      <c r="S41" s="12"/>
    </row>
    <row r="42" spans="16:19" ht="12.75">
      <c r="P42" s="12"/>
      <c r="Q42" s="12"/>
      <c r="R42" s="12"/>
      <c r="S42" s="12"/>
    </row>
  </sheetData>
  <sheetProtection/>
  <mergeCells count="2">
    <mergeCell ref="A4:B4"/>
    <mergeCell ref="A5:B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6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B90"/>
  <sheetViews>
    <sheetView zoomScale="75" zoomScaleNormal="75" zoomScalePageLayoutView="0" workbookViewId="0" topLeftCell="A1">
      <selection activeCell="M14" sqref="M14"/>
    </sheetView>
  </sheetViews>
  <sheetFormatPr defaultColWidth="11.421875" defaultRowHeight="12.75"/>
  <cols>
    <col min="1" max="1" width="19.5742187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4.28125" style="1" hidden="1" customWidth="1"/>
    <col min="10" max="10" width="16.421875" style="1" customWidth="1"/>
    <col min="11" max="11" width="16.710937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5"/>
    </row>
    <row r="2" spans="2:28" s="6" customFormat="1" ht="26.25">
      <c r="B2" s="68" t="str">
        <f>+'TOT-0814'!B2</f>
        <v>ANEXO III al Memorandum D.T.E.E. N°        306    / 2015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70" t="s">
        <v>3</v>
      </c>
      <c r="B4" s="70"/>
    </row>
    <row r="5" spans="1:2" s="13" customFormat="1" ht="11.25">
      <c r="A5" s="70" t="s">
        <v>4</v>
      </c>
      <c r="B5" s="70"/>
    </row>
    <row r="6" s="10" customFormat="1" ht="16.5" customHeight="1" thickBot="1"/>
    <row r="7" spans="2:28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2:28" s="74" customFormat="1" ht="20.25">
      <c r="B8" s="75"/>
      <c r="F8" s="76" t="s">
        <v>14</v>
      </c>
      <c r="G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</row>
    <row r="9" spans="2:28" s="10" customFormat="1" ht="16.5" customHeight="1">
      <c r="B9" s="44"/>
      <c r="F9" s="79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4" customFormat="1" ht="20.25">
      <c r="B10" s="75"/>
      <c r="F10" s="76" t="s">
        <v>15</v>
      </c>
      <c r="G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2:28" s="10" customFormat="1" ht="16.5" customHeight="1">
      <c r="B11" s="44"/>
      <c r="C11" s="79"/>
      <c r="D11" s="79"/>
      <c r="E11" s="79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</row>
    <row r="12" spans="2:28" s="17" customFormat="1" ht="19.5">
      <c r="B12" s="31" t="str">
        <f>+'TOT-0814'!B14</f>
        <v>Desde el 01 al 31 de agosto de 2014</v>
      </c>
      <c r="C12" s="80"/>
      <c r="D12" s="80"/>
      <c r="E12" s="80"/>
      <c r="F12" s="34"/>
      <c r="G12" s="34"/>
      <c r="H12" s="81"/>
      <c r="I12" s="82"/>
      <c r="J12" s="81"/>
      <c r="K12" s="82"/>
      <c r="L12" s="82"/>
      <c r="M12" s="82"/>
      <c r="N12" s="82"/>
      <c r="O12" s="82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83"/>
    </row>
    <row r="13" spans="2:28" s="10" customFormat="1" ht="16.5" customHeight="1" thickBot="1">
      <c r="B13" s="44"/>
      <c r="C13" s="12"/>
      <c r="D13" s="12"/>
      <c r="E13" s="12"/>
      <c r="F13" s="12"/>
      <c r="G13" s="84"/>
      <c r="H13" s="85"/>
      <c r="I13" s="86"/>
      <c r="J13" s="86"/>
      <c r="K13" s="86"/>
      <c r="L13" s="86"/>
      <c r="M13" s="86"/>
      <c r="N13" s="86"/>
      <c r="O13" s="8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9"/>
    </row>
    <row r="14" spans="2:28" s="10" customFormat="1" ht="16.5" customHeight="1" thickBot="1" thickTop="1">
      <c r="B14" s="44"/>
      <c r="C14" s="12"/>
      <c r="D14" s="12"/>
      <c r="E14" s="12"/>
      <c r="F14" s="87" t="s">
        <v>16</v>
      </c>
      <c r="G14" s="88">
        <v>483.161</v>
      </c>
      <c r="H14" s="89"/>
      <c r="I14" s="86"/>
      <c r="J14" s="86"/>
      <c r="K14" s="86"/>
      <c r="L14" s="86"/>
      <c r="M14" s="86"/>
      <c r="N14" s="86"/>
      <c r="O14" s="8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6.5" customHeight="1" thickBot="1" thickTop="1">
      <c r="B15" s="44"/>
      <c r="C15" s="12"/>
      <c r="D15" s="12"/>
      <c r="E15" s="12"/>
      <c r="F15" s="87" t="s">
        <v>17</v>
      </c>
      <c r="G15" s="88">
        <v>461.689</v>
      </c>
      <c r="H15" s="90"/>
      <c r="I15" s="12"/>
      <c r="J15" s="91"/>
      <c r="K15" s="92" t="s">
        <v>18</v>
      </c>
      <c r="L15" s="93">
        <f>30*'TOT-0814'!B13</f>
        <v>30</v>
      </c>
      <c r="M15" s="94" t="str">
        <f>IF(L15=30," ",IF(L15=60,"Coeficiente duplicado por tasa de falla &gt;4 Sal. x año/100 km.","REVISAR COEFICIENTE"))</f>
        <v> 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6.5" customHeight="1" thickBot="1" thickTop="1">
      <c r="B16" s="44"/>
      <c r="C16" s="12"/>
      <c r="D16" s="12"/>
      <c r="E16" s="12"/>
      <c r="F16" s="87" t="s">
        <v>19</v>
      </c>
      <c r="G16" s="88" t="s">
        <v>164</v>
      </c>
      <c r="H16" s="90"/>
      <c r="I16" s="12"/>
      <c r="J16" s="12"/>
      <c r="K16" s="12"/>
      <c r="L16" s="50"/>
      <c r="M16" s="9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6.5" customHeight="1" thickBot="1" thickTop="1">
      <c r="B17" s="44"/>
      <c r="C17" s="12"/>
      <c r="D17" s="417">
        <v>4</v>
      </c>
      <c r="E17" s="417">
        <v>5</v>
      </c>
      <c r="F17" s="417">
        <v>6</v>
      </c>
      <c r="G17" s="417">
        <v>7</v>
      </c>
      <c r="H17" s="417">
        <v>8</v>
      </c>
      <c r="I17" s="417">
        <v>9</v>
      </c>
      <c r="J17" s="417">
        <v>10</v>
      </c>
      <c r="K17" s="417">
        <v>11</v>
      </c>
      <c r="L17" s="417">
        <v>12</v>
      </c>
      <c r="M17" s="417">
        <v>13</v>
      </c>
      <c r="N17" s="417">
        <v>14</v>
      </c>
      <c r="O17" s="417">
        <v>15</v>
      </c>
      <c r="P17" s="417">
        <v>16</v>
      </c>
      <c r="Q17" s="417">
        <v>17</v>
      </c>
      <c r="R17" s="417">
        <v>18</v>
      </c>
      <c r="S17" s="417">
        <v>19</v>
      </c>
      <c r="T17" s="417">
        <v>20</v>
      </c>
      <c r="U17" s="417">
        <v>21</v>
      </c>
      <c r="V17" s="417">
        <v>22</v>
      </c>
      <c r="W17" s="417">
        <v>23</v>
      </c>
      <c r="X17" s="417">
        <v>24</v>
      </c>
      <c r="Y17" s="417">
        <v>25</v>
      </c>
      <c r="Z17" s="417">
        <v>26</v>
      </c>
      <c r="AA17" s="417">
        <v>27</v>
      </c>
      <c r="AB17" s="49"/>
    </row>
    <row r="18" spans="2:28" s="96" customFormat="1" ht="34.5" customHeight="1" thickBot="1" thickTop="1">
      <c r="B18" s="97"/>
      <c r="C18" s="400" t="s">
        <v>20</v>
      </c>
      <c r="D18" s="400" t="s">
        <v>74</v>
      </c>
      <c r="E18" s="400" t="s">
        <v>75</v>
      </c>
      <c r="F18" s="98" t="s">
        <v>2</v>
      </c>
      <c r="G18" s="99" t="s">
        <v>21</v>
      </c>
      <c r="H18" s="99" t="s">
        <v>22</v>
      </c>
      <c r="I18" s="100" t="s">
        <v>23</v>
      </c>
      <c r="J18" s="98" t="s">
        <v>24</v>
      </c>
      <c r="K18" s="98" t="s">
        <v>25</v>
      </c>
      <c r="L18" s="99" t="s">
        <v>26</v>
      </c>
      <c r="M18" s="99" t="s">
        <v>27</v>
      </c>
      <c r="N18" s="99" t="s">
        <v>72</v>
      </c>
      <c r="O18" s="99" t="s">
        <v>28</v>
      </c>
      <c r="P18" s="101" t="s">
        <v>29</v>
      </c>
      <c r="Q18" s="102" t="s">
        <v>30</v>
      </c>
      <c r="R18" s="103" t="s">
        <v>31</v>
      </c>
      <c r="S18" s="104"/>
      <c r="T18" s="105"/>
      <c r="U18" s="106" t="s">
        <v>32</v>
      </c>
      <c r="V18" s="107"/>
      <c r="W18" s="108"/>
      <c r="X18" s="109" t="s">
        <v>33</v>
      </c>
      <c r="Y18" s="110" t="s">
        <v>34</v>
      </c>
      <c r="Z18" s="111" t="s">
        <v>35</v>
      </c>
      <c r="AA18" s="111" t="s">
        <v>36</v>
      </c>
      <c r="AB18" s="112"/>
    </row>
    <row r="19" spans="2:28" s="10" customFormat="1" ht="16.5" customHeight="1" thickTop="1">
      <c r="B19" s="44"/>
      <c r="C19" s="113"/>
      <c r="D19" s="113"/>
      <c r="E19" s="113"/>
      <c r="F19" s="114"/>
      <c r="G19" s="113"/>
      <c r="H19" s="113"/>
      <c r="I19" s="115"/>
      <c r="J19" s="113"/>
      <c r="K19" s="114"/>
      <c r="L19" s="116"/>
      <c r="M19" s="116"/>
      <c r="N19" s="113"/>
      <c r="O19" s="113"/>
      <c r="P19" s="117"/>
      <c r="Q19" s="118"/>
      <c r="R19" s="119"/>
      <c r="S19" s="120"/>
      <c r="T19" s="120"/>
      <c r="U19" s="121"/>
      <c r="V19" s="121"/>
      <c r="W19" s="121"/>
      <c r="X19" s="122"/>
      <c r="Y19" s="123"/>
      <c r="Z19" s="113"/>
      <c r="AA19" s="124"/>
      <c r="AB19" s="49"/>
    </row>
    <row r="20" spans="2:28" s="10" customFormat="1" ht="16.5" customHeight="1">
      <c r="B20" s="44"/>
      <c r="C20" s="125"/>
      <c r="D20" s="125"/>
      <c r="E20" s="125"/>
      <c r="F20" s="126"/>
      <c r="G20" s="126"/>
      <c r="H20" s="125"/>
      <c r="I20" s="127"/>
      <c r="J20" s="125"/>
      <c r="K20" s="128"/>
      <c r="L20" s="129"/>
      <c r="M20" s="129"/>
      <c r="N20" s="125"/>
      <c r="O20" s="125"/>
      <c r="P20" s="130"/>
      <c r="Q20" s="131"/>
      <c r="R20" s="132"/>
      <c r="S20" s="133"/>
      <c r="T20" s="133"/>
      <c r="U20" s="134"/>
      <c r="V20" s="134"/>
      <c r="W20" s="134"/>
      <c r="X20" s="135"/>
      <c r="Y20" s="136"/>
      <c r="Z20" s="125"/>
      <c r="AA20" s="137"/>
      <c r="AB20" s="49"/>
    </row>
    <row r="21" spans="2:28" s="10" customFormat="1" ht="16.5" customHeight="1">
      <c r="B21" s="44"/>
      <c r="C21" s="128">
        <v>1</v>
      </c>
      <c r="D21" s="128">
        <v>277547</v>
      </c>
      <c r="E21" s="128">
        <v>697</v>
      </c>
      <c r="F21" s="126" t="s">
        <v>131</v>
      </c>
      <c r="G21" s="126">
        <v>220</v>
      </c>
      <c r="H21" s="138">
        <v>177.8699951171875</v>
      </c>
      <c r="I21" s="139">
        <f aca="true" t="shared" si="0" ref="I21:I40">IF(G21=220,$G$14*IF(H21&gt;25,H21,25),IF(G21=132,$G$15*IF(H21&gt;25,+H21,25),$G$16*IF(H21&gt;25,H21,25)))/100</f>
        <v>859.3984471081544</v>
      </c>
      <c r="J21" s="140">
        <v>41858.94652777778</v>
      </c>
      <c r="K21" s="140">
        <v>41858.99375</v>
      </c>
      <c r="L21" s="141">
        <f aca="true" t="shared" si="1" ref="L21:L40">IF(F21="","",(K21-J21)*24)</f>
        <v>1.133333333360497</v>
      </c>
      <c r="M21" s="142">
        <f aca="true" t="shared" si="2" ref="M21:M40">IF(F21="","",ROUND((K21-J21)*24*60,0))</f>
        <v>68</v>
      </c>
      <c r="N21" s="143" t="s">
        <v>132</v>
      </c>
      <c r="O21" s="143" t="s">
        <v>133</v>
      </c>
      <c r="P21" s="145" t="str">
        <f aca="true" t="shared" si="3" ref="P21:P40">IF(N21="P",ROUND(M21/60,2)*I21*$L$15*0.01,"--")</f>
        <v>--</v>
      </c>
      <c r="Q21" s="146" t="str">
        <f aca="true" t="shared" si="4" ref="Q21:Q40">IF(N21="RP",ROUND(M21/60,2)*I21*$L$15*0.01*O21/100,"--")</f>
        <v>--</v>
      </c>
      <c r="R21" s="147">
        <f aca="true" t="shared" si="5" ref="R21:R40">IF(N21="F",I21*$L$15,"--")</f>
        <v>25781.95341324463</v>
      </c>
      <c r="S21" s="147">
        <f aca="true" t="shared" si="6" ref="S21:S40">IF(AND(M21&gt;10,N21="F"),$L$15*I21*IF(M21&gt;180,3,ROUND((M21)/60,2)),"--")</f>
        <v>29133.60735696643</v>
      </c>
      <c r="T21" s="148" t="str">
        <f aca="true" t="shared" si="7" ref="T21:T40">IF(AND(N21="F",M21&gt;180),(ROUND(M21/60,2)-3)*I21*$L$15*0.1,"--")</f>
        <v>--</v>
      </c>
      <c r="U21" s="149" t="str">
        <f aca="true" t="shared" si="8" ref="U21:U40">IF(N21="R",I21*$L$15*O21/100,"--")</f>
        <v>--</v>
      </c>
      <c r="V21" s="149" t="str">
        <f aca="true" t="shared" si="9" ref="V21:V40">IF(AND(M21&gt;10,N21="R"),$L$15*I21*O21/100*IF(M21&gt;180,3,ROUND((M21)/60,2)),"--")</f>
        <v>--</v>
      </c>
      <c r="W21" s="150" t="str">
        <f aca="true" t="shared" si="10" ref="W21:W40">IF(AND(N21="R",M21&gt;180),(ROUND(M21/60,2)-3)*I21*$L$15*0.1*O21/100,"--")</f>
        <v>--</v>
      </c>
      <c r="X21" s="151" t="str">
        <f aca="true" t="shared" si="11" ref="X21:X40">IF(N21="RF",ROUND(M21/60,2)*I21*$L$15*0.1,"--")</f>
        <v>--</v>
      </c>
      <c r="Y21" s="152" t="str">
        <f aca="true" t="shared" si="12" ref="Y21:Y40">IF(N21="RR",ROUND(M21/60,2)*I21*$L$15*0.1*O21/100,"--")</f>
        <v>--</v>
      </c>
      <c r="Z21" s="153" t="str">
        <f aca="true" t="shared" si="13" ref="Z21:Z40">IF(F21="","","SI")</f>
        <v>SI</v>
      </c>
      <c r="AA21" s="154">
        <f aca="true" t="shared" si="14" ref="AA21:AA40">IF(F21="","",SUM(P21:Y21)*IF(Z21="SI",1,2))</f>
        <v>54915.56077021106</v>
      </c>
      <c r="AB21" s="155"/>
    </row>
    <row r="22" spans="2:28" s="10" customFormat="1" ht="16.5" customHeight="1">
      <c r="B22" s="44"/>
      <c r="C22" s="128">
        <v>2</v>
      </c>
      <c r="D22" s="128">
        <v>277548</v>
      </c>
      <c r="E22" s="128">
        <v>714</v>
      </c>
      <c r="F22" s="126" t="s">
        <v>134</v>
      </c>
      <c r="G22" s="126">
        <v>132</v>
      </c>
      <c r="H22" s="138">
        <v>122.12999725341797</v>
      </c>
      <c r="I22" s="139">
        <f t="shared" si="0"/>
        <v>563.8607630193329</v>
      </c>
      <c r="J22" s="140">
        <v>41859.410416666666</v>
      </c>
      <c r="K22" s="140">
        <v>41859.74930555555</v>
      </c>
      <c r="L22" s="141">
        <f t="shared" si="1"/>
        <v>8.13333333330229</v>
      </c>
      <c r="M22" s="142">
        <f t="shared" si="2"/>
        <v>488</v>
      </c>
      <c r="N22" s="143" t="s">
        <v>135</v>
      </c>
      <c r="O22" s="143" t="s">
        <v>133</v>
      </c>
      <c r="P22" s="145">
        <f t="shared" si="3"/>
        <v>1375.256401004153</v>
      </c>
      <c r="Q22" s="146" t="str">
        <f t="shared" si="4"/>
        <v>--</v>
      </c>
      <c r="R22" s="147" t="str">
        <f t="shared" si="5"/>
        <v>--</v>
      </c>
      <c r="S22" s="147" t="str">
        <f t="shared" si="6"/>
        <v>--</v>
      </c>
      <c r="T22" s="148" t="str">
        <f t="shared" si="7"/>
        <v>--</v>
      </c>
      <c r="U22" s="149" t="str">
        <f t="shared" si="8"/>
        <v>--</v>
      </c>
      <c r="V22" s="149" t="str">
        <f t="shared" si="9"/>
        <v>--</v>
      </c>
      <c r="W22" s="150" t="str">
        <f t="shared" si="10"/>
        <v>--</v>
      </c>
      <c r="X22" s="151" t="str">
        <f t="shared" si="11"/>
        <v>--</v>
      </c>
      <c r="Y22" s="152" t="str">
        <f t="shared" si="12"/>
        <v>--</v>
      </c>
      <c r="Z22" s="153" t="str">
        <f t="shared" si="13"/>
        <v>SI</v>
      </c>
      <c r="AA22" s="154">
        <f t="shared" si="14"/>
        <v>1375.256401004153</v>
      </c>
      <c r="AB22" s="155"/>
    </row>
    <row r="23" spans="2:28" s="10" customFormat="1" ht="16.5" customHeight="1">
      <c r="B23" s="44"/>
      <c r="C23" s="128">
        <v>3</v>
      </c>
      <c r="D23" s="128">
        <v>277862</v>
      </c>
      <c r="E23" s="128">
        <v>714</v>
      </c>
      <c r="F23" s="126" t="s">
        <v>134</v>
      </c>
      <c r="G23" s="126">
        <v>132</v>
      </c>
      <c r="H23" s="138">
        <v>122.12999725341797</v>
      </c>
      <c r="I23" s="139">
        <f t="shared" si="0"/>
        <v>563.8607630193329</v>
      </c>
      <c r="J23" s="140">
        <v>41863.38888888889</v>
      </c>
      <c r="K23" s="140">
        <v>41863.70625</v>
      </c>
      <c r="L23" s="141">
        <f t="shared" si="1"/>
        <v>7.616666666697711</v>
      </c>
      <c r="M23" s="142">
        <f t="shared" si="2"/>
        <v>457</v>
      </c>
      <c r="N23" s="143" t="s">
        <v>135</v>
      </c>
      <c r="O23" s="143" t="s">
        <v>133</v>
      </c>
      <c r="P23" s="145">
        <f t="shared" si="3"/>
        <v>1288.985704262195</v>
      </c>
      <c r="Q23" s="146" t="str">
        <f t="shared" si="4"/>
        <v>--</v>
      </c>
      <c r="R23" s="147" t="str">
        <f t="shared" si="5"/>
        <v>--</v>
      </c>
      <c r="S23" s="147" t="str">
        <f t="shared" si="6"/>
        <v>--</v>
      </c>
      <c r="T23" s="148" t="str">
        <f t="shared" si="7"/>
        <v>--</v>
      </c>
      <c r="U23" s="149" t="str">
        <f t="shared" si="8"/>
        <v>--</v>
      </c>
      <c r="V23" s="149" t="str">
        <f t="shared" si="9"/>
        <v>--</v>
      </c>
      <c r="W23" s="150" t="str">
        <f t="shared" si="10"/>
        <v>--</v>
      </c>
      <c r="X23" s="151" t="str">
        <f t="shared" si="11"/>
        <v>--</v>
      </c>
      <c r="Y23" s="152" t="str">
        <f t="shared" si="12"/>
        <v>--</v>
      </c>
      <c r="Z23" s="153" t="str">
        <f t="shared" si="13"/>
        <v>SI</v>
      </c>
      <c r="AA23" s="154">
        <f t="shared" si="14"/>
        <v>1288.985704262195</v>
      </c>
      <c r="AB23" s="155"/>
    </row>
    <row r="24" spans="2:28" s="10" customFormat="1" ht="16.5" customHeight="1">
      <c r="B24" s="44"/>
      <c r="C24" s="128">
        <v>4</v>
      </c>
      <c r="D24" s="128">
        <v>277860</v>
      </c>
      <c r="E24" s="128">
        <v>697</v>
      </c>
      <c r="F24" s="126" t="s">
        <v>131</v>
      </c>
      <c r="G24" s="126">
        <v>220</v>
      </c>
      <c r="H24" s="138">
        <v>177.8699951171875</v>
      </c>
      <c r="I24" s="139">
        <f t="shared" si="0"/>
        <v>859.3984471081544</v>
      </c>
      <c r="J24" s="140">
        <v>41863.864583333336</v>
      </c>
      <c r="K24" s="140">
        <v>41863.98888888889</v>
      </c>
      <c r="L24" s="141">
        <f t="shared" si="1"/>
        <v>2.983333333279006</v>
      </c>
      <c r="M24" s="142">
        <f t="shared" si="2"/>
        <v>179</v>
      </c>
      <c r="N24" s="143" t="s">
        <v>132</v>
      </c>
      <c r="O24" s="143" t="s">
        <v>133</v>
      </c>
      <c r="P24" s="145" t="str">
        <f t="shared" si="3"/>
        <v>--</v>
      </c>
      <c r="Q24" s="146" t="str">
        <f t="shared" si="4"/>
        <v>--</v>
      </c>
      <c r="R24" s="147">
        <f t="shared" si="5"/>
        <v>25781.95341324463</v>
      </c>
      <c r="S24" s="147">
        <f t="shared" si="6"/>
        <v>76830.221171469</v>
      </c>
      <c r="T24" s="148" t="str">
        <f t="shared" si="7"/>
        <v>--</v>
      </c>
      <c r="U24" s="149" t="str">
        <f t="shared" si="8"/>
        <v>--</v>
      </c>
      <c r="V24" s="149" t="str">
        <f t="shared" si="9"/>
        <v>--</v>
      </c>
      <c r="W24" s="150" t="str">
        <f t="shared" si="10"/>
        <v>--</v>
      </c>
      <c r="X24" s="151" t="str">
        <f t="shared" si="11"/>
        <v>--</v>
      </c>
      <c r="Y24" s="152" t="str">
        <f t="shared" si="12"/>
        <v>--</v>
      </c>
      <c r="Z24" s="153" t="str">
        <f t="shared" si="13"/>
        <v>SI</v>
      </c>
      <c r="AA24" s="154">
        <f t="shared" si="14"/>
        <v>102612.17458471363</v>
      </c>
      <c r="AB24" s="155"/>
    </row>
    <row r="25" spans="2:28" s="10" customFormat="1" ht="16.5" customHeight="1">
      <c r="B25" s="44"/>
      <c r="C25" s="128">
        <v>5</v>
      </c>
      <c r="D25" s="128">
        <v>277861</v>
      </c>
      <c r="E25" s="128">
        <v>706</v>
      </c>
      <c r="F25" s="126" t="s">
        <v>136</v>
      </c>
      <c r="G25" s="126">
        <v>220</v>
      </c>
      <c r="H25" s="138">
        <v>171.60000610351562</v>
      </c>
      <c r="I25" s="139">
        <f t="shared" si="0"/>
        <v>829.1043054898072</v>
      </c>
      <c r="J25" s="140">
        <v>41863.864583333336</v>
      </c>
      <c r="K25" s="140">
        <v>41864.01736111111</v>
      </c>
      <c r="L25" s="141">
        <f t="shared" si="1"/>
        <v>3.666666666569654</v>
      </c>
      <c r="M25" s="142">
        <f t="shared" si="2"/>
        <v>220</v>
      </c>
      <c r="N25" s="143" t="s">
        <v>132</v>
      </c>
      <c r="O25" s="143" t="s">
        <v>133</v>
      </c>
      <c r="P25" s="145" t="str">
        <f t="shared" si="3"/>
        <v>--</v>
      </c>
      <c r="Q25" s="146" t="str">
        <f t="shared" si="4"/>
        <v>--</v>
      </c>
      <c r="R25" s="147">
        <f t="shared" si="5"/>
        <v>24873.129164694215</v>
      </c>
      <c r="S25" s="147">
        <f t="shared" si="6"/>
        <v>74619.38749408265</v>
      </c>
      <c r="T25" s="148">
        <f t="shared" si="7"/>
        <v>1666.499654034512</v>
      </c>
      <c r="U25" s="149" t="str">
        <f t="shared" si="8"/>
        <v>--</v>
      </c>
      <c r="V25" s="149" t="str">
        <f t="shared" si="9"/>
        <v>--</v>
      </c>
      <c r="W25" s="150" t="str">
        <f t="shared" si="10"/>
        <v>--</v>
      </c>
      <c r="X25" s="151" t="str">
        <f t="shared" si="11"/>
        <v>--</v>
      </c>
      <c r="Y25" s="152" t="str">
        <f t="shared" si="12"/>
        <v>--</v>
      </c>
      <c r="Z25" s="153" t="str">
        <f t="shared" si="13"/>
        <v>SI</v>
      </c>
      <c r="AA25" s="154">
        <f t="shared" si="14"/>
        <v>101159.01631281138</v>
      </c>
      <c r="AB25" s="155"/>
    </row>
    <row r="26" spans="2:28" s="10" customFormat="1" ht="16.5" customHeight="1">
      <c r="B26" s="44"/>
      <c r="C26" s="128">
        <v>6</v>
      </c>
      <c r="D26" s="128">
        <v>277863</v>
      </c>
      <c r="E26" s="128">
        <v>697</v>
      </c>
      <c r="F26" s="126" t="s">
        <v>131</v>
      </c>
      <c r="G26" s="126">
        <v>220</v>
      </c>
      <c r="H26" s="138">
        <v>177.8699951171875</v>
      </c>
      <c r="I26" s="139">
        <f t="shared" si="0"/>
        <v>859.3984471081544</v>
      </c>
      <c r="J26" s="140">
        <v>41865.013194444444</v>
      </c>
      <c r="K26" s="140">
        <v>41865.775</v>
      </c>
      <c r="L26" s="141">
        <f t="shared" si="1"/>
        <v>18.28333333338378</v>
      </c>
      <c r="M26" s="142">
        <f t="shared" si="2"/>
        <v>1097</v>
      </c>
      <c r="N26" s="140" t="s">
        <v>135</v>
      </c>
      <c r="O26" s="143" t="s">
        <v>133</v>
      </c>
      <c r="P26" s="145">
        <f t="shared" si="3"/>
        <v>4712.941083941119</v>
      </c>
      <c r="Q26" s="146" t="str">
        <f t="shared" si="4"/>
        <v>--</v>
      </c>
      <c r="R26" s="147" t="str">
        <f t="shared" si="5"/>
        <v>--</v>
      </c>
      <c r="S26" s="147" t="str">
        <f t="shared" si="6"/>
        <v>--</v>
      </c>
      <c r="T26" s="148" t="str">
        <f t="shared" si="7"/>
        <v>--</v>
      </c>
      <c r="U26" s="149" t="str">
        <f t="shared" si="8"/>
        <v>--</v>
      </c>
      <c r="V26" s="149" t="str">
        <f t="shared" si="9"/>
        <v>--</v>
      </c>
      <c r="W26" s="150" t="str">
        <f t="shared" si="10"/>
        <v>--</v>
      </c>
      <c r="X26" s="151" t="str">
        <f t="shared" si="11"/>
        <v>--</v>
      </c>
      <c r="Y26" s="152" t="str">
        <f t="shared" si="12"/>
        <v>--</v>
      </c>
      <c r="Z26" s="153" t="str">
        <f t="shared" si="13"/>
        <v>SI</v>
      </c>
      <c r="AA26" s="154">
        <f t="shared" si="14"/>
        <v>4712.941083941119</v>
      </c>
      <c r="AB26" s="155"/>
    </row>
    <row r="27" spans="2:28" s="10" customFormat="1" ht="16.5" customHeight="1">
      <c r="B27" s="44"/>
      <c r="C27" s="128">
        <v>7</v>
      </c>
      <c r="D27" s="128">
        <v>277865</v>
      </c>
      <c r="E27" s="128">
        <v>706</v>
      </c>
      <c r="F27" s="126" t="s">
        <v>136</v>
      </c>
      <c r="G27" s="126">
        <v>220</v>
      </c>
      <c r="H27" s="138">
        <v>171.60000610351562</v>
      </c>
      <c r="I27" s="139">
        <f t="shared" si="0"/>
        <v>829.1043054898072</v>
      </c>
      <c r="J27" s="140">
        <v>41867.299305555556</v>
      </c>
      <c r="K27" s="140">
        <v>41867.42847222222</v>
      </c>
      <c r="L27" s="141">
        <f t="shared" si="1"/>
        <v>3.099999999976717</v>
      </c>
      <c r="M27" s="142">
        <f t="shared" si="2"/>
        <v>186</v>
      </c>
      <c r="N27" s="140" t="s">
        <v>135</v>
      </c>
      <c r="O27" s="143" t="s">
        <v>133</v>
      </c>
      <c r="P27" s="145">
        <f t="shared" si="3"/>
        <v>771.0670041055208</v>
      </c>
      <c r="Q27" s="146" t="str">
        <f t="shared" si="4"/>
        <v>--</v>
      </c>
      <c r="R27" s="147" t="str">
        <f t="shared" si="5"/>
        <v>--</v>
      </c>
      <c r="S27" s="147" t="str">
        <f t="shared" si="6"/>
        <v>--</v>
      </c>
      <c r="T27" s="148" t="str">
        <f t="shared" si="7"/>
        <v>--</v>
      </c>
      <c r="U27" s="149" t="str">
        <f t="shared" si="8"/>
        <v>--</v>
      </c>
      <c r="V27" s="149" t="str">
        <f t="shared" si="9"/>
        <v>--</v>
      </c>
      <c r="W27" s="150" t="str">
        <f t="shared" si="10"/>
        <v>--</v>
      </c>
      <c r="X27" s="151" t="str">
        <f t="shared" si="11"/>
        <v>--</v>
      </c>
      <c r="Y27" s="152" t="str">
        <f t="shared" si="12"/>
        <v>--</v>
      </c>
      <c r="Z27" s="153" t="str">
        <f t="shared" si="13"/>
        <v>SI</v>
      </c>
      <c r="AA27" s="154">
        <f t="shared" si="14"/>
        <v>771.0670041055208</v>
      </c>
      <c r="AB27" s="155"/>
    </row>
    <row r="28" spans="2:28" s="10" customFormat="1" ht="16.5" customHeight="1">
      <c r="B28" s="44"/>
      <c r="C28" s="128">
        <v>8</v>
      </c>
      <c r="D28" s="128">
        <v>277864</v>
      </c>
      <c r="E28" s="128">
        <v>697</v>
      </c>
      <c r="F28" s="126" t="s">
        <v>131</v>
      </c>
      <c r="G28" s="126">
        <v>220</v>
      </c>
      <c r="H28" s="138">
        <v>177.8699951171875</v>
      </c>
      <c r="I28" s="139">
        <f t="shared" si="0"/>
        <v>859.3984471081544</v>
      </c>
      <c r="J28" s="140">
        <v>41867.39722222222</v>
      </c>
      <c r="K28" s="140">
        <v>41867.4</v>
      </c>
      <c r="L28" s="141">
        <f t="shared" si="1"/>
        <v>0.06666666670935228</v>
      </c>
      <c r="M28" s="142">
        <f t="shared" si="2"/>
        <v>4</v>
      </c>
      <c r="N28" s="140" t="s">
        <v>132</v>
      </c>
      <c r="O28" s="143" t="s">
        <v>133</v>
      </c>
      <c r="P28" s="145" t="str">
        <f t="shared" si="3"/>
        <v>--</v>
      </c>
      <c r="Q28" s="146" t="str">
        <f t="shared" si="4"/>
        <v>--</v>
      </c>
      <c r="R28" s="147">
        <f t="shared" si="5"/>
        <v>25781.95341324463</v>
      </c>
      <c r="S28" s="147" t="str">
        <f t="shared" si="6"/>
        <v>--</v>
      </c>
      <c r="T28" s="148" t="str">
        <f t="shared" si="7"/>
        <v>--</v>
      </c>
      <c r="U28" s="149" t="str">
        <f t="shared" si="8"/>
        <v>--</v>
      </c>
      <c r="V28" s="149" t="str">
        <f t="shared" si="9"/>
        <v>--</v>
      </c>
      <c r="W28" s="150" t="str">
        <f t="shared" si="10"/>
        <v>--</v>
      </c>
      <c r="X28" s="151" t="str">
        <f t="shared" si="11"/>
        <v>--</v>
      </c>
      <c r="Y28" s="152" t="str">
        <f t="shared" si="12"/>
        <v>--</v>
      </c>
      <c r="Z28" s="153" t="str">
        <f t="shared" si="13"/>
        <v>SI</v>
      </c>
      <c r="AA28" s="154">
        <f t="shared" si="14"/>
        <v>25781.95341324463</v>
      </c>
      <c r="AB28" s="155"/>
    </row>
    <row r="29" spans="2:28" s="10" customFormat="1" ht="16.5" customHeight="1">
      <c r="B29" s="44"/>
      <c r="C29" s="128">
        <v>9</v>
      </c>
      <c r="D29" s="128">
        <v>278100</v>
      </c>
      <c r="E29" s="128">
        <v>697</v>
      </c>
      <c r="F29" s="126" t="s">
        <v>131</v>
      </c>
      <c r="G29" s="126">
        <v>220</v>
      </c>
      <c r="H29" s="138">
        <v>177.8699951171875</v>
      </c>
      <c r="I29" s="139">
        <f t="shared" si="0"/>
        <v>859.3984471081544</v>
      </c>
      <c r="J29" s="140">
        <v>41871.396527777775</v>
      </c>
      <c r="K29" s="140">
        <v>41871.77013888889</v>
      </c>
      <c r="L29" s="141">
        <f t="shared" si="1"/>
        <v>8.966666666732635</v>
      </c>
      <c r="M29" s="142">
        <f t="shared" si="2"/>
        <v>538</v>
      </c>
      <c r="N29" s="140" t="s">
        <v>135</v>
      </c>
      <c r="O29" s="143" t="s">
        <v>133</v>
      </c>
      <c r="P29" s="145">
        <f t="shared" si="3"/>
        <v>2312.6412211680436</v>
      </c>
      <c r="Q29" s="146" t="str">
        <f t="shared" si="4"/>
        <v>--</v>
      </c>
      <c r="R29" s="147" t="str">
        <f t="shared" si="5"/>
        <v>--</v>
      </c>
      <c r="S29" s="147" t="str">
        <f t="shared" si="6"/>
        <v>--</v>
      </c>
      <c r="T29" s="148" t="str">
        <f t="shared" si="7"/>
        <v>--</v>
      </c>
      <c r="U29" s="149" t="str">
        <f t="shared" si="8"/>
        <v>--</v>
      </c>
      <c r="V29" s="149" t="str">
        <f t="shared" si="9"/>
        <v>--</v>
      </c>
      <c r="W29" s="150" t="str">
        <f t="shared" si="10"/>
        <v>--</v>
      </c>
      <c r="X29" s="151" t="str">
        <f t="shared" si="11"/>
        <v>--</v>
      </c>
      <c r="Y29" s="152" t="str">
        <f t="shared" si="12"/>
        <v>--</v>
      </c>
      <c r="Z29" s="153" t="str">
        <f t="shared" si="13"/>
        <v>SI</v>
      </c>
      <c r="AA29" s="154">
        <f t="shared" si="14"/>
        <v>2312.6412211680436</v>
      </c>
      <c r="AB29" s="155"/>
    </row>
    <row r="30" spans="2:28" s="10" customFormat="1" ht="16.5" customHeight="1">
      <c r="B30" s="44"/>
      <c r="C30" s="128">
        <v>10</v>
      </c>
      <c r="D30" s="128">
        <v>278101</v>
      </c>
      <c r="E30" s="128">
        <v>714</v>
      </c>
      <c r="F30" s="126" t="s">
        <v>134</v>
      </c>
      <c r="G30" s="126">
        <v>132</v>
      </c>
      <c r="H30" s="138">
        <v>122.12999725341797</v>
      </c>
      <c r="I30" s="139">
        <f t="shared" si="0"/>
        <v>563.8607630193329</v>
      </c>
      <c r="J30" s="140">
        <v>41873.4</v>
      </c>
      <c r="K30" s="140">
        <v>41873.74930555555</v>
      </c>
      <c r="L30" s="141">
        <f t="shared" si="1"/>
        <v>8.383333333244082</v>
      </c>
      <c r="M30" s="142">
        <f t="shared" si="2"/>
        <v>503</v>
      </c>
      <c r="N30" s="140" t="s">
        <v>135</v>
      </c>
      <c r="O30" s="143" t="s">
        <v>133</v>
      </c>
      <c r="P30" s="145">
        <f t="shared" si="3"/>
        <v>1417.5459582306032</v>
      </c>
      <c r="Q30" s="146" t="str">
        <f t="shared" si="4"/>
        <v>--</v>
      </c>
      <c r="R30" s="147" t="str">
        <f t="shared" si="5"/>
        <v>--</v>
      </c>
      <c r="S30" s="147" t="str">
        <f t="shared" si="6"/>
        <v>--</v>
      </c>
      <c r="T30" s="148" t="str">
        <f t="shared" si="7"/>
        <v>--</v>
      </c>
      <c r="U30" s="149" t="str">
        <f t="shared" si="8"/>
        <v>--</v>
      </c>
      <c r="V30" s="149" t="str">
        <f t="shared" si="9"/>
        <v>--</v>
      </c>
      <c r="W30" s="150" t="str">
        <f t="shared" si="10"/>
        <v>--</v>
      </c>
      <c r="X30" s="151" t="str">
        <f t="shared" si="11"/>
        <v>--</v>
      </c>
      <c r="Y30" s="152" t="str">
        <f t="shared" si="12"/>
        <v>--</v>
      </c>
      <c r="Z30" s="153" t="str">
        <f t="shared" si="13"/>
        <v>SI</v>
      </c>
      <c r="AA30" s="154">
        <f t="shared" si="14"/>
        <v>1417.5459582306032</v>
      </c>
      <c r="AB30" s="155"/>
    </row>
    <row r="31" spans="2:28" s="10" customFormat="1" ht="16.5" customHeight="1">
      <c r="B31" s="44"/>
      <c r="C31" s="128"/>
      <c r="D31" s="128"/>
      <c r="E31" s="128"/>
      <c r="F31" s="126"/>
      <c r="G31" s="126"/>
      <c r="H31" s="138"/>
      <c r="I31" s="139" t="e">
        <f t="shared" si="0"/>
        <v>#VALUE!</v>
      </c>
      <c r="J31" s="140"/>
      <c r="K31" s="140"/>
      <c r="L31" s="141">
        <f t="shared" si="1"/>
      </c>
      <c r="M31" s="142">
        <f t="shared" si="2"/>
      </c>
      <c r="N31" s="140"/>
      <c r="O31" s="144">
        <f aca="true" t="shared" si="15" ref="O31:O40">IF(F31="","","--")</f>
      </c>
      <c r="P31" s="145" t="str">
        <f t="shared" si="3"/>
        <v>--</v>
      </c>
      <c r="Q31" s="146" t="str">
        <f t="shared" si="4"/>
        <v>--</v>
      </c>
      <c r="R31" s="147" t="str">
        <f t="shared" si="5"/>
        <v>--</v>
      </c>
      <c r="S31" s="147" t="str">
        <f t="shared" si="6"/>
        <v>--</v>
      </c>
      <c r="T31" s="148" t="str">
        <f t="shared" si="7"/>
        <v>--</v>
      </c>
      <c r="U31" s="149" t="str">
        <f t="shared" si="8"/>
        <v>--</v>
      </c>
      <c r="V31" s="149" t="str">
        <f t="shared" si="9"/>
        <v>--</v>
      </c>
      <c r="W31" s="150" t="str">
        <f t="shared" si="10"/>
        <v>--</v>
      </c>
      <c r="X31" s="151" t="str">
        <f t="shared" si="11"/>
        <v>--</v>
      </c>
      <c r="Y31" s="152" t="str">
        <f t="shared" si="12"/>
        <v>--</v>
      </c>
      <c r="Z31" s="153">
        <f t="shared" si="13"/>
      </c>
      <c r="AA31" s="154">
        <f t="shared" si="14"/>
      </c>
      <c r="AB31" s="155"/>
    </row>
    <row r="32" spans="2:28" s="10" customFormat="1" ht="16.5" customHeight="1">
      <c r="B32" s="44"/>
      <c r="C32" s="128"/>
      <c r="D32" s="128"/>
      <c r="E32" s="128"/>
      <c r="F32" s="126"/>
      <c r="G32" s="126"/>
      <c r="H32" s="138"/>
      <c r="I32" s="139" t="e">
        <f t="shared" si="0"/>
        <v>#VALUE!</v>
      </c>
      <c r="J32" s="140"/>
      <c r="K32" s="140"/>
      <c r="L32" s="141">
        <f t="shared" si="1"/>
      </c>
      <c r="M32" s="142">
        <f t="shared" si="2"/>
      </c>
      <c r="N32" s="140"/>
      <c r="O32" s="144">
        <f t="shared" si="15"/>
      </c>
      <c r="P32" s="145" t="str">
        <f t="shared" si="3"/>
        <v>--</v>
      </c>
      <c r="Q32" s="146" t="str">
        <f t="shared" si="4"/>
        <v>--</v>
      </c>
      <c r="R32" s="147" t="str">
        <f t="shared" si="5"/>
        <v>--</v>
      </c>
      <c r="S32" s="147" t="str">
        <f t="shared" si="6"/>
        <v>--</v>
      </c>
      <c r="T32" s="148" t="str">
        <f t="shared" si="7"/>
        <v>--</v>
      </c>
      <c r="U32" s="149" t="str">
        <f t="shared" si="8"/>
        <v>--</v>
      </c>
      <c r="V32" s="149" t="str">
        <f t="shared" si="9"/>
        <v>--</v>
      </c>
      <c r="W32" s="150" t="str">
        <f t="shared" si="10"/>
        <v>--</v>
      </c>
      <c r="X32" s="151" t="str">
        <f t="shared" si="11"/>
        <v>--</v>
      </c>
      <c r="Y32" s="152" t="str">
        <f t="shared" si="12"/>
        <v>--</v>
      </c>
      <c r="Z32" s="153">
        <f t="shared" si="13"/>
      </c>
      <c r="AA32" s="154">
        <f t="shared" si="14"/>
      </c>
      <c r="AB32" s="155"/>
    </row>
    <row r="33" spans="2:28" s="10" customFormat="1" ht="16.5" customHeight="1">
      <c r="B33" s="44"/>
      <c r="C33" s="128"/>
      <c r="D33" s="128"/>
      <c r="E33" s="128"/>
      <c r="F33" s="126"/>
      <c r="G33" s="126"/>
      <c r="H33" s="138"/>
      <c r="I33" s="139" t="e">
        <f t="shared" si="0"/>
        <v>#VALUE!</v>
      </c>
      <c r="J33" s="140"/>
      <c r="K33" s="140"/>
      <c r="L33" s="141">
        <f t="shared" si="1"/>
      </c>
      <c r="M33" s="142">
        <f t="shared" si="2"/>
      </c>
      <c r="N33" s="140"/>
      <c r="O33" s="144">
        <f t="shared" si="15"/>
      </c>
      <c r="P33" s="145" t="str">
        <f t="shared" si="3"/>
        <v>--</v>
      </c>
      <c r="Q33" s="146" t="str">
        <f t="shared" si="4"/>
        <v>--</v>
      </c>
      <c r="R33" s="147" t="str">
        <f t="shared" si="5"/>
        <v>--</v>
      </c>
      <c r="S33" s="147" t="str">
        <f t="shared" si="6"/>
        <v>--</v>
      </c>
      <c r="T33" s="148" t="str">
        <f t="shared" si="7"/>
        <v>--</v>
      </c>
      <c r="U33" s="149" t="str">
        <f t="shared" si="8"/>
        <v>--</v>
      </c>
      <c r="V33" s="149" t="str">
        <f t="shared" si="9"/>
        <v>--</v>
      </c>
      <c r="W33" s="150" t="str">
        <f t="shared" si="10"/>
        <v>--</v>
      </c>
      <c r="X33" s="151" t="str">
        <f t="shared" si="11"/>
        <v>--</v>
      </c>
      <c r="Y33" s="152" t="str">
        <f t="shared" si="12"/>
        <v>--</v>
      </c>
      <c r="Z33" s="153">
        <f t="shared" si="13"/>
      </c>
      <c r="AA33" s="154">
        <f t="shared" si="14"/>
      </c>
      <c r="AB33" s="155"/>
    </row>
    <row r="34" spans="2:28" s="10" customFormat="1" ht="16.5" customHeight="1">
      <c r="B34" s="156"/>
      <c r="C34" s="128"/>
      <c r="D34" s="128"/>
      <c r="E34" s="128"/>
      <c r="F34" s="126"/>
      <c r="G34" s="126"/>
      <c r="H34" s="138"/>
      <c r="I34" s="139" t="e">
        <f t="shared" si="0"/>
        <v>#VALUE!</v>
      </c>
      <c r="J34" s="140"/>
      <c r="K34" s="140"/>
      <c r="L34" s="141">
        <f t="shared" si="1"/>
      </c>
      <c r="M34" s="142">
        <f t="shared" si="2"/>
      </c>
      <c r="N34" s="140"/>
      <c r="O34" s="144">
        <f t="shared" si="15"/>
      </c>
      <c r="P34" s="145" t="str">
        <f t="shared" si="3"/>
        <v>--</v>
      </c>
      <c r="Q34" s="146" t="str">
        <f t="shared" si="4"/>
        <v>--</v>
      </c>
      <c r="R34" s="147" t="str">
        <f t="shared" si="5"/>
        <v>--</v>
      </c>
      <c r="S34" s="147" t="str">
        <f t="shared" si="6"/>
        <v>--</v>
      </c>
      <c r="T34" s="148" t="str">
        <f t="shared" si="7"/>
        <v>--</v>
      </c>
      <c r="U34" s="149" t="str">
        <f t="shared" si="8"/>
        <v>--</v>
      </c>
      <c r="V34" s="149" t="str">
        <f t="shared" si="9"/>
        <v>--</v>
      </c>
      <c r="W34" s="150" t="str">
        <f t="shared" si="10"/>
        <v>--</v>
      </c>
      <c r="X34" s="151" t="str">
        <f t="shared" si="11"/>
        <v>--</v>
      </c>
      <c r="Y34" s="152" t="str">
        <f t="shared" si="12"/>
        <v>--</v>
      </c>
      <c r="Z34" s="153">
        <f t="shared" si="13"/>
      </c>
      <c r="AA34" s="154">
        <f t="shared" si="14"/>
      </c>
      <c r="AB34" s="155"/>
    </row>
    <row r="35" spans="2:28" s="10" customFormat="1" ht="16.5" customHeight="1">
      <c r="B35" s="156"/>
      <c r="C35" s="128"/>
      <c r="D35" s="128"/>
      <c r="E35" s="128"/>
      <c r="F35" s="126"/>
      <c r="G35" s="126"/>
      <c r="H35" s="138"/>
      <c r="I35" s="139" t="e">
        <f t="shared" si="0"/>
        <v>#VALUE!</v>
      </c>
      <c r="J35" s="140"/>
      <c r="K35" s="140"/>
      <c r="L35" s="141">
        <f t="shared" si="1"/>
      </c>
      <c r="M35" s="142">
        <f t="shared" si="2"/>
      </c>
      <c r="N35" s="140"/>
      <c r="O35" s="144">
        <f t="shared" si="15"/>
      </c>
      <c r="P35" s="145" t="str">
        <f t="shared" si="3"/>
        <v>--</v>
      </c>
      <c r="Q35" s="146" t="str">
        <f t="shared" si="4"/>
        <v>--</v>
      </c>
      <c r="R35" s="147" t="str">
        <f t="shared" si="5"/>
        <v>--</v>
      </c>
      <c r="S35" s="147" t="str">
        <f t="shared" si="6"/>
        <v>--</v>
      </c>
      <c r="T35" s="148" t="str">
        <f t="shared" si="7"/>
        <v>--</v>
      </c>
      <c r="U35" s="149" t="str">
        <f t="shared" si="8"/>
        <v>--</v>
      </c>
      <c r="V35" s="149" t="str">
        <f t="shared" si="9"/>
        <v>--</v>
      </c>
      <c r="W35" s="150" t="str">
        <f t="shared" si="10"/>
        <v>--</v>
      </c>
      <c r="X35" s="151" t="str">
        <f t="shared" si="11"/>
        <v>--</v>
      </c>
      <c r="Y35" s="152" t="str">
        <f t="shared" si="12"/>
        <v>--</v>
      </c>
      <c r="Z35" s="153">
        <f t="shared" si="13"/>
      </c>
      <c r="AA35" s="154">
        <f t="shared" si="14"/>
      </c>
      <c r="AB35" s="155"/>
    </row>
    <row r="36" spans="2:28" s="10" customFormat="1" ht="16.5" customHeight="1">
      <c r="B36" s="156"/>
      <c r="C36" s="128"/>
      <c r="D36" s="128"/>
      <c r="E36" s="128"/>
      <c r="F36" s="126"/>
      <c r="G36" s="126"/>
      <c r="H36" s="138"/>
      <c r="I36" s="139" t="e">
        <f t="shared" si="0"/>
        <v>#VALUE!</v>
      </c>
      <c r="J36" s="140"/>
      <c r="K36" s="140"/>
      <c r="L36" s="141">
        <f t="shared" si="1"/>
      </c>
      <c r="M36" s="142">
        <f t="shared" si="2"/>
      </c>
      <c r="N36" s="140"/>
      <c r="O36" s="144">
        <f t="shared" si="15"/>
      </c>
      <c r="P36" s="145" t="str">
        <f t="shared" si="3"/>
        <v>--</v>
      </c>
      <c r="Q36" s="146" t="str">
        <f t="shared" si="4"/>
        <v>--</v>
      </c>
      <c r="R36" s="147" t="str">
        <f t="shared" si="5"/>
        <v>--</v>
      </c>
      <c r="S36" s="147" t="str">
        <f t="shared" si="6"/>
        <v>--</v>
      </c>
      <c r="T36" s="148" t="str">
        <f t="shared" si="7"/>
        <v>--</v>
      </c>
      <c r="U36" s="149" t="str">
        <f t="shared" si="8"/>
        <v>--</v>
      </c>
      <c r="V36" s="149" t="str">
        <f t="shared" si="9"/>
        <v>--</v>
      </c>
      <c r="W36" s="150" t="str">
        <f t="shared" si="10"/>
        <v>--</v>
      </c>
      <c r="X36" s="151" t="str">
        <f t="shared" si="11"/>
        <v>--</v>
      </c>
      <c r="Y36" s="152" t="str">
        <f t="shared" si="12"/>
        <v>--</v>
      </c>
      <c r="Z36" s="153">
        <f t="shared" si="13"/>
      </c>
      <c r="AA36" s="154">
        <f t="shared" si="14"/>
      </c>
      <c r="AB36" s="155"/>
    </row>
    <row r="37" spans="2:28" s="10" customFormat="1" ht="16.5" customHeight="1">
      <c r="B37" s="156"/>
      <c r="C37" s="128"/>
      <c r="D37" s="128"/>
      <c r="E37" s="128"/>
      <c r="F37" s="126"/>
      <c r="G37" s="126"/>
      <c r="H37" s="138"/>
      <c r="I37" s="139" t="e">
        <f t="shared" si="0"/>
        <v>#VALUE!</v>
      </c>
      <c r="J37" s="140"/>
      <c r="K37" s="140"/>
      <c r="L37" s="141">
        <f t="shared" si="1"/>
      </c>
      <c r="M37" s="142">
        <f t="shared" si="2"/>
      </c>
      <c r="N37" s="140"/>
      <c r="O37" s="144">
        <f t="shared" si="15"/>
      </c>
      <c r="P37" s="145" t="str">
        <f t="shared" si="3"/>
        <v>--</v>
      </c>
      <c r="Q37" s="146" t="str">
        <f t="shared" si="4"/>
        <v>--</v>
      </c>
      <c r="R37" s="147" t="str">
        <f t="shared" si="5"/>
        <v>--</v>
      </c>
      <c r="S37" s="147" t="str">
        <f t="shared" si="6"/>
        <v>--</v>
      </c>
      <c r="T37" s="148" t="str">
        <f t="shared" si="7"/>
        <v>--</v>
      </c>
      <c r="U37" s="149" t="str">
        <f t="shared" si="8"/>
        <v>--</v>
      </c>
      <c r="V37" s="149" t="str">
        <f t="shared" si="9"/>
        <v>--</v>
      </c>
      <c r="W37" s="150" t="str">
        <f t="shared" si="10"/>
        <v>--</v>
      </c>
      <c r="X37" s="151" t="str">
        <f t="shared" si="11"/>
        <v>--</v>
      </c>
      <c r="Y37" s="152" t="str">
        <f t="shared" si="12"/>
        <v>--</v>
      </c>
      <c r="Z37" s="153">
        <f t="shared" si="13"/>
      </c>
      <c r="AA37" s="154">
        <f t="shared" si="14"/>
      </c>
      <c r="AB37" s="155"/>
    </row>
    <row r="38" spans="2:28" s="10" customFormat="1" ht="16.5" customHeight="1">
      <c r="B38" s="156"/>
      <c r="C38" s="128"/>
      <c r="D38" s="128"/>
      <c r="E38" s="128"/>
      <c r="F38" s="126"/>
      <c r="G38" s="126"/>
      <c r="H38" s="138"/>
      <c r="I38" s="139" t="e">
        <f t="shared" si="0"/>
        <v>#VALUE!</v>
      </c>
      <c r="J38" s="140"/>
      <c r="K38" s="140"/>
      <c r="L38" s="141">
        <f t="shared" si="1"/>
      </c>
      <c r="M38" s="142">
        <f t="shared" si="2"/>
      </c>
      <c r="N38" s="140"/>
      <c r="O38" s="144">
        <f t="shared" si="15"/>
      </c>
      <c r="P38" s="145" t="str">
        <f t="shared" si="3"/>
        <v>--</v>
      </c>
      <c r="Q38" s="146" t="str">
        <f t="shared" si="4"/>
        <v>--</v>
      </c>
      <c r="R38" s="147" t="str">
        <f t="shared" si="5"/>
        <v>--</v>
      </c>
      <c r="S38" s="147" t="str">
        <f t="shared" si="6"/>
        <v>--</v>
      </c>
      <c r="T38" s="148" t="str">
        <f t="shared" si="7"/>
        <v>--</v>
      </c>
      <c r="U38" s="149" t="str">
        <f t="shared" si="8"/>
        <v>--</v>
      </c>
      <c r="V38" s="149" t="str">
        <f t="shared" si="9"/>
        <v>--</v>
      </c>
      <c r="W38" s="150" t="str">
        <f t="shared" si="10"/>
        <v>--</v>
      </c>
      <c r="X38" s="151" t="str">
        <f t="shared" si="11"/>
        <v>--</v>
      </c>
      <c r="Y38" s="152" t="str">
        <f t="shared" si="12"/>
        <v>--</v>
      </c>
      <c r="Z38" s="153">
        <f t="shared" si="13"/>
      </c>
      <c r="AA38" s="154">
        <f t="shared" si="14"/>
      </c>
      <c r="AB38" s="155"/>
    </row>
    <row r="39" spans="2:28" s="10" customFormat="1" ht="16.5" customHeight="1">
      <c r="B39" s="156"/>
      <c r="C39" s="128"/>
      <c r="D39" s="128"/>
      <c r="E39" s="128"/>
      <c r="F39" s="126"/>
      <c r="G39" s="126"/>
      <c r="H39" s="138"/>
      <c r="I39" s="139" t="e">
        <f t="shared" si="0"/>
        <v>#VALUE!</v>
      </c>
      <c r="J39" s="140"/>
      <c r="K39" s="140"/>
      <c r="L39" s="141">
        <f t="shared" si="1"/>
      </c>
      <c r="M39" s="142">
        <f t="shared" si="2"/>
      </c>
      <c r="N39" s="140"/>
      <c r="O39" s="144">
        <f t="shared" si="15"/>
      </c>
      <c r="P39" s="145" t="str">
        <f t="shared" si="3"/>
        <v>--</v>
      </c>
      <c r="Q39" s="146" t="str">
        <f t="shared" si="4"/>
        <v>--</v>
      </c>
      <c r="R39" s="147" t="str">
        <f t="shared" si="5"/>
        <v>--</v>
      </c>
      <c r="S39" s="147" t="str">
        <f t="shared" si="6"/>
        <v>--</v>
      </c>
      <c r="T39" s="148" t="str">
        <f t="shared" si="7"/>
        <v>--</v>
      </c>
      <c r="U39" s="149" t="str">
        <f t="shared" si="8"/>
        <v>--</v>
      </c>
      <c r="V39" s="149" t="str">
        <f t="shared" si="9"/>
        <v>--</v>
      </c>
      <c r="W39" s="150" t="str">
        <f t="shared" si="10"/>
        <v>--</v>
      </c>
      <c r="X39" s="151" t="str">
        <f t="shared" si="11"/>
        <v>--</v>
      </c>
      <c r="Y39" s="152" t="str">
        <f t="shared" si="12"/>
        <v>--</v>
      </c>
      <c r="Z39" s="153">
        <f t="shared" si="13"/>
      </c>
      <c r="AA39" s="154">
        <f t="shared" si="14"/>
      </c>
      <c r="AB39" s="155"/>
    </row>
    <row r="40" spans="2:28" s="10" customFormat="1" ht="16.5" customHeight="1">
      <c r="B40" s="156"/>
      <c r="C40" s="128"/>
      <c r="D40" s="128"/>
      <c r="E40" s="128"/>
      <c r="F40" s="126"/>
      <c r="G40" s="126"/>
      <c r="H40" s="138"/>
      <c r="I40" s="139" t="e">
        <f t="shared" si="0"/>
        <v>#VALUE!</v>
      </c>
      <c r="J40" s="140"/>
      <c r="K40" s="140"/>
      <c r="L40" s="141">
        <f t="shared" si="1"/>
      </c>
      <c r="M40" s="142">
        <f t="shared" si="2"/>
      </c>
      <c r="N40" s="140"/>
      <c r="O40" s="144">
        <f t="shared" si="15"/>
      </c>
      <c r="P40" s="145" t="str">
        <f t="shared" si="3"/>
        <v>--</v>
      </c>
      <c r="Q40" s="146" t="str">
        <f t="shared" si="4"/>
        <v>--</v>
      </c>
      <c r="R40" s="147" t="str">
        <f t="shared" si="5"/>
        <v>--</v>
      </c>
      <c r="S40" s="147" t="str">
        <f t="shared" si="6"/>
        <v>--</v>
      </c>
      <c r="T40" s="148" t="str">
        <f t="shared" si="7"/>
        <v>--</v>
      </c>
      <c r="U40" s="149" t="str">
        <f t="shared" si="8"/>
        <v>--</v>
      </c>
      <c r="V40" s="149" t="str">
        <f t="shared" si="9"/>
        <v>--</v>
      </c>
      <c r="W40" s="150" t="str">
        <f t="shared" si="10"/>
        <v>--</v>
      </c>
      <c r="X40" s="151" t="str">
        <f t="shared" si="11"/>
        <v>--</v>
      </c>
      <c r="Y40" s="152" t="str">
        <f t="shared" si="12"/>
        <v>--</v>
      </c>
      <c r="Z40" s="153">
        <f t="shared" si="13"/>
      </c>
      <c r="AA40" s="154">
        <f t="shared" si="14"/>
      </c>
      <c r="AB40" s="155"/>
    </row>
    <row r="41" spans="2:28" s="10" customFormat="1" ht="16.5" customHeight="1" thickBot="1">
      <c r="B41" s="44"/>
      <c r="C41" s="157"/>
      <c r="D41" s="157"/>
      <c r="E41" s="157"/>
      <c r="F41" s="158"/>
      <c r="G41" s="159"/>
      <c r="H41" s="160"/>
      <c r="I41" s="161"/>
      <c r="J41" s="160"/>
      <c r="K41" s="160"/>
      <c r="L41" s="160"/>
      <c r="M41" s="160"/>
      <c r="N41" s="160"/>
      <c r="O41" s="162"/>
      <c r="P41" s="163"/>
      <c r="Q41" s="164"/>
      <c r="R41" s="165"/>
      <c r="S41" s="166"/>
      <c r="T41" s="166"/>
      <c r="U41" s="167"/>
      <c r="V41" s="167"/>
      <c r="W41" s="167"/>
      <c r="X41" s="168"/>
      <c r="Y41" s="169"/>
      <c r="Z41" s="170"/>
      <c r="AA41" s="171"/>
      <c r="AB41" s="155"/>
    </row>
    <row r="42" spans="2:28" s="10" customFormat="1" ht="16.5" customHeight="1" thickBot="1" thickTop="1">
      <c r="B42" s="44"/>
      <c r="C42" s="172" t="s">
        <v>73</v>
      </c>
      <c r="D42" s="421" t="s">
        <v>170</v>
      </c>
      <c r="E42" s="187"/>
      <c r="F42" s="173"/>
      <c r="G42" s="3"/>
      <c r="H42" s="5"/>
      <c r="I42" s="174"/>
      <c r="J42" s="174"/>
      <c r="K42" s="174"/>
      <c r="L42" s="174"/>
      <c r="M42" s="174"/>
      <c r="N42" s="174"/>
      <c r="O42" s="175"/>
      <c r="P42" s="176">
        <f aca="true" t="shared" si="16" ref="P42:Y42">SUM(P19:P41)</f>
        <v>11878.437372711636</v>
      </c>
      <c r="Q42" s="177">
        <f t="shared" si="16"/>
        <v>0</v>
      </c>
      <c r="R42" s="178">
        <f t="shared" si="16"/>
        <v>102218.98940442811</v>
      </c>
      <c r="S42" s="178">
        <f t="shared" si="16"/>
        <v>180583.21602251809</v>
      </c>
      <c r="T42" s="178">
        <f t="shared" si="16"/>
        <v>1666.499654034512</v>
      </c>
      <c r="U42" s="179">
        <f t="shared" si="16"/>
        <v>0</v>
      </c>
      <c r="V42" s="179">
        <f t="shared" si="16"/>
        <v>0</v>
      </c>
      <c r="W42" s="179">
        <f t="shared" si="16"/>
        <v>0</v>
      </c>
      <c r="X42" s="180">
        <f t="shared" si="16"/>
        <v>0</v>
      </c>
      <c r="Y42" s="181">
        <f t="shared" si="16"/>
        <v>0</v>
      </c>
      <c r="Z42" s="182"/>
      <c r="AA42" s="183">
        <f>ROUND(SUM(AA19:AA41),2)</f>
        <v>296347.14</v>
      </c>
      <c r="AB42" s="184"/>
    </row>
    <row r="43" spans="2:28" s="185" customFormat="1" ht="9.75" thickTop="1">
      <c r="B43" s="186"/>
      <c r="C43" s="187"/>
      <c r="D43" s="187"/>
      <c r="E43" s="187"/>
      <c r="F43" s="188"/>
      <c r="G43" s="189"/>
      <c r="H43" s="190"/>
      <c r="I43" s="191"/>
      <c r="J43" s="191"/>
      <c r="K43" s="191"/>
      <c r="L43" s="191"/>
      <c r="M43" s="191"/>
      <c r="N43" s="191"/>
      <c r="O43" s="192"/>
      <c r="P43" s="193"/>
      <c r="Q43" s="193"/>
      <c r="R43" s="194"/>
      <c r="S43" s="194"/>
      <c r="T43" s="195"/>
      <c r="U43" s="195"/>
      <c r="V43" s="195"/>
      <c r="W43" s="195"/>
      <c r="X43" s="195"/>
      <c r="Y43" s="195"/>
      <c r="Z43" s="195"/>
      <c r="AA43" s="196"/>
      <c r="AB43" s="197"/>
    </row>
    <row r="44" spans="2:28" s="10" customFormat="1" ht="16.5" customHeight="1" thickBot="1">
      <c r="B44" s="198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200"/>
    </row>
    <row r="45" spans="2:28" ht="13.5" thickTop="1">
      <c r="B45" s="201"/>
      <c r="AB45" s="201"/>
    </row>
    <row r="90" ht="12.75">
      <c r="B90" s="20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D46"/>
  <sheetViews>
    <sheetView zoomScale="75" zoomScaleNormal="75" zoomScalePageLayoutView="0" workbookViewId="0" topLeftCell="A10">
      <selection activeCell="B12" sqref="B12"/>
    </sheetView>
  </sheetViews>
  <sheetFormatPr defaultColWidth="11.421875" defaultRowHeight="12.75"/>
  <cols>
    <col min="1" max="1" width="19.42187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2.00390625" style="1" customWidth="1"/>
    <col min="10" max="10" width="8.8515625" style="1" hidden="1" customWidth="1"/>
    <col min="11" max="12" width="16.7109375" style="1" customWidth="1"/>
    <col min="13" max="15" width="9.7109375" style="1" customWidth="1"/>
    <col min="16" max="18" width="7.7109375" style="1" customWidth="1"/>
    <col min="19" max="19" width="13.28125" style="1" hidden="1" customWidth="1"/>
    <col min="20" max="21" width="14.57421875" style="1" hidden="1" customWidth="1"/>
    <col min="22" max="22" width="16.28125" style="1" hidden="1" customWidth="1"/>
    <col min="23" max="23" width="16.8515625" style="1" hidden="1" customWidth="1"/>
    <col min="24" max="24" width="16.28125" style="1" hidden="1" customWidth="1"/>
    <col min="25" max="27" width="16.851562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396"/>
    </row>
    <row r="2" spans="2:30" s="6" customFormat="1" ht="26.25">
      <c r="B2" s="68" t="str">
        <f>+'TOT-0814'!B2</f>
        <v>ANEXO III al Memorandum D.T.E.E. N°        306    / 2015</v>
      </c>
      <c r="C2" s="203"/>
      <c r="D2" s="203"/>
      <c r="E2" s="203"/>
      <c r="F2" s="203"/>
      <c r="G2" s="9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2:30" s="10" customFormat="1" ht="12" customHeight="1">
      <c r="B3" s="69"/>
      <c r="C3" s="204"/>
      <c r="D3" s="204"/>
      <c r="E3" s="204"/>
      <c r="F3" s="204"/>
      <c r="G3" s="11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</row>
    <row r="4" spans="1:30" s="13" customFormat="1" ht="11.25">
      <c r="A4" s="205" t="s">
        <v>3</v>
      </c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0" s="13" customFormat="1" ht="11.25">
      <c r="A5" s="205" t="s">
        <v>4</v>
      </c>
      <c r="B5" s="206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2:30" s="10" customFormat="1" ht="16.5" customHeight="1" thickBot="1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</row>
    <row r="7" spans="2:30" s="10" customFormat="1" ht="16.5" customHeight="1" thickTop="1"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1"/>
    </row>
    <row r="8" spans="2:30" s="74" customFormat="1" ht="20.25">
      <c r="B8" s="212"/>
      <c r="C8" s="213"/>
      <c r="D8" s="213"/>
      <c r="E8" s="213"/>
      <c r="F8" s="214" t="s">
        <v>14</v>
      </c>
      <c r="H8" s="213"/>
      <c r="I8" s="215"/>
      <c r="J8" s="215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6"/>
    </row>
    <row r="9" spans="2:30" s="10" customFormat="1" ht="16.5" customHeight="1">
      <c r="B9" s="217"/>
      <c r="C9" s="64"/>
      <c r="D9" s="64"/>
      <c r="E9" s="64"/>
      <c r="F9" s="64"/>
      <c r="G9" s="64"/>
      <c r="H9" s="64"/>
      <c r="I9" s="20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218"/>
    </row>
    <row r="10" spans="2:30" s="74" customFormat="1" ht="20.25">
      <c r="B10" s="212"/>
      <c r="C10" s="213"/>
      <c r="D10" s="213"/>
      <c r="E10" s="213"/>
      <c r="F10" s="214" t="s">
        <v>37</v>
      </c>
      <c r="G10" s="213"/>
      <c r="H10" s="213"/>
      <c r="I10" s="215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6"/>
    </row>
    <row r="11" spans="2:30" s="10" customFormat="1" ht="16.5" customHeight="1">
      <c r="B11" s="217"/>
      <c r="C11" s="64"/>
      <c r="D11" s="64"/>
      <c r="E11" s="64"/>
      <c r="F11" s="219"/>
      <c r="G11" s="64"/>
      <c r="H11" s="64"/>
      <c r="I11" s="208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218"/>
    </row>
    <row r="12" spans="2:30" s="74" customFormat="1" ht="20.25">
      <c r="B12" s="212"/>
      <c r="C12" s="213"/>
      <c r="D12" s="213"/>
      <c r="E12" s="213"/>
      <c r="F12" s="220" t="s">
        <v>38</v>
      </c>
      <c r="G12" s="214"/>
      <c r="H12" s="215"/>
      <c r="I12" s="215"/>
      <c r="J12" s="221"/>
      <c r="K12" s="213"/>
      <c r="L12" s="215"/>
      <c r="M12" s="215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6"/>
    </row>
    <row r="13" spans="2:30" s="10" customFormat="1" ht="16.5" customHeight="1">
      <c r="B13" s="217"/>
      <c r="C13" s="64"/>
      <c r="D13" s="64"/>
      <c r="E13" s="64"/>
      <c r="F13" s="222"/>
      <c r="G13" s="222"/>
      <c r="H13" s="222"/>
      <c r="I13" s="223"/>
      <c r="J13" s="22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218"/>
    </row>
    <row r="14" spans="2:30" s="17" customFormat="1" ht="19.5">
      <c r="B14" s="225" t="str">
        <f>+'TOT-0814'!B14</f>
        <v>Desde el 01 al 31 de agosto de 2014</v>
      </c>
      <c r="C14" s="80"/>
      <c r="D14" s="80"/>
      <c r="E14" s="80"/>
      <c r="F14" s="226"/>
      <c r="G14" s="226"/>
      <c r="H14" s="226"/>
      <c r="I14" s="226"/>
      <c r="J14" s="226"/>
      <c r="K14" s="81"/>
      <c r="L14" s="81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7"/>
    </row>
    <row r="15" spans="2:30" s="10" customFormat="1" ht="16.5" customHeight="1" thickBot="1">
      <c r="B15" s="217"/>
      <c r="C15" s="64"/>
      <c r="D15" s="64"/>
      <c r="E15" s="64"/>
      <c r="F15" s="64"/>
      <c r="G15" s="64"/>
      <c r="H15" s="64"/>
      <c r="I15" s="228"/>
      <c r="J15" s="64"/>
      <c r="K15" s="229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218"/>
    </row>
    <row r="16" spans="2:30" s="10" customFormat="1" ht="16.5" customHeight="1" thickBot="1" thickTop="1">
      <c r="B16" s="217"/>
      <c r="C16" s="64"/>
      <c r="D16" s="64"/>
      <c r="E16" s="64"/>
      <c r="F16" s="230" t="s">
        <v>39</v>
      </c>
      <c r="G16" s="231"/>
      <c r="H16" s="232"/>
      <c r="I16" s="233">
        <v>1.614</v>
      </c>
      <c r="J16" s="208"/>
      <c r="K16" s="233">
        <v>0.2099</v>
      </c>
      <c r="L16" s="64" t="s">
        <v>165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218"/>
    </row>
    <row r="17" spans="2:30" s="10" customFormat="1" ht="16.5" customHeight="1" thickBot="1" thickTop="1">
      <c r="B17" s="217"/>
      <c r="C17" s="64"/>
      <c r="D17" s="64"/>
      <c r="E17" s="64"/>
      <c r="F17" s="234" t="s">
        <v>40</v>
      </c>
      <c r="G17" s="235"/>
      <c r="H17" s="235"/>
      <c r="I17" s="236">
        <f>30*'TOT-0814'!B13</f>
        <v>30</v>
      </c>
      <c r="J17" s="237" t="str">
        <f>IF(I17=30," ",IF(I17=60,"     Coeficiente duplicado por tasa de falla &gt;4 Sal. x año/100 km.","    REVISAR COEFICIENTE"))</f>
        <v> </v>
      </c>
      <c r="K17" s="237" t="str">
        <f>IF(I17=30," ",IF(I17=60,"    Coeficiente duplicado por tasa de falla &gt;4 Sal. x año/100 km.","    REVISAR COEFICIENTE"))</f>
        <v> 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238"/>
      <c r="X17" s="64"/>
      <c r="Y17" s="238"/>
      <c r="Z17" s="238"/>
      <c r="AA17" s="238"/>
      <c r="AB17" s="238"/>
      <c r="AC17" s="238"/>
      <c r="AD17" s="218"/>
    </row>
    <row r="18" spans="2:30" s="10" customFormat="1" ht="16.5" customHeight="1" thickBot="1" thickTop="1">
      <c r="B18" s="217"/>
      <c r="C18" s="64"/>
      <c r="D18" s="418">
        <v>4</v>
      </c>
      <c r="E18" s="418">
        <v>5</v>
      </c>
      <c r="F18" s="418">
        <v>6</v>
      </c>
      <c r="G18" s="418">
        <v>7</v>
      </c>
      <c r="H18" s="418">
        <v>8</v>
      </c>
      <c r="I18" s="418">
        <v>9</v>
      </c>
      <c r="J18" s="418">
        <v>10</v>
      </c>
      <c r="K18" s="418">
        <v>11</v>
      </c>
      <c r="L18" s="418">
        <v>12</v>
      </c>
      <c r="M18" s="418">
        <v>13</v>
      </c>
      <c r="N18" s="418">
        <v>14</v>
      </c>
      <c r="O18" s="418">
        <v>15</v>
      </c>
      <c r="P18" s="418">
        <v>16</v>
      </c>
      <c r="Q18" s="418">
        <v>17</v>
      </c>
      <c r="R18" s="418">
        <v>18</v>
      </c>
      <c r="S18" s="418">
        <v>19</v>
      </c>
      <c r="T18" s="418">
        <v>20</v>
      </c>
      <c r="U18" s="418">
        <v>21</v>
      </c>
      <c r="V18" s="418">
        <v>22</v>
      </c>
      <c r="W18" s="418">
        <v>23</v>
      </c>
      <c r="X18" s="418">
        <v>24</v>
      </c>
      <c r="Y18" s="418">
        <v>25</v>
      </c>
      <c r="Z18" s="418">
        <v>26</v>
      </c>
      <c r="AA18" s="418">
        <v>27</v>
      </c>
      <c r="AB18" s="418">
        <v>28</v>
      </c>
      <c r="AC18" s="418">
        <v>29</v>
      </c>
      <c r="AD18" s="218"/>
    </row>
    <row r="19" spans="2:30" s="239" customFormat="1" ht="34.5" customHeight="1" thickBot="1" thickTop="1">
      <c r="B19" s="240"/>
      <c r="C19" s="400" t="s">
        <v>20</v>
      </c>
      <c r="D19" s="400" t="s">
        <v>74</v>
      </c>
      <c r="E19" s="400" t="s">
        <v>75</v>
      </c>
      <c r="F19" s="241" t="s">
        <v>41</v>
      </c>
      <c r="G19" s="242" t="s">
        <v>42</v>
      </c>
      <c r="H19" s="243" t="s">
        <v>43</v>
      </c>
      <c r="I19" s="244" t="s">
        <v>21</v>
      </c>
      <c r="J19" s="245" t="s">
        <v>23</v>
      </c>
      <c r="K19" s="242" t="s">
        <v>24</v>
      </c>
      <c r="L19" s="242" t="s">
        <v>25</v>
      </c>
      <c r="M19" s="241" t="s">
        <v>44</v>
      </c>
      <c r="N19" s="241" t="s">
        <v>45</v>
      </c>
      <c r="O19" s="99" t="s">
        <v>72</v>
      </c>
      <c r="P19" s="242" t="s">
        <v>46</v>
      </c>
      <c r="Q19" s="241" t="s">
        <v>28</v>
      </c>
      <c r="R19" s="242" t="s">
        <v>47</v>
      </c>
      <c r="S19" s="246" t="s">
        <v>48</v>
      </c>
      <c r="T19" s="247" t="s">
        <v>29</v>
      </c>
      <c r="U19" s="248" t="s">
        <v>30</v>
      </c>
      <c r="V19" s="249" t="s">
        <v>49</v>
      </c>
      <c r="W19" s="250"/>
      <c r="X19" s="251" t="s">
        <v>50</v>
      </c>
      <c r="Y19" s="252"/>
      <c r="Z19" s="253" t="s">
        <v>33</v>
      </c>
      <c r="AA19" s="254" t="s">
        <v>34</v>
      </c>
      <c r="AB19" s="244" t="s">
        <v>51</v>
      </c>
      <c r="AC19" s="244" t="s">
        <v>36</v>
      </c>
      <c r="AD19" s="255"/>
    </row>
    <row r="20" spans="2:30" s="10" customFormat="1" ht="16.5" customHeight="1" thickTop="1">
      <c r="B20" s="217"/>
      <c r="C20" s="256"/>
      <c r="D20" s="256"/>
      <c r="E20" s="256"/>
      <c r="F20" s="257"/>
      <c r="G20" s="258"/>
      <c r="H20" s="258"/>
      <c r="I20" s="258"/>
      <c r="J20" s="259"/>
      <c r="K20" s="257"/>
      <c r="L20" s="258"/>
      <c r="M20" s="260"/>
      <c r="N20" s="260"/>
      <c r="O20" s="258"/>
      <c r="P20" s="258"/>
      <c r="Q20" s="258"/>
      <c r="R20" s="258"/>
      <c r="S20" s="123"/>
      <c r="T20" s="121"/>
      <c r="U20" s="261"/>
      <c r="V20" s="262"/>
      <c r="W20" s="263"/>
      <c r="X20" s="264"/>
      <c r="Y20" s="265"/>
      <c r="Z20" s="266"/>
      <c r="AA20" s="267"/>
      <c r="AB20" s="258"/>
      <c r="AC20" s="268"/>
      <c r="AD20" s="218"/>
    </row>
    <row r="21" spans="2:30" s="10" customFormat="1" ht="16.5" customHeight="1">
      <c r="B21" s="217"/>
      <c r="C21" s="269"/>
      <c r="D21" s="269"/>
      <c r="E21" s="269"/>
      <c r="F21" s="270"/>
      <c r="G21" s="270"/>
      <c r="H21" s="270"/>
      <c r="I21" s="270"/>
      <c r="J21" s="271"/>
      <c r="K21" s="272"/>
      <c r="L21" s="270"/>
      <c r="M21" s="273"/>
      <c r="N21" s="273"/>
      <c r="O21" s="270"/>
      <c r="P21" s="270"/>
      <c r="Q21" s="270"/>
      <c r="R21" s="270"/>
      <c r="S21" s="136"/>
      <c r="T21" s="134"/>
      <c r="U21" s="274"/>
      <c r="V21" s="275"/>
      <c r="W21" s="276"/>
      <c r="X21" s="277"/>
      <c r="Y21" s="278"/>
      <c r="Z21" s="279"/>
      <c r="AA21" s="280"/>
      <c r="AB21" s="270"/>
      <c r="AC21" s="281"/>
      <c r="AD21" s="218"/>
    </row>
    <row r="22" spans="2:30" s="10" customFormat="1" ht="16.5" customHeight="1">
      <c r="B22" s="217"/>
      <c r="C22" s="269"/>
      <c r="D22" s="269"/>
      <c r="E22" s="269"/>
      <c r="F22" s="126"/>
      <c r="G22" s="128"/>
      <c r="H22" s="419"/>
      <c r="I22" s="138"/>
      <c r="J22" s="284"/>
      <c r="K22" s="285"/>
      <c r="L22" s="285"/>
      <c r="M22" s="286"/>
      <c r="N22" s="287"/>
      <c r="O22" s="288"/>
      <c r="P22" s="289"/>
      <c r="Q22" s="288"/>
      <c r="R22" s="288"/>
      <c r="S22" s="152"/>
      <c r="T22" s="290"/>
      <c r="U22" s="291"/>
      <c r="V22" s="292"/>
      <c r="W22" s="293"/>
      <c r="X22" s="294"/>
      <c r="Y22" s="295"/>
      <c r="Z22" s="296"/>
      <c r="AA22" s="297"/>
      <c r="AB22" s="288"/>
      <c r="AC22" s="298"/>
      <c r="AD22" s="299"/>
    </row>
    <row r="23" spans="2:30" s="10" customFormat="1" ht="16.5" customHeight="1">
      <c r="B23" s="217"/>
      <c r="C23" s="269">
        <v>12</v>
      </c>
      <c r="D23" s="269">
        <v>277549</v>
      </c>
      <c r="E23" s="269">
        <v>867</v>
      </c>
      <c r="F23" s="126" t="s">
        <v>138</v>
      </c>
      <c r="G23" s="128" t="s">
        <v>139</v>
      </c>
      <c r="H23" s="282">
        <v>15</v>
      </c>
      <c r="I23" s="138" t="s">
        <v>140</v>
      </c>
      <c r="J23" s="284">
        <f aca="true" t="shared" si="0" ref="J23:J41">H23*$I$16</f>
        <v>24.21</v>
      </c>
      <c r="K23" s="285">
        <v>41856.427777777775</v>
      </c>
      <c r="L23" s="285">
        <v>41856.66527777778</v>
      </c>
      <c r="M23" s="286">
        <f aca="true" t="shared" si="1" ref="M23:M41">IF(F23="","",(L23-K23)*24)</f>
        <v>5.700000000069849</v>
      </c>
      <c r="N23" s="287">
        <f aca="true" t="shared" si="2" ref="N23:N41">IF(F23="","",ROUND((L23-K23)*24*60,0))</f>
        <v>342</v>
      </c>
      <c r="O23" s="288" t="s">
        <v>135</v>
      </c>
      <c r="P23" s="289" t="str">
        <f aca="true" t="shared" si="3" ref="P23:P41">IF(F23="","",IF(OR(O23="P",O23="RP"),"--","NO"))</f>
        <v>--</v>
      </c>
      <c r="Q23" s="288" t="s">
        <v>133</v>
      </c>
      <c r="R23" s="288" t="str">
        <f aca="true" t="shared" si="4" ref="R23:R41">IF(F23="","","NO")</f>
        <v>NO</v>
      </c>
      <c r="S23" s="152">
        <f aca="true" t="shared" si="5" ref="S23:S41">$I$17*IF(OR(O23="P",O23="RP"),0.1,1)*IF(R23="SI",1,0.1)</f>
        <v>0.30000000000000004</v>
      </c>
      <c r="T23" s="290">
        <f aca="true" t="shared" si="6" ref="T23:T41">IF(O23="P",J23*S23*ROUND(N23/60,2),"--")</f>
        <v>41.39910000000001</v>
      </c>
      <c r="U23" s="291" t="str">
        <f aca="true" t="shared" si="7" ref="U23:U41">IF(O23="RP",J23*S23*ROUND(N23/60,2)*Q23/100,"--")</f>
        <v>--</v>
      </c>
      <c r="V23" s="292" t="str">
        <f aca="true" t="shared" si="8" ref="V23:V41">IF(AND(O23="F",P23="NO"),J23*S23,"--")</f>
        <v>--</v>
      </c>
      <c r="W23" s="293" t="str">
        <f aca="true" t="shared" si="9" ref="W23:W41">IF(O23="F",J23*S23*ROUND(N23/60,2),"--")</f>
        <v>--</v>
      </c>
      <c r="X23" s="294" t="str">
        <f aca="true" t="shared" si="10" ref="X23:X41">IF(AND(O23="R",P23="NO"),J23*S23*Q23/100,"--")</f>
        <v>--</v>
      </c>
      <c r="Y23" s="295" t="str">
        <f aca="true" t="shared" si="11" ref="Y23:Y41">IF(O23="R",J23*S23*ROUND(N23/60,2)*Q23/100,"--")</f>
        <v>--</v>
      </c>
      <c r="Z23" s="296" t="str">
        <f aca="true" t="shared" si="12" ref="Z23:Z41">IF(O23="RF",J23*S23*ROUND(N23/60,2),"--")</f>
        <v>--</v>
      </c>
      <c r="AA23" s="297" t="str">
        <f aca="true" t="shared" si="13" ref="AA23:AA41">IF(O23="RR",J23*S23*ROUND(N23/60,2)*Q23/100,"--")</f>
        <v>--</v>
      </c>
      <c r="AB23" s="288" t="s">
        <v>137</v>
      </c>
      <c r="AC23" s="298">
        <f aca="true" t="shared" si="14" ref="AC23:AC41">IF(F23="","",SUM(T23:AA23)*IF(AB23="SI",1,2))</f>
        <v>41.39910000000001</v>
      </c>
      <c r="AD23" s="299"/>
    </row>
    <row r="24" spans="2:30" s="10" customFormat="1" ht="16.5" customHeight="1">
      <c r="B24" s="217"/>
      <c r="C24" s="269">
        <v>13</v>
      </c>
      <c r="D24" s="269">
        <v>277868</v>
      </c>
      <c r="E24" s="269">
        <v>856</v>
      </c>
      <c r="F24" s="126" t="s">
        <v>141</v>
      </c>
      <c r="G24" s="128" t="s">
        <v>142</v>
      </c>
      <c r="H24" s="282">
        <v>30</v>
      </c>
      <c r="I24" s="138" t="s">
        <v>143</v>
      </c>
      <c r="J24" s="284">
        <f t="shared" si="0"/>
        <v>48.42</v>
      </c>
      <c r="K24" s="285">
        <v>41863.60833333333</v>
      </c>
      <c r="L24" s="285">
        <v>41863.79027777778</v>
      </c>
      <c r="M24" s="286">
        <f t="shared" si="1"/>
        <v>4.366666666755918</v>
      </c>
      <c r="N24" s="287">
        <f t="shared" si="2"/>
        <v>262</v>
      </c>
      <c r="O24" s="288" t="s">
        <v>135</v>
      </c>
      <c r="P24" s="289" t="str">
        <f t="shared" si="3"/>
        <v>--</v>
      </c>
      <c r="Q24" s="288" t="s">
        <v>133</v>
      </c>
      <c r="R24" s="288" t="str">
        <f t="shared" si="4"/>
        <v>NO</v>
      </c>
      <c r="S24" s="152">
        <f t="shared" si="5"/>
        <v>0.30000000000000004</v>
      </c>
      <c r="T24" s="290">
        <f t="shared" si="6"/>
        <v>63.478620000000014</v>
      </c>
      <c r="U24" s="291" t="str">
        <f t="shared" si="7"/>
        <v>--</v>
      </c>
      <c r="V24" s="292" t="str">
        <f t="shared" si="8"/>
        <v>--</v>
      </c>
      <c r="W24" s="293" t="str">
        <f t="shared" si="9"/>
        <v>--</v>
      </c>
      <c r="X24" s="294" t="str">
        <f t="shared" si="10"/>
        <v>--</v>
      </c>
      <c r="Y24" s="295" t="str">
        <f t="shared" si="11"/>
        <v>--</v>
      </c>
      <c r="Z24" s="296" t="str">
        <f t="shared" si="12"/>
        <v>--</v>
      </c>
      <c r="AA24" s="297" t="str">
        <f t="shared" si="13"/>
        <v>--</v>
      </c>
      <c r="AB24" s="288" t="s">
        <v>137</v>
      </c>
      <c r="AC24" s="298">
        <f t="shared" si="14"/>
        <v>63.478620000000014</v>
      </c>
      <c r="AD24" s="218"/>
    </row>
    <row r="25" spans="2:30" s="10" customFormat="1" ht="16.5" customHeight="1">
      <c r="B25" s="217"/>
      <c r="C25" s="269">
        <v>14</v>
      </c>
      <c r="D25" s="269">
        <v>277866</v>
      </c>
      <c r="E25" s="269">
        <v>1014</v>
      </c>
      <c r="F25" s="126" t="s">
        <v>144</v>
      </c>
      <c r="G25" s="128" t="s">
        <v>145</v>
      </c>
      <c r="H25" s="282">
        <v>150</v>
      </c>
      <c r="I25" s="420" t="s">
        <v>166</v>
      </c>
      <c r="J25" s="284">
        <f t="shared" si="0"/>
        <v>242.10000000000002</v>
      </c>
      <c r="K25" s="285">
        <v>41863.864583333336</v>
      </c>
      <c r="L25" s="285">
        <v>41863.990277777775</v>
      </c>
      <c r="M25" s="286">
        <f t="shared" si="1"/>
        <v>3.016666666546371</v>
      </c>
      <c r="N25" s="287">
        <f t="shared" si="2"/>
        <v>181</v>
      </c>
      <c r="O25" s="288" t="s">
        <v>132</v>
      </c>
      <c r="P25" s="289" t="str">
        <f t="shared" si="3"/>
        <v>NO</v>
      </c>
      <c r="Q25" s="288" t="s">
        <v>133</v>
      </c>
      <c r="R25" s="288" t="str">
        <f t="shared" si="4"/>
        <v>NO</v>
      </c>
      <c r="S25" s="152">
        <f t="shared" si="5"/>
        <v>3</v>
      </c>
      <c r="T25" s="290" t="str">
        <f t="shared" si="6"/>
        <v>--</v>
      </c>
      <c r="U25" s="291" t="str">
        <f t="shared" si="7"/>
        <v>--</v>
      </c>
      <c r="V25" s="292">
        <f t="shared" si="8"/>
        <v>726.3000000000001</v>
      </c>
      <c r="W25" s="293">
        <f t="shared" si="9"/>
        <v>2193.4260000000004</v>
      </c>
      <c r="X25" s="294" t="str">
        <f t="shared" si="10"/>
        <v>--</v>
      </c>
      <c r="Y25" s="295" t="str">
        <f t="shared" si="11"/>
        <v>--</v>
      </c>
      <c r="Z25" s="296" t="str">
        <f t="shared" si="12"/>
        <v>--</v>
      </c>
      <c r="AA25" s="297" t="str">
        <f t="shared" si="13"/>
        <v>--</v>
      </c>
      <c r="AB25" s="288" t="s">
        <v>137</v>
      </c>
      <c r="AC25" s="298">
        <f t="shared" si="14"/>
        <v>2919.7260000000006</v>
      </c>
      <c r="AD25" s="218"/>
    </row>
    <row r="26" spans="2:30" s="10" customFormat="1" ht="16.5" customHeight="1">
      <c r="B26" s="217"/>
      <c r="C26" s="269">
        <v>15</v>
      </c>
      <c r="D26" s="269">
        <v>277867</v>
      </c>
      <c r="E26" s="269">
        <v>1013</v>
      </c>
      <c r="F26" s="126" t="s">
        <v>144</v>
      </c>
      <c r="G26" s="128" t="s">
        <v>147</v>
      </c>
      <c r="H26" s="282">
        <v>150</v>
      </c>
      <c r="I26" s="138" t="s">
        <v>148</v>
      </c>
      <c r="J26" s="284">
        <f t="shared" si="0"/>
        <v>242.10000000000002</v>
      </c>
      <c r="K26" s="285">
        <v>41863.864583333336</v>
      </c>
      <c r="L26" s="285">
        <v>41864.01875</v>
      </c>
      <c r="M26" s="286">
        <f t="shared" si="1"/>
        <v>3.7000000000116415</v>
      </c>
      <c r="N26" s="287">
        <f t="shared" si="2"/>
        <v>222</v>
      </c>
      <c r="O26" s="288" t="s">
        <v>132</v>
      </c>
      <c r="P26" s="289" t="str">
        <f t="shared" si="3"/>
        <v>NO</v>
      </c>
      <c r="Q26" s="288" t="s">
        <v>133</v>
      </c>
      <c r="R26" s="288" t="str">
        <f t="shared" si="4"/>
        <v>NO</v>
      </c>
      <c r="S26" s="152">
        <f t="shared" si="5"/>
        <v>3</v>
      </c>
      <c r="T26" s="290" t="str">
        <f t="shared" si="6"/>
        <v>--</v>
      </c>
      <c r="U26" s="291" t="str">
        <f t="shared" si="7"/>
        <v>--</v>
      </c>
      <c r="V26" s="292">
        <f t="shared" si="8"/>
        <v>726.3000000000001</v>
      </c>
      <c r="W26" s="293">
        <f t="shared" si="9"/>
        <v>2687.3100000000004</v>
      </c>
      <c r="X26" s="294" t="str">
        <f t="shared" si="10"/>
        <v>--</v>
      </c>
      <c r="Y26" s="295" t="str">
        <f t="shared" si="11"/>
        <v>--</v>
      </c>
      <c r="Z26" s="296" t="str">
        <f t="shared" si="12"/>
        <v>--</v>
      </c>
      <c r="AA26" s="297" t="str">
        <f t="shared" si="13"/>
        <v>--</v>
      </c>
      <c r="AB26" s="288" t="s">
        <v>137</v>
      </c>
      <c r="AC26" s="298">
        <f t="shared" si="14"/>
        <v>3413.6100000000006</v>
      </c>
      <c r="AD26" s="218"/>
    </row>
    <row r="27" spans="2:30" s="10" customFormat="1" ht="16.5" customHeight="1">
      <c r="B27" s="217"/>
      <c r="C27" s="269">
        <v>16</v>
      </c>
      <c r="D27" s="269">
        <v>277869</v>
      </c>
      <c r="E27" s="269">
        <v>857</v>
      </c>
      <c r="F27" s="126" t="s">
        <v>141</v>
      </c>
      <c r="G27" s="128" t="s">
        <v>145</v>
      </c>
      <c r="H27" s="282">
        <v>30</v>
      </c>
      <c r="I27" s="138" t="s">
        <v>143</v>
      </c>
      <c r="J27" s="284">
        <f t="shared" si="0"/>
        <v>48.42</v>
      </c>
      <c r="K27" s="285">
        <v>41864.611805555556</v>
      </c>
      <c r="L27" s="285">
        <v>41864.82708333333</v>
      </c>
      <c r="M27" s="286">
        <f t="shared" si="1"/>
        <v>5.166666666569654</v>
      </c>
      <c r="N27" s="287">
        <f t="shared" si="2"/>
        <v>310</v>
      </c>
      <c r="O27" s="288" t="s">
        <v>135</v>
      </c>
      <c r="P27" s="289" t="str">
        <f t="shared" si="3"/>
        <v>--</v>
      </c>
      <c r="Q27" s="288" t="s">
        <v>133</v>
      </c>
      <c r="R27" s="288" t="str">
        <f t="shared" si="4"/>
        <v>NO</v>
      </c>
      <c r="S27" s="152">
        <f t="shared" si="5"/>
        <v>0.30000000000000004</v>
      </c>
      <c r="T27" s="290">
        <f t="shared" si="6"/>
        <v>75.09942000000002</v>
      </c>
      <c r="U27" s="291" t="str">
        <f t="shared" si="7"/>
        <v>--</v>
      </c>
      <c r="V27" s="292" t="str">
        <f t="shared" si="8"/>
        <v>--</v>
      </c>
      <c r="W27" s="293" t="str">
        <f t="shared" si="9"/>
        <v>--</v>
      </c>
      <c r="X27" s="294" t="str">
        <f t="shared" si="10"/>
        <v>--</v>
      </c>
      <c r="Y27" s="295" t="str">
        <f t="shared" si="11"/>
        <v>--</v>
      </c>
      <c r="Z27" s="296" t="str">
        <f t="shared" si="12"/>
        <v>--</v>
      </c>
      <c r="AA27" s="297" t="str">
        <f t="shared" si="13"/>
        <v>--</v>
      </c>
      <c r="AB27" s="288" t="s">
        <v>137</v>
      </c>
      <c r="AC27" s="298">
        <f t="shared" si="14"/>
        <v>75.09942000000002</v>
      </c>
      <c r="AD27" s="218"/>
    </row>
    <row r="28" spans="2:30" s="10" customFormat="1" ht="16.5" customHeight="1">
      <c r="B28" s="217"/>
      <c r="C28" s="269">
        <v>17</v>
      </c>
      <c r="D28" s="269">
        <v>277870</v>
      </c>
      <c r="E28" s="269">
        <v>870</v>
      </c>
      <c r="F28" s="126" t="s">
        <v>149</v>
      </c>
      <c r="G28" s="128" t="s">
        <v>145</v>
      </c>
      <c r="H28" s="282">
        <v>30</v>
      </c>
      <c r="I28" s="138" t="s">
        <v>143</v>
      </c>
      <c r="J28" s="284">
        <f t="shared" si="0"/>
        <v>48.42</v>
      </c>
      <c r="K28" s="285">
        <v>41865.43958333333</v>
      </c>
      <c r="L28" s="285">
        <v>41865.74652777778</v>
      </c>
      <c r="M28" s="286">
        <f t="shared" si="1"/>
        <v>7.366666666755918</v>
      </c>
      <c r="N28" s="287">
        <f t="shared" si="2"/>
        <v>442</v>
      </c>
      <c r="O28" s="288" t="s">
        <v>135</v>
      </c>
      <c r="P28" s="289" t="str">
        <f t="shared" si="3"/>
        <v>--</v>
      </c>
      <c r="Q28" s="288" t="s">
        <v>133</v>
      </c>
      <c r="R28" s="288" t="str">
        <f t="shared" si="4"/>
        <v>NO</v>
      </c>
      <c r="S28" s="152">
        <f t="shared" si="5"/>
        <v>0.30000000000000004</v>
      </c>
      <c r="T28" s="290">
        <f t="shared" si="6"/>
        <v>107.05662000000002</v>
      </c>
      <c r="U28" s="291" t="str">
        <f t="shared" si="7"/>
        <v>--</v>
      </c>
      <c r="V28" s="292" t="str">
        <f t="shared" si="8"/>
        <v>--</v>
      </c>
      <c r="W28" s="293" t="str">
        <f t="shared" si="9"/>
        <v>--</v>
      </c>
      <c r="X28" s="294" t="str">
        <f t="shared" si="10"/>
        <v>--</v>
      </c>
      <c r="Y28" s="295" t="str">
        <f t="shared" si="11"/>
        <v>--</v>
      </c>
      <c r="Z28" s="296" t="str">
        <f t="shared" si="12"/>
        <v>--</v>
      </c>
      <c r="AA28" s="297" t="str">
        <f t="shared" si="13"/>
        <v>--</v>
      </c>
      <c r="AB28" s="288" t="s">
        <v>137</v>
      </c>
      <c r="AC28" s="298">
        <f t="shared" si="14"/>
        <v>107.05662000000002</v>
      </c>
      <c r="AD28" s="218"/>
    </row>
    <row r="29" spans="2:30" s="10" customFormat="1" ht="16.5" customHeight="1">
      <c r="B29" s="217"/>
      <c r="C29" s="269">
        <v>18</v>
      </c>
      <c r="D29" s="269">
        <v>277871</v>
      </c>
      <c r="E29" s="269">
        <v>1013</v>
      </c>
      <c r="F29" s="126" t="s">
        <v>146</v>
      </c>
      <c r="G29" s="128" t="s">
        <v>147</v>
      </c>
      <c r="H29" s="282">
        <v>150</v>
      </c>
      <c r="I29" s="138" t="s">
        <v>148</v>
      </c>
      <c r="J29" s="284">
        <f t="shared" si="0"/>
        <v>242.10000000000002</v>
      </c>
      <c r="K29" s="285">
        <v>41866.45625</v>
      </c>
      <c r="L29" s="285">
        <v>41867.58819444444</v>
      </c>
      <c r="M29" s="286">
        <f t="shared" si="1"/>
        <v>27.166666666511446</v>
      </c>
      <c r="N29" s="287">
        <f t="shared" si="2"/>
        <v>1630</v>
      </c>
      <c r="O29" s="288" t="s">
        <v>135</v>
      </c>
      <c r="P29" s="289" t="str">
        <f t="shared" si="3"/>
        <v>--</v>
      </c>
      <c r="Q29" s="288" t="s">
        <v>133</v>
      </c>
      <c r="R29" s="288" t="str">
        <f t="shared" si="4"/>
        <v>NO</v>
      </c>
      <c r="S29" s="152">
        <f t="shared" si="5"/>
        <v>0.30000000000000004</v>
      </c>
      <c r="T29" s="290">
        <f t="shared" si="6"/>
        <v>1973.3571000000009</v>
      </c>
      <c r="U29" s="291" t="str">
        <f t="shared" si="7"/>
        <v>--</v>
      </c>
      <c r="V29" s="292" t="str">
        <f t="shared" si="8"/>
        <v>--</v>
      </c>
      <c r="W29" s="293" t="str">
        <f t="shared" si="9"/>
        <v>--</v>
      </c>
      <c r="X29" s="294" t="str">
        <f t="shared" si="10"/>
        <v>--</v>
      </c>
      <c r="Y29" s="295" t="str">
        <f t="shared" si="11"/>
        <v>--</v>
      </c>
      <c r="Z29" s="296" t="str">
        <f t="shared" si="12"/>
        <v>--</v>
      </c>
      <c r="AA29" s="297" t="str">
        <f t="shared" si="13"/>
        <v>--</v>
      </c>
      <c r="AB29" s="288" t="s">
        <v>137</v>
      </c>
      <c r="AC29" s="298">
        <f t="shared" si="14"/>
        <v>1973.3571000000009</v>
      </c>
      <c r="AD29" s="218"/>
    </row>
    <row r="30" spans="2:30" s="10" customFormat="1" ht="16.5" customHeight="1">
      <c r="B30" s="217"/>
      <c r="C30" s="269">
        <v>19</v>
      </c>
      <c r="D30" s="269">
        <v>277872</v>
      </c>
      <c r="E30" s="269">
        <v>869</v>
      </c>
      <c r="F30" s="126" t="s">
        <v>150</v>
      </c>
      <c r="G30" s="128" t="s">
        <v>142</v>
      </c>
      <c r="H30" s="282">
        <v>30</v>
      </c>
      <c r="I30" s="138" t="s">
        <v>143</v>
      </c>
      <c r="J30" s="284">
        <f t="shared" si="0"/>
        <v>48.42</v>
      </c>
      <c r="K30" s="285">
        <v>41868.35833333333</v>
      </c>
      <c r="L30" s="285">
        <v>41868.683333333334</v>
      </c>
      <c r="M30" s="286">
        <f t="shared" si="1"/>
        <v>7.800000000104774</v>
      </c>
      <c r="N30" s="287">
        <f t="shared" si="2"/>
        <v>468</v>
      </c>
      <c r="O30" s="288" t="s">
        <v>151</v>
      </c>
      <c r="P30" s="289" t="str">
        <f t="shared" si="3"/>
        <v>--</v>
      </c>
      <c r="Q30" s="289">
        <v>50</v>
      </c>
      <c r="R30" s="288" t="str">
        <f t="shared" si="4"/>
        <v>NO</v>
      </c>
      <c r="S30" s="152">
        <f t="shared" si="5"/>
        <v>0.30000000000000004</v>
      </c>
      <c r="T30" s="290" t="str">
        <f t="shared" si="6"/>
        <v>--</v>
      </c>
      <c r="U30" s="291">
        <f t="shared" si="7"/>
        <v>56.65140000000001</v>
      </c>
      <c r="V30" s="292" t="str">
        <f t="shared" si="8"/>
        <v>--</v>
      </c>
      <c r="W30" s="293" t="str">
        <f t="shared" si="9"/>
        <v>--</v>
      </c>
      <c r="X30" s="294" t="str">
        <f t="shared" si="10"/>
        <v>--</v>
      </c>
      <c r="Y30" s="295" t="str">
        <f t="shared" si="11"/>
        <v>--</v>
      </c>
      <c r="Z30" s="296" t="str">
        <f t="shared" si="12"/>
        <v>--</v>
      </c>
      <c r="AA30" s="297" t="str">
        <f t="shared" si="13"/>
        <v>--</v>
      </c>
      <c r="AB30" s="288" t="s">
        <v>137</v>
      </c>
      <c r="AC30" s="298">
        <f t="shared" si="14"/>
        <v>56.65140000000001</v>
      </c>
      <c r="AD30" s="218"/>
    </row>
    <row r="31" spans="2:30" s="10" customFormat="1" ht="16.5" customHeight="1">
      <c r="B31" s="217"/>
      <c r="C31" s="269">
        <v>20</v>
      </c>
      <c r="D31" s="269">
        <v>277873</v>
      </c>
      <c r="E31" s="269">
        <v>870</v>
      </c>
      <c r="F31" s="126" t="s">
        <v>149</v>
      </c>
      <c r="G31" s="128" t="s">
        <v>145</v>
      </c>
      <c r="H31" s="282">
        <v>30</v>
      </c>
      <c r="I31" s="138" t="s">
        <v>143</v>
      </c>
      <c r="J31" s="284">
        <f t="shared" si="0"/>
        <v>48.42</v>
      </c>
      <c r="K31" s="285">
        <v>41868.35833333333</v>
      </c>
      <c r="L31" s="285">
        <v>41868.68402777778</v>
      </c>
      <c r="M31" s="286">
        <f t="shared" si="1"/>
        <v>7.816666666825768</v>
      </c>
      <c r="N31" s="287">
        <f t="shared" si="2"/>
        <v>469</v>
      </c>
      <c r="O31" s="288" t="s">
        <v>151</v>
      </c>
      <c r="P31" s="289" t="str">
        <f t="shared" si="3"/>
        <v>--</v>
      </c>
      <c r="Q31" s="289">
        <v>50</v>
      </c>
      <c r="R31" s="288" t="str">
        <f t="shared" si="4"/>
        <v>NO</v>
      </c>
      <c r="S31" s="152">
        <f t="shared" si="5"/>
        <v>0.30000000000000004</v>
      </c>
      <c r="T31" s="290" t="str">
        <f t="shared" si="6"/>
        <v>--</v>
      </c>
      <c r="U31" s="291">
        <f t="shared" si="7"/>
        <v>56.79666000000002</v>
      </c>
      <c r="V31" s="292" t="str">
        <f t="shared" si="8"/>
        <v>--</v>
      </c>
      <c r="W31" s="293" t="str">
        <f t="shared" si="9"/>
        <v>--</v>
      </c>
      <c r="X31" s="294" t="str">
        <f t="shared" si="10"/>
        <v>--</v>
      </c>
      <c r="Y31" s="295" t="str">
        <f t="shared" si="11"/>
        <v>--</v>
      </c>
      <c r="Z31" s="296" t="str">
        <f t="shared" si="12"/>
        <v>--</v>
      </c>
      <c r="AA31" s="297" t="str">
        <f t="shared" si="13"/>
        <v>--</v>
      </c>
      <c r="AB31" s="288" t="s">
        <v>137</v>
      </c>
      <c r="AC31" s="298">
        <f t="shared" si="14"/>
        <v>56.79666000000002</v>
      </c>
      <c r="AD31" s="218"/>
    </row>
    <row r="32" spans="2:30" s="10" customFormat="1" ht="16.5" customHeight="1">
      <c r="B32" s="217"/>
      <c r="C32" s="269">
        <v>21</v>
      </c>
      <c r="D32" s="269">
        <v>277874</v>
      </c>
      <c r="E32" s="269">
        <v>4759</v>
      </c>
      <c r="F32" s="126" t="s">
        <v>149</v>
      </c>
      <c r="G32" s="128" t="s">
        <v>167</v>
      </c>
      <c r="H32" s="419">
        <v>30</v>
      </c>
      <c r="I32" s="138" t="s">
        <v>143</v>
      </c>
      <c r="J32" s="284">
        <f t="shared" si="0"/>
        <v>48.42</v>
      </c>
      <c r="K32" s="285">
        <v>41868.35833333333</v>
      </c>
      <c r="L32" s="285">
        <v>41868.686111111114</v>
      </c>
      <c r="M32" s="286">
        <f t="shared" si="1"/>
        <v>7.866666666814126</v>
      </c>
      <c r="N32" s="287">
        <f t="shared" si="2"/>
        <v>472</v>
      </c>
      <c r="O32" s="288" t="s">
        <v>151</v>
      </c>
      <c r="P32" s="289" t="str">
        <f t="shared" si="3"/>
        <v>--</v>
      </c>
      <c r="Q32" s="289">
        <v>50</v>
      </c>
      <c r="R32" s="288" t="str">
        <f t="shared" si="4"/>
        <v>NO</v>
      </c>
      <c r="S32" s="152">
        <f t="shared" si="5"/>
        <v>0.30000000000000004</v>
      </c>
      <c r="T32" s="290" t="str">
        <f t="shared" si="6"/>
        <v>--</v>
      </c>
      <c r="U32" s="291">
        <f t="shared" si="7"/>
        <v>57.159810000000014</v>
      </c>
      <c r="V32" s="292" t="str">
        <f t="shared" si="8"/>
        <v>--</v>
      </c>
      <c r="W32" s="293" t="str">
        <f t="shared" si="9"/>
        <v>--</v>
      </c>
      <c r="X32" s="294" t="str">
        <f t="shared" si="10"/>
        <v>--</v>
      </c>
      <c r="Y32" s="295" t="str">
        <f t="shared" si="11"/>
        <v>--</v>
      </c>
      <c r="Z32" s="296" t="str">
        <f t="shared" si="12"/>
        <v>--</v>
      </c>
      <c r="AA32" s="297" t="str">
        <f t="shared" si="13"/>
        <v>--</v>
      </c>
      <c r="AB32" s="288" t="s">
        <v>137</v>
      </c>
      <c r="AC32" s="298">
        <f t="shared" si="14"/>
        <v>57.159810000000014</v>
      </c>
      <c r="AD32" s="218"/>
    </row>
    <row r="33" spans="2:30" s="10" customFormat="1" ht="16.5" customHeight="1">
      <c r="B33" s="217"/>
      <c r="C33" s="269">
        <v>22</v>
      </c>
      <c r="D33" s="269">
        <v>278102</v>
      </c>
      <c r="E33" s="269">
        <v>871</v>
      </c>
      <c r="F33" s="126" t="s">
        <v>152</v>
      </c>
      <c r="G33" s="128" t="s">
        <v>142</v>
      </c>
      <c r="H33" s="282">
        <v>30</v>
      </c>
      <c r="I33" s="138" t="s">
        <v>153</v>
      </c>
      <c r="J33" s="284">
        <f t="shared" si="0"/>
        <v>48.42</v>
      </c>
      <c r="K33" s="285">
        <v>41875.381944444445</v>
      </c>
      <c r="L33" s="285">
        <v>41875.66805555556</v>
      </c>
      <c r="M33" s="286">
        <f t="shared" si="1"/>
        <v>6.866666666697711</v>
      </c>
      <c r="N33" s="287">
        <f t="shared" si="2"/>
        <v>412</v>
      </c>
      <c r="O33" s="288" t="s">
        <v>135</v>
      </c>
      <c r="P33" s="289" t="str">
        <f t="shared" si="3"/>
        <v>--</v>
      </c>
      <c r="Q33" s="288" t="s">
        <v>133</v>
      </c>
      <c r="R33" s="288" t="str">
        <f t="shared" si="4"/>
        <v>NO</v>
      </c>
      <c r="S33" s="152">
        <f t="shared" si="5"/>
        <v>0.30000000000000004</v>
      </c>
      <c r="T33" s="290">
        <f t="shared" si="6"/>
        <v>99.79362000000002</v>
      </c>
      <c r="U33" s="291" t="str">
        <f t="shared" si="7"/>
        <v>--</v>
      </c>
      <c r="V33" s="292" t="str">
        <f t="shared" si="8"/>
        <v>--</v>
      </c>
      <c r="W33" s="293" t="str">
        <f t="shared" si="9"/>
        <v>--</v>
      </c>
      <c r="X33" s="294" t="str">
        <f t="shared" si="10"/>
        <v>--</v>
      </c>
      <c r="Y33" s="295" t="str">
        <f t="shared" si="11"/>
        <v>--</v>
      </c>
      <c r="Z33" s="296" t="str">
        <f t="shared" si="12"/>
        <v>--</v>
      </c>
      <c r="AA33" s="297" t="str">
        <f t="shared" si="13"/>
        <v>--</v>
      </c>
      <c r="AB33" s="288" t="s">
        <v>137</v>
      </c>
      <c r="AC33" s="298">
        <f t="shared" si="14"/>
        <v>99.79362000000002</v>
      </c>
      <c r="AD33" s="218"/>
    </row>
    <row r="34" spans="2:30" s="10" customFormat="1" ht="16.5" customHeight="1">
      <c r="B34" s="217"/>
      <c r="C34" s="269">
        <v>23</v>
      </c>
      <c r="D34" s="269">
        <v>278294</v>
      </c>
      <c r="E34" s="269">
        <v>871</v>
      </c>
      <c r="F34" s="126" t="s">
        <v>152</v>
      </c>
      <c r="G34" s="128" t="s">
        <v>142</v>
      </c>
      <c r="H34" s="282">
        <v>30</v>
      </c>
      <c r="I34" s="138" t="s">
        <v>153</v>
      </c>
      <c r="J34" s="284">
        <f t="shared" si="0"/>
        <v>48.42</v>
      </c>
      <c r="K34" s="285">
        <v>41882.33611111111</v>
      </c>
      <c r="L34" s="285">
        <v>41882.75347222222</v>
      </c>
      <c r="M34" s="286">
        <f t="shared" si="1"/>
        <v>10.016666666662786</v>
      </c>
      <c r="N34" s="287">
        <f t="shared" si="2"/>
        <v>601</v>
      </c>
      <c r="O34" s="288" t="s">
        <v>135</v>
      </c>
      <c r="P34" s="289" t="str">
        <f t="shared" si="3"/>
        <v>--</v>
      </c>
      <c r="Q34" s="288" t="s">
        <v>133</v>
      </c>
      <c r="R34" s="288" t="str">
        <f t="shared" si="4"/>
        <v>NO</v>
      </c>
      <c r="S34" s="152">
        <f t="shared" si="5"/>
        <v>0.30000000000000004</v>
      </c>
      <c r="T34" s="290">
        <f t="shared" si="6"/>
        <v>145.55052000000003</v>
      </c>
      <c r="U34" s="291" t="str">
        <f t="shared" si="7"/>
        <v>--</v>
      </c>
      <c r="V34" s="292" t="str">
        <f t="shared" si="8"/>
        <v>--</v>
      </c>
      <c r="W34" s="293" t="str">
        <f t="shared" si="9"/>
        <v>--</v>
      </c>
      <c r="X34" s="294" t="str">
        <f t="shared" si="10"/>
        <v>--</v>
      </c>
      <c r="Y34" s="295" t="str">
        <f t="shared" si="11"/>
        <v>--</v>
      </c>
      <c r="Z34" s="296" t="str">
        <f t="shared" si="12"/>
        <v>--</v>
      </c>
      <c r="AA34" s="297" t="str">
        <f t="shared" si="13"/>
        <v>--</v>
      </c>
      <c r="AB34" s="288" t="s">
        <v>137</v>
      </c>
      <c r="AC34" s="298">
        <f t="shared" si="14"/>
        <v>145.55052000000003</v>
      </c>
      <c r="AD34" s="218"/>
    </row>
    <row r="35" spans="2:30" s="10" customFormat="1" ht="16.5" customHeight="1">
      <c r="B35" s="217"/>
      <c r="C35" s="269"/>
      <c r="D35" s="269"/>
      <c r="E35" s="269"/>
      <c r="F35" s="126"/>
      <c r="G35" s="128"/>
      <c r="H35" s="282"/>
      <c r="I35" s="283"/>
      <c r="J35" s="284">
        <f t="shared" si="0"/>
        <v>0</v>
      </c>
      <c r="K35" s="285"/>
      <c r="L35" s="285"/>
      <c r="M35" s="286">
        <f t="shared" si="1"/>
      </c>
      <c r="N35" s="287">
        <f t="shared" si="2"/>
      </c>
      <c r="O35" s="288"/>
      <c r="P35" s="289">
        <f t="shared" si="3"/>
      </c>
      <c r="Q35" s="289">
        <f aca="true" t="shared" si="15" ref="Q35:Q41">IF(F35="","","--")</f>
      </c>
      <c r="R35" s="288">
        <f t="shared" si="4"/>
      </c>
      <c r="S35" s="152">
        <f t="shared" si="5"/>
        <v>3</v>
      </c>
      <c r="T35" s="290" t="str">
        <f t="shared" si="6"/>
        <v>--</v>
      </c>
      <c r="U35" s="291" t="str">
        <f t="shared" si="7"/>
        <v>--</v>
      </c>
      <c r="V35" s="292" t="str">
        <f t="shared" si="8"/>
        <v>--</v>
      </c>
      <c r="W35" s="293" t="str">
        <f t="shared" si="9"/>
        <v>--</v>
      </c>
      <c r="X35" s="294" t="str">
        <f t="shared" si="10"/>
        <v>--</v>
      </c>
      <c r="Y35" s="295" t="str">
        <f t="shared" si="11"/>
        <v>--</v>
      </c>
      <c r="Z35" s="296" t="str">
        <f t="shared" si="12"/>
        <v>--</v>
      </c>
      <c r="AA35" s="297" t="str">
        <f t="shared" si="13"/>
        <v>--</v>
      </c>
      <c r="AB35" s="288">
        <f aca="true" t="shared" si="16" ref="AB35:AB41">IF(F35="","","SI")</f>
      </c>
      <c r="AC35" s="298">
        <f t="shared" si="14"/>
      </c>
      <c r="AD35" s="218"/>
    </row>
    <row r="36" spans="2:30" s="10" customFormat="1" ht="16.5" customHeight="1">
      <c r="B36" s="217"/>
      <c r="C36" s="269"/>
      <c r="D36" s="269"/>
      <c r="E36" s="269"/>
      <c r="F36" s="126"/>
      <c r="G36" s="128"/>
      <c r="H36" s="282"/>
      <c r="I36" s="283"/>
      <c r="J36" s="284">
        <f t="shared" si="0"/>
        <v>0</v>
      </c>
      <c r="K36" s="285"/>
      <c r="L36" s="285"/>
      <c r="M36" s="286">
        <f t="shared" si="1"/>
      </c>
      <c r="N36" s="287">
        <f t="shared" si="2"/>
      </c>
      <c r="O36" s="288"/>
      <c r="P36" s="289">
        <f t="shared" si="3"/>
      </c>
      <c r="Q36" s="289">
        <f t="shared" si="15"/>
      </c>
      <c r="R36" s="288">
        <f t="shared" si="4"/>
      </c>
      <c r="S36" s="152">
        <f t="shared" si="5"/>
        <v>3</v>
      </c>
      <c r="T36" s="290" t="str">
        <f t="shared" si="6"/>
        <v>--</v>
      </c>
      <c r="U36" s="291" t="str">
        <f t="shared" si="7"/>
        <v>--</v>
      </c>
      <c r="V36" s="292" t="str">
        <f t="shared" si="8"/>
        <v>--</v>
      </c>
      <c r="W36" s="293" t="str">
        <f t="shared" si="9"/>
        <v>--</v>
      </c>
      <c r="X36" s="294" t="str">
        <f t="shared" si="10"/>
        <v>--</v>
      </c>
      <c r="Y36" s="295" t="str">
        <f t="shared" si="11"/>
        <v>--</v>
      </c>
      <c r="Z36" s="296" t="str">
        <f t="shared" si="12"/>
        <v>--</v>
      </c>
      <c r="AA36" s="297" t="str">
        <f t="shared" si="13"/>
        <v>--</v>
      </c>
      <c r="AB36" s="288">
        <f t="shared" si="16"/>
      </c>
      <c r="AC36" s="298">
        <f t="shared" si="14"/>
      </c>
      <c r="AD36" s="218"/>
    </row>
    <row r="37" spans="2:30" s="10" customFormat="1" ht="16.5" customHeight="1">
      <c r="B37" s="217"/>
      <c r="C37" s="269"/>
      <c r="D37" s="269"/>
      <c r="E37" s="269"/>
      <c r="F37" s="126"/>
      <c r="G37" s="128"/>
      <c r="H37" s="282"/>
      <c r="I37" s="283"/>
      <c r="J37" s="284">
        <f t="shared" si="0"/>
        <v>0</v>
      </c>
      <c r="K37" s="285"/>
      <c r="L37" s="285"/>
      <c r="M37" s="286">
        <f t="shared" si="1"/>
      </c>
      <c r="N37" s="287">
        <f t="shared" si="2"/>
      </c>
      <c r="O37" s="288"/>
      <c r="P37" s="289">
        <f t="shared" si="3"/>
      </c>
      <c r="Q37" s="289">
        <f t="shared" si="15"/>
      </c>
      <c r="R37" s="288">
        <f t="shared" si="4"/>
      </c>
      <c r="S37" s="152">
        <f t="shared" si="5"/>
        <v>3</v>
      </c>
      <c r="T37" s="290" t="str">
        <f t="shared" si="6"/>
        <v>--</v>
      </c>
      <c r="U37" s="291" t="str">
        <f t="shared" si="7"/>
        <v>--</v>
      </c>
      <c r="V37" s="292" t="str">
        <f t="shared" si="8"/>
        <v>--</v>
      </c>
      <c r="W37" s="293" t="str">
        <f t="shared" si="9"/>
        <v>--</v>
      </c>
      <c r="X37" s="294" t="str">
        <f t="shared" si="10"/>
        <v>--</v>
      </c>
      <c r="Y37" s="295" t="str">
        <f t="shared" si="11"/>
        <v>--</v>
      </c>
      <c r="Z37" s="296" t="str">
        <f t="shared" si="12"/>
        <v>--</v>
      </c>
      <c r="AA37" s="297" t="str">
        <f t="shared" si="13"/>
        <v>--</v>
      </c>
      <c r="AB37" s="288">
        <f t="shared" si="16"/>
      </c>
      <c r="AC37" s="298">
        <f t="shared" si="14"/>
      </c>
      <c r="AD37" s="218"/>
    </row>
    <row r="38" spans="2:30" s="10" customFormat="1" ht="16.5" customHeight="1">
      <c r="B38" s="217"/>
      <c r="C38" s="269"/>
      <c r="D38" s="269"/>
      <c r="E38" s="269"/>
      <c r="F38" s="126"/>
      <c r="G38" s="128"/>
      <c r="H38" s="282"/>
      <c r="I38" s="283"/>
      <c r="J38" s="284">
        <f t="shared" si="0"/>
        <v>0</v>
      </c>
      <c r="K38" s="285"/>
      <c r="L38" s="285"/>
      <c r="M38" s="286">
        <f t="shared" si="1"/>
      </c>
      <c r="N38" s="287">
        <f t="shared" si="2"/>
      </c>
      <c r="O38" s="288"/>
      <c r="P38" s="289">
        <f t="shared" si="3"/>
      </c>
      <c r="Q38" s="289">
        <f t="shared" si="15"/>
      </c>
      <c r="R38" s="288">
        <f t="shared" si="4"/>
      </c>
      <c r="S38" s="152">
        <f t="shared" si="5"/>
        <v>3</v>
      </c>
      <c r="T38" s="290" t="str">
        <f t="shared" si="6"/>
        <v>--</v>
      </c>
      <c r="U38" s="291" t="str">
        <f t="shared" si="7"/>
        <v>--</v>
      </c>
      <c r="V38" s="292" t="str">
        <f t="shared" si="8"/>
        <v>--</v>
      </c>
      <c r="W38" s="293" t="str">
        <f t="shared" si="9"/>
        <v>--</v>
      </c>
      <c r="X38" s="294" t="str">
        <f t="shared" si="10"/>
        <v>--</v>
      </c>
      <c r="Y38" s="295" t="str">
        <f t="shared" si="11"/>
        <v>--</v>
      </c>
      <c r="Z38" s="296" t="str">
        <f t="shared" si="12"/>
        <v>--</v>
      </c>
      <c r="AA38" s="297" t="str">
        <f t="shared" si="13"/>
        <v>--</v>
      </c>
      <c r="AB38" s="288">
        <f t="shared" si="16"/>
      </c>
      <c r="AC38" s="298">
        <f t="shared" si="14"/>
      </c>
      <c r="AD38" s="218"/>
    </row>
    <row r="39" spans="2:30" s="10" customFormat="1" ht="16.5" customHeight="1">
      <c r="B39" s="217"/>
      <c r="C39" s="269"/>
      <c r="D39" s="269"/>
      <c r="E39" s="269"/>
      <c r="F39" s="126"/>
      <c r="G39" s="128"/>
      <c r="H39" s="282"/>
      <c r="I39" s="283"/>
      <c r="J39" s="284">
        <f t="shared" si="0"/>
        <v>0</v>
      </c>
      <c r="K39" s="285"/>
      <c r="L39" s="285"/>
      <c r="M39" s="286">
        <f t="shared" si="1"/>
      </c>
      <c r="N39" s="287">
        <f t="shared" si="2"/>
      </c>
      <c r="O39" s="288"/>
      <c r="P39" s="289">
        <f t="shared" si="3"/>
      </c>
      <c r="Q39" s="289">
        <f t="shared" si="15"/>
      </c>
      <c r="R39" s="288">
        <f t="shared" si="4"/>
      </c>
      <c r="S39" s="152">
        <f t="shared" si="5"/>
        <v>3</v>
      </c>
      <c r="T39" s="290" t="str">
        <f t="shared" si="6"/>
        <v>--</v>
      </c>
      <c r="U39" s="291" t="str">
        <f t="shared" si="7"/>
        <v>--</v>
      </c>
      <c r="V39" s="292" t="str">
        <f t="shared" si="8"/>
        <v>--</v>
      </c>
      <c r="W39" s="293" t="str">
        <f t="shared" si="9"/>
        <v>--</v>
      </c>
      <c r="X39" s="294" t="str">
        <f t="shared" si="10"/>
        <v>--</v>
      </c>
      <c r="Y39" s="295" t="str">
        <f t="shared" si="11"/>
        <v>--</v>
      </c>
      <c r="Z39" s="296" t="str">
        <f t="shared" si="12"/>
        <v>--</v>
      </c>
      <c r="AA39" s="297" t="str">
        <f t="shared" si="13"/>
        <v>--</v>
      </c>
      <c r="AB39" s="288">
        <f t="shared" si="16"/>
      </c>
      <c r="AC39" s="298">
        <f t="shared" si="14"/>
      </c>
      <c r="AD39" s="218"/>
    </row>
    <row r="40" spans="2:30" s="10" customFormat="1" ht="16.5" customHeight="1">
      <c r="B40" s="217"/>
      <c r="C40" s="269"/>
      <c r="D40" s="269"/>
      <c r="E40" s="269"/>
      <c r="F40" s="126"/>
      <c r="G40" s="128"/>
      <c r="H40" s="282"/>
      <c r="I40" s="283"/>
      <c r="J40" s="284">
        <f t="shared" si="0"/>
        <v>0</v>
      </c>
      <c r="K40" s="285"/>
      <c r="L40" s="285"/>
      <c r="M40" s="286">
        <f t="shared" si="1"/>
      </c>
      <c r="N40" s="287">
        <f t="shared" si="2"/>
      </c>
      <c r="O40" s="288"/>
      <c r="P40" s="289">
        <f t="shared" si="3"/>
      </c>
      <c r="Q40" s="289">
        <f t="shared" si="15"/>
      </c>
      <c r="R40" s="288">
        <f t="shared" si="4"/>
      </c>
      <c r="S40" s="152">
        <f t="shared" si="5"/>
        <v>3</v>
      </c>
      <c r="T40" s="290" t="str">
        <f t="shared" si="6"/>
        <v>--</v>
      </c>
      <c r="U40" s="291" t="str">
        <f t="shared" si="7"/>
        <v>--</v>
      </c>
      <c r="V40" s="292" t="str">
        <f t="shared" si="8"/>
        <v>--</v>
      </c>
      <c r="W40" s="293" t="str">
        <f t="shared" si="9"/>
        <v>--</v>
      </c>
      <c r="X40" s="294" t="str">
        <f t="shared" si="10"/>
        <v>--</v>
      </c>
      <c r="Y40" s="295" t="str">
        <f t="shared" si="11"/>
        <v>--</v>
      </c>
      <c r="Z40" s="296" t="str">
        <f t="shared" si="12"/>
        <v>--</v>
      </c>
      <c r="AA40" s="297" t="str">
        <f t="shared" si="13"/>
        <v>--</v>
      </c>
      <c r="AB40" s="288">
        <f t="shared" si="16"/>
      </c>
      <c r="AC40" s="298">
        <f t="shared" si="14"/>
      </c>
      <c r="AD40" s="218"/>
    </row>
    <row r="41" spans="2:30" s="10" customFormat="1" ht="16.5" customHeight="1">
      <c r="B41" s="217"/>
      <c r="C41" s="269"/>
      <c r="D41" s="269"/>
      <c r="E41" s="269"/>
      <c r="F41" s="126"/>
      <c r="G41" s="128"/>
      <c r="H41" s="282"/>
      <c r="I41" s="283"/>
      <c r="J41" s="284">
        <f t="shared" si="0"/>
        <v>0</v>
      </c>
      <c r="K41" s="285"/>
      <c r="L41" s="285"/>
      <c r="M41" s="286">
        <f t="shared" si="1"/>
      </c>
      <c r="N41" s="287">
        <f t="shared" si="2"/>
      </c>
      <c r="O41" s="288"/>
      <c r="P41" s="289">
        <f t="shared" si="3"/>
      </c>
      <c r="Q41" s="289">
        <f t="shared" si="15"/>
      </c>
      <c r="R41" s="288">
        <f t="shared" si="4"/>
      </c>
      <c r="S41" s="152">
        <f t="shared" si="5"/>
        <v>3</v>
      </c>
      <c r="T41" s="290" t="str">
        <f t="shared" si="6"/>
        <v>--</v>
      </c>
      <c r="U41" s="291" t="str">
        <f t="shared" si="7"/>
        <v>--</v>
      </c>
      <c r="V41" s="292" t="str">
        <f t="shared" si="8"/>
        <v>--</v>
      </c>
      <c r="W41" s="293" t="str">
        <f t="shared" si="9"/>
        <v>--</v>
      </c>
      <c r="X41" s="294" t="str">
        <f t="shared" si="10"/>
        <v>--</v>
      </c>
      <c r="Y41" s="295" t="str">
        <f t="shared" si="11"/>
        <v>--</v>
      </c>
      <c r="Z41" s="296" t="str">
        <f t="shared" si="12"/>
        <v>--</v>
      </c>
      <c r="AA41" s="297" t="str">
        <f t="shared" si="13"/>
        <v>--</v>
      </c>
      <c r="AB41" s="288">
        <f t="shared" si="16"/>
      </c>
      <c r="AC41" s="298">
        <f t="shared" si="14"/>
      </c>
      <c r="AD41" s="218"/>
    </row>
    <row r="42" spans="2:30" s="10" customFormat="1" ht="16.5" customHeight="1" thickBot="1">
      <c r="B42" s="217"/>
      <c r="C42" s="300"/>
      <c r="D42" s="300"/>
      <c r="E42" s="300"/>
      <c r="F42" s="300"/>
      <c r="G42" s="300"/>
      <c r="H42" s="300"/>
      <c r="I42" s="300"/>
      <c r="J42" s="301"/>
      <c r="K42" s="300"/>
      <c r="L42" s="300"/>
      <c r="M42" s="300"/>
      <c r="N42" s="300"/>
      <c r="O42" s="300"/>
      <c r="P42" s="300"/>
      <c r="Q42" s="300"/>
      <c r="R42" s="300"/>
      <c r="S42" s="302"/>
      <c r="T42" s="303"/>
      <c r="U42" s="304"/>
      <c r="V42" s="305"/>
      <c r="W42" s="306"/>
      <c r="X42" s="307"/>
      <c r="Y42" s="308"/>
      <c r="Z42" s="309"/>
      <c r="AA42" s="310"/>
      <c r="AB42" s="300"/>
      <c r="AC42" s="311"/>
      <c r="AD42" s="218"/>
    </row>
    <row r="43" spans="2:30" s="10" customFormat="1" ht="16.5" customHeight="1" thickBot="1" thickTop="1">
      <c r="B43" s="217"/>
      <c r="C43" s="172" t="s">
        <v>73</v>
      </c>
      <c r="D43" s="421" t="s">
        <v>171</v>
      </c>
      <c r="E43" s="187"/>
      <c r="F43" s="17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312">
        <f>SUM(T20:T42)</f>
        <v>2505.735000000001</v>
      </c>
      <c r="U43" s="313">
        <f>SUM(U20:U42)</f>
        <v>170.60787000000005</v>
      </c>
      <c r="V43" s="314">
        <f>SUM(V20:V42)</f>
        <v>1452.6000000000001</v>
      </c>
      <c r="W43" s="315">
        <f>SUM(W22:W42)</f>
        <v>4880.736000000001</v>
      </c>
      <c r="X43" s="316">
        <f>SUM(X20:X42)</f>
        <v>0</v>
      </c>
      <c r="Y43" s="316">
        <f>SUM(Y22:Y42)</f>
        <v>0</v>
      </c>
      <c r="Z43" s="317">
        <f>SUM(Z20:Z42)</f>
        <v>0</v>
      </c>
      <c r="AA43" s="318">
        <f>SUM(AA22:AA42)</f>
        <v>0</v>
      </c>
      <c r="AB43" s="319"/>
      <c r="AC43" s="320">
        <f>ROUND(SUM(AC20:AC42),2)</f>
        <v>9009.68</v>
      </c>
      <c r="AD43" s="218"/>
    </row>
    <row r="44" spans="2:30" s="185" customFormat="1" ht="9.75" thickTop="1">
      <c r="B44" s="321"/>
      <c r="C44" s="187"/>
      <c r="D44" s="187"/>
      <c r="E44" s="187"/>
      <c r="F44" s="188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3"/>
      <c r="U44" s="323"/>
      <c r="V44" s="323"/>
      <c r="W44" s="323"/>
      <c r="X44" s="323"/>
      <c r="Y44" s="323"/>
      <c r="Z44" s="323"/>
      <c r="AA44" s="323"/>
      <c r="AB44" s="322"/>
      <c r="AC44" s="324"/>
      <c r="AD44" s="325"/>
    </row>
    <row r="45" spans="2:30" s="10" customFormat="1" ht="16.5" customHeight="1" thickBot="1">
      <c r="B45" s="326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8"/>
    </row>
    <row r="46" spans="2:30" ht="16.5" customHeight="1" thickTop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2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W47"/>
  <sheetViews>
    <sheetView zoomScale="75" zoomScaleNormal="75" zoomScalePageLayoutView="0" workbookViewId="0" topLeftCell="A1">
      <selection activeCell="B12" sqref="B12"/>
    </sheetView>
  </sheetViews>
  <sheetFormatPr defaultColWidth="11.421875" defaultRowHeight="12.75"/>
  <cols>
    <col min="1" max="1" width="20.0039062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5.7109375" style="1" customWidth="1"/>
    <col min="8" max="8" width="10.7109375" style="1" customWidth="1"/>
    <col min="9" max="9" width="12.421875" style="1" hidden="1" customWidth="1"/>
    <col min="10" max="11" width="16.851562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30"/>
      <c r="W1" s="395"/>
    </row>
    <row r="2" spans="1:23" s="6" customFormat="1" ht="26.25">
      <c r="A2" s="330"/>
      <c r="B2" s="68" t="str">
        <f>+'TOT-0814'!B2</f>
        <v>ANEXO III al Memorandum D.T.E.E. N°        306    / 2015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12.75">
      <c r="A3" s="331"/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" s="13" customFormat="1" ht="11.25">
      <c r="A4" s="205" t="s">
        <v>3</v>
      </c>
      <c r="B4" s="332"/>
    </row>
    <row r="5" spans="1:2" s="13" customFormat="1" ht="11.25">
      <c r="A5" s="205" t="s">
        <v>4</v>
      </c>
      <c r="B5" s="332"/>
    </row>
    <row r="6" s="10" customFormat="1" ht="16.5" customHeight="1" thickBot="1"/>
    <row r="7" spans="2:23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</row>
    <row r="8" spans="2:23" s="74" customFormat="1" ht="20.25">
      <c r="B8" s="75"/>
      <c r="F8" s="76" t="s">
        <v>52</v>
      </c>
      <c r="P8" s="77"/>
      <c r="Q8" s="77"/>
      <c r="R8" s="77"/>
      <c r="S8" s="77"/>
      <c r="T8" s="77"/>
      <c r="U8" s="77"/>
      <c r="V8" s="77"/>
      <c r="W8" s="78"/>
    </row>
    <row r="9" spans="2:23" s="10" customFormat="1" ht="16.5" customHeight="1">
      <c r="B9" s="44"/>
      <c r="F9" s="12"/>
      <c r="G9" s="12"/>
      <c r="H9" s="12"/>
      <c r="I9" s="84"/>
      <c r="J9" s="84"/>
      <c r="K9" s="84"/>
      <c r="L9" s="84"/>
      <c r="M9" s="84"/>
      <c r="P9" s="12"/>
      <c r="Q9" s="12"/>
      <c r="R9" s="12"/>
      <c r="S9" s="12"/>
      <c r="T9" s="12"/>
      <c r="U9" s="12"/>
      <c r="V9" s="12"/>
      <c r="W9" s="49"/>
    </row>
    <row r="10" spans="2:23" s="74" customFormat="1" ht="20.25">
      <c r="B10" s="75"/>
      <c r="F10" s="76" t="s">
        <v>53</v>
      </c>
      <c r="G10" s="76"/>
      <c r="H10" s="77"/>
      <c r="I10" s="76"/>
      <c r="J10" s="76"/>
      <c r="K10" s="76"/>
      <c r="L10" s="76"/>
      <c r="M10" s="76"/>
      <c r="P10" s="77"/>
      <c r="Q10" s="77"/>
      <c r="R10" s="77"/>
      <c r="S10" s="77"/>
      <c r="T10" s="77"/>
      <c r="U10" s="77"/>
      <c r="V10" s="77"/>
      <c r="W10" s="78"/>
    </row>
    <row r="11" spans="2:23" s="10" customFormat="1" ht="16.5" customHeight="1">
      <c r="B11" s="44"/>
      <c r="C11" s="12"/>
      <c r="D11" s="12"/>
      <c r="E11" s="12"/>
      <c r="F11" s="333"/>
      <c r="G11" s="84"/>
      <c r="H11" s="12"/>
      <c r="I11" s="84"/>
      <c r="J11" s="84"/>
      <c r="K11" s="84"/>
      <c r="L11" s="84"/>
      <c r="M11" s="84"/>
      <c r="P11" s="12"/>
      <c r="Q11" s="12"/>
      <c r="R11" s="12"/>
      <c r="S11" s="12"/>
      <c r="T11" s="12"/>
      <c r="U11" s="12"/>
      <c r="V11" s="12"/>
      <c r="W11" s="49"/>
    </row>
    <row r="12" spans="2:23" s="17" customFormat="1" ht="19.5">
      <c r="B12" s="31" t="str">
        <f>+'TOT-0814'!B14</f>
        <v>Desde el 01 al 31 de agosto de 2014</v>
      </c>
      <c r="C12" s="334"/>
      <c r="D12" s="334"/>
      <c r="E12" s="334"/>
      <c r="F12" s="34"/>
      <c r="G12" s="34"/>
      <c r="H12" s="34"/>
      <c r="I12" s="34"/>
      <c r="J12" s="8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3"/>
    </row>
    <row r="13" spans="2:23" s="10" customFormat="1" ht="16.5" customHeight="1" thickBot="1">
      <c r="B13" s="44"/>
      <c r="C13" s="12"/>
      <c r="D13" s="12"/>
      <c r="E13" s="12"/>
      <c r="I13" s="86"/>
      <c r="K13" s="12"/>
      <c r="L13" s="12"/>
      <c r="M13" s="12"/>
      <c r="N13" s="86"/>
      <c r="O13" s="86"/>
      <c r="P13" s="86"/>
      <c r="Q13" s="12"/>
      <c r="R13" s="12"/>
      <c r="S13" s="12"/>
      <c r="T13" s="12"/>
      <c r="U13" s="12"/>
      <c r="V13" s="12"/>
      <c r="W13" s="49"/>
    </row>
    <row r="14" spans="2:23" s="10" customFormat="1" ht="16.5" customHeight="1" thickBot="1" thickTop="1">
      <c r="B14" s="44"/>
      <c r="C14" s="12"/>
      <c r="D14" s="12"/>
      <c r="E14" s="12"/>
      <c r="F14" s="335" t="s">
        <v>54</v>
      </c>
      <c r="G14" s="336">
        <v>42.946</v>
      </c>
      <c r="H14" s="337">
        <f>60*'TOT-0814'!B13</f>
        <v>60</v>
      </c>
      <c r="I14" s="86"/>
      <c r="J14" s="237" t="str">
        <f>IF(H14=60," ",IF(H14=120,"    Coeficiente duplicado por tasa de falla &gt;4 Sal. x año/100 km.","    REVISAR COEFICIENTE"))</f>
        <v> </v>
      </c>
      <c r="K14" s="12"/>
      <c r="L14" s="12"/>
      <c r="M14" s="12"/>
      <c r="N14" s="86"/>
      <c r="O14" s="86"/>
      <c r="P14" s="86"/>
      <c r="Q14" s="12"/>
      <c r="R14" s="12"/>
      <c r="S14" s="12"/>
      <c r="T14" s="12"/>
      <c r="U14" s="12"/>
      <c r="V14" s="12"/>
      <c r="W14" s="49"/>
    </row>
    <row r="15" spans="2:23" s="10" customFormat="1" ht="16.5" customHeight="1" thickBot="1" thickTop="1">
      <c r="B15" s="44"/>
      <c r="C15" s="12"/>
      <c r="D15" s="12"/>
      <c r="E15" s="12"/>
      <c r="F15" s="335" t="s">
        <v>55</v>
      </c>
      <c r="G15" s="336">
        <v>21.473</v>
      </c>
      <c r="H15" s="337">
        <f>50*'TOT-0814'!B13</f>
        <v>50</v>
      </c>
      <c r="J15" s="237" t="str">
        <f>IF(H15=50," ",IF(H15=100,"    Coeficiente duplicado por tasa de falla &gt;4 Sal. x año/100 km.","    REVISAR COEFICIENTE"))</f>
        <v> </v>
      </c>
      <c r="S15" s="12"/>
      <c r="T15" s="12"/>
      <c r="U15" s="12"/>
      <c r="V15" s="338"/>
      <c r="W15" s="49"/>
    </row>
    <row r="16" spans="2:23" s="10" customFormat="1" ht="16.5" customHeight="1" thickBot="1" thickTop="1">
      <c r="B16" s="44"/>
      <c r="C16" s="12"/>
      <c r="D16" s="12"/>
      <c r="E16" s="12"/>
      <c r="F16" s="339" t="s">
        <v>56</v>
      </c>
      <c r="G16" s="340">
        <v>16.111</v>
      </c>
      <c r="H16" s="341">
        <f>25*'TOT-0814'!B13</f>
        <v>25</v>
      </c>
      <c r="J16" s="237" t="str">
        <f>IF(H16=25," ",IF(H16=50,"    Coeficiente duplicado por tasa de falla &gt;4 Sal. x año/100 km.","    REVISAR COEFICIENTE"))</f>
        <v> </v>
      </c>
      <c r="K16" s="95"/>
      <c r="L16" s="95"/>
      <c r="M16" s="12"/>
      <c r="P16" s="342"/>
      <c r="Q16" s="343"/>
      <c r="R16" s="4"/>
      <c r="S16" s="12"/>
      <c r="T16" s="12"/>
      <c r="U16" s="12"/>
      <c r="V16" s="338"/>
      <c r="W16" s="49"/>
    </row>
    <row r="17" spans="2:23" s="10" customFormat="1" ht="16.5" customHeight="1" thickBot="1" thickTop="1">
      <c r="B17" s="44"/>
      <c r="C17" s="12"/>
      <c r="D17" s="12"/>
      <c r="E17" s="12"/>
      <c r="F17" s="344" t="s">
        <v>57</v>
      </c>
      <c r="G17" s="416">
        <v>16.111</v>
      </c>
      <c r="H17" s="345">
        <f>20*'TOT-0814'!B13</f>
        <v>20</v>
      </c>
      <c r="J17" s="237" t="str">
        <f>IF(H17=20," ",IF(H17=40,"    Coeficiente duplicado por tasa de falla &gt;4 Sal. x año/100 km.","    REVISAR COEFICIENTE"))</f>
        <v> </v>
      </c>
      <c r="K17" s="95"/>
      <c r="L17" s="95"/>
      <c r="M17" s="12"/>
      <c r="P17" s="342"/>
      <c r="Q17" s="343"/>
      <c r="R17" s="4"/>
      <c r="S17" s="12"/>
      <c r="T17" s="12"/>
      <c r="U17" s="12"/>
      <c r="V17" s="338"/>
      <c r="W17" s="49"/>
    </row>
    <row r="18" spans="2:23" s="10" customFormat="1" ht="16.5" customHeight="1" thickBot="1" thickTop="1">
      <c r="B18" s="44"/>
      <c r="C18" s="12"/>
      <c r="D18" s="417">
        <v>4</v>
      </c>
      <c r="E18" s="417">
        <v>5</v>
      </c>
      <c r="F18" s="417">
        <v>6</v>
      </c>
      <c r="G18" s="417">
        <v>7</v>
      </c>
      <c r="H18" s="417">
        <v>8</v>
      </c>
      <c r="I18" s="417">
        <v>9</v>
      </c>
      <c r="J18" s="417">
        <v>10</v>
      </c>
      <c r="K18" s="417">
        <v>11</v>
      </c>
      <c r="L18" s="417">
        <v>12</v>
      </c>
      <c r="M18" s="417">
        <v>13</v>
      </c>
      <c r="N18" s="417">
        <v>14</v>
      </c>
      <c r="O18" s="417">
        <v>15</v>
      </c>
      <c r="P18" s="417">
        <v>16</v>
      </c>
      <c r="Q18" s="417">
        <v>17</v>
      </c>
      <c r="R18" s="417">
        <v>18</v>
      </c>
      <c r="S18" s="417">
        <v>19</v>
      </c>
      <c r="T18" s="417">
        <v>20</v>
      </c>
      <c r="U18" s="417">
        <v>21</v>
      </c>
      <c r="V18" s="417">
        <v>22</v>
      </c>
      <c r="W18" s="49"/>
    </row>
    <row r="19" spans="2:23" s="346" customFormat="1" ht="34.5" customHeight="1" thickBot="1" thickTop="1">
      <c r="B19" s="347"/>
      <c r="C19" s="400" t="s">
        <v>20</v>
      </c>
      <c r="D19" s="400" t="s">
        <v>74</v>
      </c>
      <c r="E19" s="400" t="s">
        <v>75</v>
      </c>
      <c r="F19" s="241" t="s">
        <v>41</v>
      </c>
      <c r="G19" s="348" t="s">
        <v>42</v>
      </c>
      <c r="H19" s="349" t="s">
        <v>21</v>
      </c>
      <c r="I19" s="100" t="s">
        <v>23</v>
      </c>
      <c r="J19" s="242" t="s">
        <v>24</v>
      </c>
      <c r="K19" s="348" t="s">
        <v>25</v>
      </c>
      <c r="L19" s="241" t="s">
        <v>44</v>
      </c>
      <c r="M19" s="241" t="s">
        <v>45</v>
      </c>
      <c r="N19" s="99" t="s">
        <v>72</v>
      </c>
      <c r="O19" s="242" t="s">
        <v>46</v>
      </c>
      <c r="P19" s="350" t="s">
        <v>58</v>
      </c>
      <c r="Q19" s="351" t="s">
        <v>59</v>
      </c>
      <c r="R19" s="352" t="s">
        <v>49</v>
      </c>
      <c r="S19" s="353"/>
      <c r="T19" s="354" t="s">
        <v>33</v>
      </c>
      <c r="U19" s="244" t="s">
        <v>35</v>
      </c>
      <c r="V19" s="244" t="s">
        <v>36</v>
      </c>
      <c r="W19" s="355"/>
    </row>
    <row r="20" spans="2:23" s="10" customFormat="1" ht="16.5" customHeight="1" thickTop="1">
      <c r="B20" s="44"/>
      <c r="C20" s="270"/>
      <c r="D20" s="399"/>
      <c r="E20" s="399"/>
      <c r="F20" s="269"/>
      <c r="G20" s="269"/>
      <c r="H20" s="356"/>
      <c r="I20" s="357"/>
      <c r="J20" s="272"/>
      <c r="K20" s="358"/>
      <c r="L20" s="273"/>
      <c r="M20" s="273"/>
      <c r="N20" s="272"/>
      <c r="O20" s="272"/>
      <c r="P20" s="359"/>
      <c r="Q20" s="360"/>
      <c r="R20" s="361"/>
      <c r="S20" s="362"/>
      <c r="T20" s="363"/>
      <c r="U20" s="364"/>
      <c r="V20" s="365"/>
      <c r="W20" s="218"/>
    </row>
    <row r="21" spans="2:23" s="10" customFormat="1" ht="16.5" customHeight="1">
      <c r="B21" s="44"/>
      <c r="C21" s="272"/>
      <c r="D21" s="269"/>
      <c r="E21" s="269"/>
      <c r="F21" s="366"/>
      <c r="G21" s="366"/>
      <c r="H21" s="367"/>
      <c r="I21" s="368"/>
      <c r="J21" s="369"/>
      <c r="K21" s="370"/>
      <c r="L21" s="286"/>
      <c r="M21" s="371"/>
      <c r="N21" s="288"/>
      <c r="O21" s="288"/>
      <c r="P21" s="372"/>
      <c r="Q21" s="373"/>
      <c r="R21" s="374"/>
      <c r="S21" s="375"/>
      <c r="T21" s="376"/>
      <c r="U21" s="377"/>
      <c r="V21" s="378"/>
      <c r="W21" s="218"/>
    </row>
    <row r="22" spans="2:23" s="10" customFormat="1" ht="16.5" customHeight="1">
      <c r="B22" s="44"/>
      <c r="C22" s="272">
        <v>24</v>
      </c>
      <c r="D22" s="269">
        <v>277546</v>
      </c>
      <c r="E22" s="269">
        <v>897</v>
      </c>
      <c r="F22" s="366" t="s">
        <v>144</v>
      </c>
      <c r="G22" s="366" t="s">
        <v>154</v>
      </c>
      <c r="H22" s="379">
        <v>66</v>
      </c>
      <c r="I22" s="368">
        <f aca="true" t="shared" si="0" ref="I22:I41">IF(H22=220,$G$14,IF(AND(H22&lt;=132,H22&gt;=66),$G$15,IF(AND(H22&lt;66,H22&gt;=33),$G$16,$G$17)))</f>
        <v>21.473</v>
      </c>
      <c r="J22" s="369">
        <v>41854.4</v>
      </c>
      <c r="K22" s="370">
        <v>41854.675</v>
      </c>
      <c r="L22" s="286">
        <f aca="true" t="shared" si="1" ref="L22:L41">IF(F22="","",(K22-J22)*24)</f>
        <v>6.600000000034925</v>
      </c>
      <c r="M22" s="371">
        <f aca="true" t="shared" si="2" ref="M22:M41">IF(F22="","",ROUND((K22-J22)*24*60,0))</f>
        <v>396</v>
      </c>
      <c r="N22" s="288" t="s">
        <v>135</v>
      </c>
      <c r="O22" s="288" t="str">
        <f>IF(F22="","",IF(OR(N22="P",N22="RP"),"--","NO"))</f>
        <v>--</v>
      </c>
      <c r="P22" s="372">
        <f aca="true" t="shared" si="3" ref="P22:P41">IF(H22=220,$H$14,IF(AND(H22&lt;=132,H22&gt;=66),$H$15,IF(AND(H22&lt;66,H22&gt;13.2),$H$16,$H$17)))</f>
        <v>50</v>
      </c>
      <c r="Q22" s="373">
        <f aca="true" t="shared" si="4" ref="Q22:Q41">IF(N22="P",I22*P22*ROUND(M22/60,2)*0.1,"--")</f>
        <v>708.6089999999999</v>
      </c>
      <c r="R22" s="374" t="str">
        <f aca="true" t="shared" si="5" ref="R22:R41">IF(AND(N22="F",O22="NO"),I22*P22,"--")</f>
        <v>--</v>
      </c>
      <c r="S22" s="375" t="str">
        <f aca="true" t="shared" si="6" ref="S22:S41">IF(N22="F",I22*P22*ROUND(M22/60,2),"--")</f>
        <v>--</v>
      </c>
      <c r="T22" s="376" t="str">
        <f aca="true" t="shared" si="7" ref="T22:T41">IF(N22="RF",I22*P22*ROUND(M22/60,2),"--")</f>
        <v>--</v>
      </c>
      <c r="U22" s="377" t="s">
        <v>137</v>
      </c>
      <c r="V22" s="380">
        <f aca="true" t="shared" si="8" ref="V22:V41">IF(F22="","",SUM(Q22:T22)*IF(U22="SI",1,2)*IF(H22="500/220",0,1))</f>
        <v>708.6089999999999</v>
      </c>
      <c r="W22" s="299"/>
    </row>
    <row r="23" spans="2:23" s="10" customFormat="1" ht="16.5" customHeight="1">
      <c r="B23" s="44"/>
      <c r="C23" s="272">
        <v>25</v>
      </c>
      <c r="D23" s="269">
        <v>277550</v>
      </c>
      <c r="E23" s="269">
        <v>912</v>
      </c>
      <c r="F23" s="366" t="s">
        <v>138</v>
      </c>
      <c r="G23" s="366" t="s">
        <v>155</v>
      </c>
      <c r="H23" s="367">
        <v>13.199999809265137</v>
      </c>
      <c r="I23" s="368">
        <f t="shared" si="0"/>
        <v>16.111</v>
      </c>
      <c r="J23" s="369">
        <v>41856.427777777775</v>
      </c>
      <c r="K23" s="370">
        <v>41856.66527777778</v>
      </c>
      <c r="L23" s="286">
        <f t="shared" si="1"/>
        <v>5.700000000069849</v>
      </c>
      <c r="M23" s="371">
        <f t="shared" si="2"/>
        <v>342</v>
      </c>
      <c r="N23" s="288" t="s">
        <v>135</v>
      </c>
      <c r="O23" s="288" t="str">
        <f aca="true" t="shared" si="9" ref="O23:O41">IF(F23="","",IF(OR(N23="P",N23="RP"),"--","NO"))</f>
        <v>--</v>
      </c>
      <c r="P23" s="372">
        <f t="shared" si="3"/>
        <v>20</v>
      </c>
      <c r="Q23" s="373">
        <f t="shared" si="4"/>
        <v>183.66540000000003</v>
      </c>
      <c r="R23" s="374" t="str">
        <f t="shared" si="5"/>
        <v>--</v>
      </c>
      <c r="S23" s="375" t="str">
        <f t="shared" si="6"/>
        <v>--</v>
      </c>
      <c r="T23" s="376" t="str">
        <f t="shared" si="7"/>
        <v>--</v>
      </c>
      <c r="U23" s="377" t="s">
        <v>137</v>
      </c>
      <c r="V23" s="380">
        <f t="shared" si="8"/>
        <v>183.66540000000003</v>
      </c>
      <c r="W23" s="299"/>
    </row>
    <row r="24" spans="2:23" s="10" customFormat="1" ht="16.5" customHeight="1">
      <c r="B24" s="44"/>
      <c r="C24" s="272">
        <v>26</v>
      </c>
      <c r="D24" s="269">
        <v>277551</v>
      </c>
      <c r="E24" s="269">
        <v>894</v>
      </c>
      <c r="F24" s="366" t="s">
        <v>144</v>
      </c>
      <c r="G24" s="366" t="s">
        <v>156</v>
      </c>
      <c r="H24" s="367">
        <v>66</v>
      </c>
      <c r="I24" s="368">
        <f t="shared" si="0"/>
        <v>21.473</v>
      </c>
      <c r="J24" s="369">
        <v>41857.381944444445</v>
      </c>
      <c r="K24" s="370">
        <v>41857.5125</v>
      </c>
      <c r="L24" s="286">
        <f t="shared" si="1"/>
        <v>3.1333333332440816</v>
      </c>
      <c r="M24" s="371">
        <f t="shared" si="2"/>
        <v>188</v>
      </c>
      <c r="N24" s="288" t="s">
        <v>135</v>
      </c>
      <c r="O24" s="288" t="str">
        <f t="shared" si="9"/>
        <v>--</v>
      </c>
      <c r="P24" s="372">
        <f t="shared" si="3"/>
        <v>50</v>
      </c>
      <c r="Q24" s="373">
        <f t="shared" si="4"/>
        <v>336.05244999999996</v>
      </c>
      <c r="R24" s="374" t="str">
        <f t="shared" si="5"/>
        <v>--</v>
      </c>
      <c r="S24" s="375" t="str">
        <f t="shared" si="6"/>
        <v>--</v>
      </c>
      <c r="T24" s="376" t="str">
        <f t="shared" si="7"/>
        <v>--</v>
      </c>
      <c r="U24" s="377" t="s">
        <v>137</v>
      </c>
      <c r="V24" s="380">
        <f t="shared" si="8"/>
        <v>336.05244999999996</v>
      </c>
      <c r="W24" s="299"/>
    </row>
    <row r="25" spans="2:23" s="10" customFormat="1" ht="16.5" customHeight="1">
      <c r="B25" s="44"/>
      <c r="C25" s="272">
        <v>27</v>
      </c>
      <c r="D25" s="269">
        <v>277552</v>
      </c>
      <c r="E25" s="269">
        <v>881</v>
      </c>
      <c r="F25" s="366" t="s">
        <v>157</v>
      </c>
      <c r="G25" s="366" t="s">
        <v>158</v>
      </c>
      <c r="H25" s="367">
        <v>66</v>
      </c>
      <c r="I25" s="368">
        <f t="shared" si="0"/>
        <v>21.473</v>
      </c>
      <c r="J25" s="369">
        <v>41858.35555555556</v>
      </c>
      <c r="K25" s="370">
        <v>41858.649305555555</v>
      </c>
      <c r="L25" s="286">
        <f t="shared" si="1"/>
        <v>7.049999999930151</v>
      </c>
      <c r="M25" s="371">
        <f t="shared" si="2"/>
        <v>423</v>
      </c>
      <c r="N25" s="288" t="s">
        <v>135</v>
      </c>
      <c r="O25" s="288" t="str">
        <f t="shared" si="9"/>
        <v>--</v>
      </c>
      <c r="P25" s="372">
        <f t="shared" si="3"/>
        <v>50</v>
      </c>
      <c r="Q25" s="373">
        <f t="shared" si="4"/>
        <v>756.9232499999999</v>
      </c>
      <c r="R25" s="374" t="str">
        <f t="shared" si="5"/>
        <v>--</v>
      </c>
      <c r="S25" s="375" t="str">
        <f t="shared" si="6"/>
        <v>--</v>
      </c>
      <c r="T25" s="376" t="str">
        <f t="shared" si="7"/>
        <v>--</v>
      </c>
      <c r="U25" s="377" t="s">
        <v>137</v>
      </c>
      <c r="V25" s="380">
        <f t="shared" si="8"/>
        <v>756.9232499999999</v>
      </c>
      <c r="W25" s="299"/>
    </row>
    <row r="26" spans="2:23" s="10" customFormat="1" ht="16.5" customHeight="1">
      <c r="B26" s="44"/>
      <c r="C26" s="272">
        <v>28</v>
      </c>
      <c r="D26" s="269">
        <v>277876</v>
      </c>
      <c r="E26" s="269">
        <v>914</v>
      </c>
      <c r="F26" s="366" t="s">
        <v>149</v>
      </c>
      <c r="G26" s="366" t="s">
        <v>168</v>
      </c>
      <c r="H26" s="367">
        <v>66</v>
      </c>
      <c r="I26" s="368">
        <f t="shared" si="0"/>
        <v>21.473</v>
      </c>
      <c r="J26" s="369">
        <v>41863.375</v>
      </c>
      <c r="K26" s="370">
        <v>41863.54027777778</v>
      </c>
      <c r="L26" s="286">
        <f t="shared" si="1"/>
        <v>3.9666666666744277</v>
      </c>
      <c r="M26" s="371">
        <f t="shared" si="2"/>
        <v>238</v>
      </c>
      <c r="N26" s="288" t="s">
        <v>135</v>
      </c>
      <c r="O26" s="288" t="str">
        <f t="shared" si="9"/>
        <v>--</v>
      </c>
      <c r="P26" s="372">
        <f t="shared" si="3"/>
        <v>50</v>
      </c>
      <c r="Q26" s="373">
        <f t="shared" si="4"/>
        <v>426.23904999999996</v>
      </c>
      <c r="R26" s="374" t="str">
        <f t="shared" si="5"/>
        <v>--</v>
      </c>
      <c r="S26" s="375" t="str">
        <f t="shared" si="6"/>
        <v>--</v>
      </c>
      <c r="T26" s="376" t="str">
        <f t="shared" si="7"/>
        <v>--</v>
      </c>
      <c r="U26" s="377" t="s">
        <v>137</v>
      </c>
      <c r="V26" s="380">
        <f t="shared" si="8"/>
        <v>426.23904999999996</v>
      </c>
      <c r="W26" s="299"/>
    </row>
    <row r="27" spans="2:23" s="10" customFormat="1" ht="16.5" customHeight="1">
      <c r="B27" s="44"/>
      <c r="C27" s="272">
        <v>29</v>
      </c>
      <c r="D27" s="269">
        <v>277875</v>
      </c>
      <c r="E27" s="269">
        <v>878</v>
      </c>
      <c r="F27" s="366" t="s">
        <v>141</v>
      </c>
      <c r="G27" s="366" t="s">
        <v>159</v>
      </c>
      <c r="H27" s="367">
        <v>13.199999809265137</v>
      </c>
      <c r="I27" s="368">
        <f t="shared" si="0"/>
        <v>16.111</v>
      </c>
      <c r="J27" s="369">
        <v>41863.60833333333</v>
      </c>
      <c r="K27" s="370">
        <v>41863.79027777778</v>
      </c>
      <c r="L27" s="286">
        <f t="shared" si="1"/>
        <v>4.366666666755918</v>
      </c>
      <c r="M27" s="371">
        <f t="shared" si="2"/>
        <v>262</v>
      </c>
      <c r="N27" s="288" t="s">
        <v>135</v>
      </c>
      <c r="O27" s="288" t="str">
        <f t="shared" si="9"/>
        <v>--</v>
      </c>
      <c r="P27" s="372">
        <f t="shared" si="3"/>
        <v>20</v>
      </c>
      <c r="Q27" s="373">
        <f t="shared" si="4"/>
        <v>140.81014000000002</v>
      </c>
      <c r="R27" s="374" t="str">
        <f t="shared" si="5"/>
        <v>--</v>
      </c>
      <c r="S27" s="375" t="str">
        <f t="shared" si="6"/>
        <v>--</v>
      </c>
      <c r="T27" s="376" t="str">
        <f t="shared" si="7"/>
        <v>--</v>
      </c>
      <c r="U27" s="377" t="s">
        <v>137</v>
      </c>
      <c r="V27" s="380">
        <f t="shared" si="8"/>
        <v>140.81014000000002</v>
      </c>
      <c r="W27" s="299"/>
    </row>
    <row r="28" spans="2:23" s="10" customFormat="1" ht="16.5" customHeight="1">
      <c r="B28" s="44"/>
      <c r="C28" s="272">
        <v>30</v>
      </c>
      <c r="D28" s="269">
        <v>277881</v>
      </c>
      <c r="E28" s="269">
        <v>879</v>
      </c>
      <c r="F28" s="366" t="s">
        <v>141</v>
      </c>
      <c r="G28" s="366" t="s">
        <v>160</v>
      </c>
      <c r="H28" s="367">
        <v>13.199999809265137</v>
      </c>
      <c r="I28" s="368">
        <f t="shared" si="0"/>
        <v>16.111</v>
      </c>
      <c r="J28" s="369">
        <v>41864.611805555556</v>
      </c>
      <c r="K28" s="370">
        <v>41864.82708333333</v>
      </c>
      <c r="L28" s="286">
        <f t="shared" si="1"/>
        <v>5.166666666569654</v>
      </c>
      <c r="M28" s="371">
        <f t="shared" si="2"/>
        <v>310</v>
      </c>
      <c r="N28" s="288" t="s">
        <v>135</v>
      </c>
      <c r="O28" s="288" t="str">
        <f t="shared" si="9"/>
        <v>--</v>
      </c>
      <c r="P28" s="372">
        <f t="shared" si="3"/>
        <v>20</v>
      </c>
      <c r="Q28" s="373">
        <f t="shared" si="4"/>
        <v>166.58774000000003</v>
      </c>
      <c r="R28" s="374" t="str">
        <f t="shared" si="5"/>
        <v>--</v>
      </c>
      <c r="S28" s="375" t="str">
        <f t="shared" si="6"/>
        <v>--</v>
      </c>
      <c r="T28" s="376" t="str">
        <f t="shared" si="7"/>
        <v>--</v>
      </c>
      <c r="U28" s="377" t="s">
        <v>137</v>
      </c>
      <c r="V28" s="380">
        <f t="shared" si="8"/>
        <v>166.58774000000003</v>
      </c>
      <c r="W28" s="299"/>
    </row>
    <row r="29" spans="2:23" s="10" customFormat="1" ht="16.5" customHeight="1">
      <c r="B29" s="44"/>
      <c r="C29" s="272">
        <v>31</v>
      </c>
      <c r="D29" s="269">
        <v>277877</v>
      </c>
      <c r="E29" s="269">
        <v>914</v>
      </c>
      <c r="F29" s="366" t="s">
        <v>149</v>
      </c>
      <c r="G29" s="366" t="s">
        <v>168</v>
      </c>
      <c r="H29" s="367">
        <v>66</v>
      </c>
      <c r="I29" s="368">
        <f t="shared" si="0"/>
        <v>21.473</v>
      </c>
      <c r="J29" s="369">
        <v>41868.28611111111</v>
      </c>
      <c r="K29" s="370">
        <v>41868.68680555555</v>
      </c>
      <c r="L29" s="286">
        <f t="shared" si="1"/>
        <v>9.616666666581295</v>
      </c>
      <c r="M29" s="371">
        <f t="shared" si="2"/>
        <v>577</v>
      </c>
      <c r="N29" s="288" t="s">
        <v>135</v>
      </c>
      <c r="O29" s="288" t="str">
        <f t="shared" si="9"/>
        <v>--</v>
      </c>
      <c r="P29" s="372">
        <f t="shared" si="3"/>
        <v>50</v>
      </c>
      <c r="Q29" s="373">
        <f t="shared" si="4"/>
        <v>1032.8512999999998</v>
      </c>
      <c r="R29" s="374" t="str">
        <f t="shared" si="5"/>
        <v>--</v>
      </c>
      <c r="S29" s="375" t="str">
        <f t="shared" si="6"/>
        <v>--</v>
      </c>
      <c r="T29" s="376" t="str">
        <f t="shared" si="7"/>
        <v>--</v>
      </c>
      <c r="U29" s="377" t="s">
        <v>137</v>
      </c>
      <c r="V29" s="380">
        <f t="shared" si="8"/>
        <v>1032.8512999999998</v>
      </c>
      <c r="W29" s="299"/>
    </row>
    <row r="30" spans="2:23" s="10" customFormat="1" ht="16.5" customHeight="1">
      <c r="B30" s="44"/>
      <c r="C30" s="272">
        <v>32</v>
      </c>
      <c r="D30" s="269">
        <v>277878</v>
      </c>
      <c r="E30" s="269">
        <v>915</v>
      </c>
      <c r="F30" s="366" t="s">
        <v>149</v>
      </c>
      <c r="G30" s="366" t="s">
        <v>161</v>
      </c>
      <c r="H30" s="367">
        <v>66</v>
      </c>
      <c r="I30" s="368">
        <f t="shared" si="0"/>
        <v>21.473</v>
      </c>
      <c r="J30" s="369">
        <v>41868.32986111111</v>
      </c>
      <c r="K30" s="370">
        <v>41868.7</v>
      </c>
      <c r="L30" s="286">
        <f t="shared" si="1"/>
        <v>8.88333333330229</v>
      </c>
      <c r="M30" s="371">
        <f t="shared" si="2"/>
        <v>533</v>
      </c>
      <c r="N30" s="288" t="s">
        <v>135</v>
      </c>
      <c r="O30" s="288" t="str">
        <f t="shared" si="9"/>
        <v>--</v>
      </c>
      <c r="P30" s="372">
        <f t="shared" si="3"/>
        <v>50</v>
      </c>
      <c r="Q30" s="373">
        <f t="shared" si="4"/>
        <v>953.4011999999999</v>
      </c>
      <c r="R30" s="374" t="str">
        <f t="shared" si="5"/>
        <v>--</v>
      </c>
      <c r="S30" s="375" t="str">
        <f t="shared" si="6"/>
        <v>--</v>
      </c>
      <c r="T30" s="376" t="str">
        <f t="shared" si="7"/>
        <v>--</v>
      </c>
      <c r="U30" s="377" t="s">
        <v>137</v>
      </c>
      <c r="V30" s="380">
        <f t="shared" si="8"/>
        <v>953.4011999999999</v>
      </c>
      <c r="W30" s="299"/>
    </row>
    <row r="31" spans="2:23" s="10" customFormat="1" ht="16.5" customHeight="1">
      <c r="B31" s="44"/>
      <c r="C31" s="272">
        <v>33</v>
      </c>
      <c r="D31" s="269">
        <v>277879</v>
      </c>
      <c r="E31" s="269">
        <v>913</v>
      </c>
      <c r="F31" s="366" t="s">
        <v>149</v>
      </c>
      <c r="G31" s="366" t="s">
        <v>169</v>
      </c>
      <c r="H31" s="367">
        <v>66</v>
      </c>
      <c r="I31" s="368">
        <f t="shared" si="0"/>
        <v>21.473</v>
      </c>
      <c r="J31" s="369">
        <v>41868.33125</v>
      </c>
      <c r="K31" s="370">
        <v>41868.69305555556</v>
      </c>
      <c r="L31" s="286">
        <f t="shared" si="1"/>
        <v>8.683333333348855</v>
      </c>
      <c r="M31" s="371">
        <f t="shared" si="2"/>
        <v>521</v>
      </c>
      <c r="N31" s="288" t="s">
        <v>135</v>
      </c>
      <c r="O31" s="288" t="str">
        <f t="shared" si="9"/>
        <v>--</v>
      </c>
      <c r="P31" s="372">
        <f t="shared" si="3"/>
        <v>50</v>
      </c>
      <c r="Q31" s="373">
        <f t="shared" si="4"/>
        <v>931.9282</v>
      </c>
      <c r="R31" s="374" t="str">
        <f t="shared" si="5"/>
        <v>--</v>
      </c>
      <c r="S31" s="375" t="str">
        <f t="shared" si="6"/>
        <v>--</v>
      </c>
      <c r="T31" s="376" t="str">
        <f t="shared" si="7"/>
        <v>--</v>
      </c>
      <c r="U31" s="377" t="s">
        <v>137</v>
      </c>
      <c r="V31" s="380">
        <f t="shared" si="8"/>
        <v>931.9282</v>
      </c>
      <c r="W31" s="299"/>
    </row>
    <row r="32" spans="2:23" s="10" customFormat="1" ht="16.5" customHeight="1">
      <c r="B32" s="44"/>
      <c r="C32" s="272">
        <v>34</v>
      </c>
      <c r="D32" s="269">
        <v>277880</v>
      </c>
      <c r="E32" s="269">
        <v>933</v>
      </c>
      <c r="F32" s="366" t="s">
        <v>152</v>
      </c>
      <c r="G32" s="366" t="s">
        <v>162</v>
      </c>
      <c r="H32" s="367">
        <v>33</v>
      </c>
      <c r="I32" s="368">
        <f t="shared" si="0"/>
        <v>16.111</v>
      </c>
      <c r="J32" s="369">
        <v>41868.34583333333</v>
      </c>
      <c r="K32" s="370">
        <v>41868.55625</v>
      </c>
      <c r="L32" s="286">
        <f t="shared" si="1"/>
        <v>5.050000000046566</v>
      </c>
      <c r="M32" s="371">
        <f t="shared" si="2"/>
        <v>303</v>
      </c>
      <c r="N32" s="288" t="s">
        <v>135</v>
      </c>
      <c r="O32" s="288" t="str">
        <f t="shared" si="9"/>
        <v>--</v>
      </c>
      <c r="P32" s="372">
        <f t="shared" si="3"/>
        <v>25</v>
      </c>
      <c r="Q32" s="373">
        <f t="shared" si="4"/>
        <v>203.40137500000003</v>
      </c>
      <c r="R32" s="374" t="str">
        <f t="shared" si="5"/>
        <v>--</v>
      </c>
      <c r="S32" s="375" t="str">
        <f t="shared" si="6"/>
        <v>--</v>
      </c>
      <c r="T32" s="376" t="str">
        <f t="shared" si="7"/>
        <v>--</v>
      </c>
      <c r="U32" s="377" t="s">
        <v>137</v>
      </c>
      <c r="V32" s="380">
        <f t="shared" si="8"/>
        <v>203.40137500000003</v>
      </c>
      <c r="W32" s="299"/>
    </row>
    <row r="33" spans="2:23" s="10" customFormat="1" ht="16.5" customHeight="1">
      <c r="B33" s="44"/>
      <c r="C33" s="272">
        <v>35</v>
      </c>
      <c r="D33" s="269">
        <v>278103</v>
      </c>
      <c r="E33" s="269">
        <v>923</v>
      </c>
      <c r="F33" s="366" t="s">
        <v>152</v>
      </c>
      <c r="G33" s="366" t="s">
        <v>163</v>
      </c>
      <c r="H33" s="367">
        <v>33</v>
      </c>
      <c r="I33" s="368">
        <f t="shared" si="0"/>
        <v>16.111</v>
      </c>
      <c r="J33" s="369">
        <v>41873.32361111111</v>
      </c>
      <c r="K33" s="370">
        <v>41873.78194444445</v>
      </c>
      <c r="L33" s="286">
        <f t="shared" si="1"/>
        <v>11.000000000058208</v>
      </c>
      <c r="M33" s="371">
        <f t="shared" si="2"/>
        <v>660</v>
      </c>
      <c r="N33" s="288" t="s">
        <v>135</v>
      </c>
      <c r="O33" s="288" t="str">
        <f t="shared" si="9"/>
        <v>--</v>
      </c>
      <c r="P33" s="372">
        <f t="shared" si="3"/>
        <v>25</v>
      </c>
      <c r="Q33" s="373">
        <f t="shared" si="4"/>
        <v>443.05250000000007</v>
      </c>
      <c r="R33" s="374" t="str">
        <f t="shared" si="5"/>
        <v>--</v>
      </c>
      <c r="S33" s="375" t="str">
        <f t="shared" si="6"/>
        <v>--</v>
      </c>
      <c r="T33" s="376" t="str">
        <f t="shared" si="7"/>
        <v>--</v>
      </c>
      <c r="U33" s="377" t="s">
        <v>137</v>
      </c>
      <c r="V33" s="380">
        <f t="shared" si="8"/>
        <v>443.05250000000007</v>
      </c>
      <c r="W33" s="299"/>
    </row>
    <row r="34" spans="2:23" s="10" customFormat="1" ht="16.5" customHeight="1">
      <c r="B34" s="44"/>
      <c r="C34" s="272"/>
      <c r="D34" s="269"/>
      <c r="E34" s="269"/>
      <c r="F34" s="366"/>
      <c r="G34" s="366"/>
      <c r="H34" s="367"/>
      <c r="I34" s="368">
        <f t="shared" si="0"/>
        <v>16.111</v>
      </c>
      <c r="J34" s="369"/>
      <c r="K34" s="370"/>
      <c r="L34" s="286">
        <f t="shared" si="1"/>
      </c>
      <c r="M34" s="371">
        <f t="shared" si="2"/>
      </c>
      <c r="N34" s="288"/>
      <c r="O34" s="288">
        <f t="shared" si="9"/>
      </c>
      <c r="P34" s="372">
        <f t="shared" si="3"/>
        <v>20</v>
      </c>
      <c r="Q34" s="373" t="str">
        <f t="shared" si="4"/>
        <v>--</v>
      </c>
      <c r="R34" s="374" t="str">
        <f t="shared" si="5"/>
        <v>--</v>
      </c>
      <c r="S34" s="375" t="str">
        <f t="shared" si="6"/>
        <v>--</v>
      </c>
      <c r="T34" s="376" t="str">
        <f t="shared" si="7"/>
        <v>--</v>
      </c>
      <c r="U34" s="377">
        <f aca="true" t="shared" si="10" ref="U34:U41">IF(F34="","","SI")</f>
      </c>
      <c r="V34" s="380">
        <f t="shared" si="8"/>
      </c>
      <c r="W34" s="299"/>
    </row>
    <row r="35" spans="2:23" s="10" customFormat="1" ht="16.5" customHeight="1">
      <c r="B35" s="44"/>
      <c r="C35" s="272"/>
      <c r="D35" s="269"/>
      <c r="E35" s="269"/>
      <c r="F35" s="366"/>
      <c r="G35" s="366"/>
      <c r="H35" s="367"/>
      <c r="I35" s="368">
        <f t="shared" si="0"/>
        <v>16.111</v>
      </c>
      <c r="J35" s="369"/>
      <c r="K35" s="370"/>
      <c r="L35" s="286">
        <f t="shared" si="1"/>
      </c>
      <c r="M35" s="371">
        <f t="shared" si="2"/>
      </c>
      <c r="N35" s="288"/>
      <c r="O35" s="288">
        <f t="shared" si="9"/>
      </c>
      <c r="P35" s="372">
        <f t="shared" si="3"/>
        <v>20</v>
      </c>
      <c r="Q35" s="373" t="str">
        <f t="shared" si="4"/>
        <v>--</v>
      </c>
      <c r="R35" s="374" t="str">
        <f t="shared" si="5"/>
        <v>--</v>
      </c>
      <c r="S35" s="375" t="str">
        <f t="shared" si="6"/>
        <v>--</v>
      </c>
      <c r="T35" s="376" t="str">
        <f t="shared" si="7"/>
        <v>--</v>
      </c>
      <c r="U35" s="377">
        <f t="shared" si="10"/>
      </c>
      <c r="V35" s="380">
        <f t="shared" si="8"/>
      </c>
      <c r="W35" s="299"/>
    </row>
    <row r="36" spans="2:23" s="10" customFormat="1" ht="16.5" customHeight="1">
      <c r="B36" s="44"/>
      <c r="C36" s="272"/>
      <c r="D36" s="269"/>
      <c r="E36" s="269"/>
      <c r="F36" s="366"/>
      <c r="G36" s="366"/>
      <c r="H36" s="367"/>
      <c r="I36" s="368">
        <f t="shared" si="0"/>
        <v>16.111</v>
      </c>
      <c r="J36" s="369"/>
      <c r="K36" s="370"/>
      <c r="L36" s="286">
        <f t="shared" si="1"/>
      </c>
      <c r="M36" s="371">
        <f t="shared" si="2"/>
      </c>
      <c r="N36" s="288"/>
      <c r="O36" s="288">
        <f t="shared" si="9"/>
      </c>
      <c r="P36" s="372">
        <f t="shared" si="3"/>
        <v>20</v>
      </c>
      <c r="Q36" s="373" t="str">
        <f t="shared" si="4"/>
        <v>--</v>
      </c>
      <c r="R36" s="374" t="str">
        <f t="shared" si="5"/>
        <v>--</v>
      </c>
      <c r="S36" s="375" t="str">
        <f t="shared" si="6"/>
        <v>--</v>
      </c>
      <c r="T36" s="376" t="str">
        <f t="shared" si="7"/>
        <v>--</v>
      </c>
      <c r="U36" s="377">
        <f t="shared" si="10"/>
      </c>
      <c r="V36" s="380">
        <f t="shared" si="8"/>
      </c>
      <c r="W36" s="299"/>
    </row>
    <row r="37" spans="2:23" s="10" customFormat="1" ht="16.5" customHeight="1">
      <c r="B37" s="44"/>
      <c r="C37" s="272"/>
      <c r="D37" s="269"/>
      <c r="E37" s="269"/>
      <c r="F37" s="366"/>
      <c r="G37" s="366"/>
      <c r="H37" s="367"/>
      <c r="I37" s="368">
        <f t="shared" si="0"/>
        <v>16.111</v>
      </c>
      <c r="J37" s="369"/>
      <c r="K37" s="370"/>
      <c r="L37" s="286">
        <f t="shared" si="1"/>
      </c>
      <c r="M37" s="371">
        <f t="shared" si="2"/>
      </c>
      <c r="N37" s="288"/>
      <c r="O37" s="288">
        <f t="shared" si="9"/>
      </c>
      <c r="P37" s="372">
        <f t="shared" si="3"/>
        <v>20</v>
      </c>
      <c r="Q37" s="373" t="str">
        <f t="shared" si="4"/>
        <v>--</v>
      </c>
      <c r="R37" s="374" t="str">
        <f t="shared" si="5"/>
        <v>--</v>
      </c>
      <c r="S37" s="375" t="str">
        <f t="shared" si="6"/>
        <v>--</v>
      </c>
      <c r="T37" s="376" t="str">
        <f t="shared" si="7"/>
        <v>--</v>
      </c>
      <c r="U37" s="377">
        <f t="shared" si="10"/>
      </c>
      <c r="V37" s="380">
        <f t="shared" si="8"/>
      </c>
      <c r="W37" s="299"/>
    </row>
    <row r="38" spans="2:23" s="10" customFormat="1" ht="16.5" customHeight="1">
      <c r="B38" s="44"/>
      <c r="C38" s="272"/>
      <c r="D38" s="269"/>
      <c r="E38" s="269"/>
      <c r="F38" s="366"/>
      <c r="G38" s="366"/>
      <c r="H38" s="367"/>
      <c r="I38" s="368">
        <f t="shared" si="0"/>
        <v>16.111</v>
      </c>
      <c r="J38" s="369"/>
      <c r="K38" s="370"/>
      <c r="L38" s="286">
        <f t="shared" si="1"/>
      </c>
      <c r="M38" s="371">
        <f t="shared" si="2"/>
      </c>
      <c r="N38" s="288"/>
      <c r="O38" s="288">
        <f t="shared" si="9"/>
      </c>
      <c r="P38" s="372">
        <f t="shared" si="3"/>
        <v>20</v>
      </c>
      <c r="Q38" s="373" t="str">
        <f t="shared" si="4"/>
        <v>--</v>
      </c>
      <c r="R38" s="374" t="str">
        <f t="shared" si="5"/>
        <v>--</v>
      </c>
      <c r="S38" s="375" t="str">
        <f t="shared" si="6"/>
        <v>--</v>
      </c>
      <c r="T38" s="376" t="str">
        <f t="shared" si="7"/>
        <v>--</v>
      </c>
      <c r="U38" s="377">
        <f t="shared" si="10"/>
      </c>
      <c r="V38" s="380">
        <f t="shared" si="8"/>
      </c>
      <c r="W38" s="299"/>
    </row>
    <row r="39" spans="2:23" s="10" customFormat="1" ht="16.5" customHeight="1">
      <c r="B39" s="44"/>
      <c r="C39" s="272"/>
      <c r="D39" s="269"/>
      <c r="E39" s="269"/>
      <c r="F39" s="366"/>
      <c r="G39" s="366"/>
      <c r="H39" s="367"/>
      <c r="I39" s="368">
        <f t="shared" si="0"/>
        <v>16.111</v>
      </c>
      <c r="J39" s="369"/>
      <c r="K39" s="370"/>
      <c r="L39" s="286">
        <f t="shared" si="1"/>
      </c>
      <c r="M39" s="371">
        <f t="shared" si="2"/>
      </c>
      <c r="N39" s="288"/>
      <c r="O39" s="288">
        <f t="shared" si="9"/>
      </c>
      <c r="P39" s="372">
        <f t="shared" si="3"/>
        <v>20</v>
      </c>
      <c r="Q39" s="373" t="str">
        <f t="shared" si="4"/>
        <v>--</v>
      </c>
      <c r="R39" s="374" t="str">
        <f t="shared" si="5"/>
        <v>--</v>
      </c>
      <c r="S39" s="375" t="str">
        <f t="shared" si="6"/>
        <v>--</v>
      </c>
      <c r="T39" s="376" t="str">
        <f t="shared" si="7"/>
        <v>--</v>
      </c>
      <c r="U39" s="377">
        <f t="shared" si="10"/>
      </c>
      <c r="V39" s="380">
        <f t="shared" si="8"/>
      </c>
      <c r="W39" s="299"/>
    </row>
    <row r="40" spans="2:23" s="10" customFormat="1" ht="16.5" customHeight="1">
      <c r="B40" s="44"/>
      <c r="C40" s="272"/>
      <c r="D40" s="269"/>
      <c r="E40" s="269"/>
      <c r="F40" s="366"/>
      <c r="G40" s="366"/>
      <c r="H40" s="367"/>
      <c r="I40" s="368">
        <f t="shared" si="0"/>
        <v>16.111</v>
      </c>
      <c r="J40" s="369"/>
      <c r="K40" s="370"/>
      <c r="L40" s="286">
        <f t="shared" si="1"/>
      </c>
      <c r="M40" s="371">
        <f t="shared" si="2"/>
      </c>
      <c r="N40" s="288"/>
      <c r="O40" s="288">
        <f t="shared" si="9"/>
      </c>
      <c r="P40" s="372">
        <f t="shared" si="3"/>
        <v>20</v>
      </c>
      <c r="Q40" s="373" t="str">
        <f t="shared" si="4"/>
        <v>--</v>
      </c>
      <c r="R40" s="374" t="str">
        <f t="shared" si="5"/>
        <v>--</v>
      </c>
      <c r="S40" s="375" t="str">
        <f t="shared" si="6"/>
        <v>--</v>
      </c>
      <c r="T40" s="376" t="str">
        <f t="shared" si="7"/>
        <v>--</v>
      </c>
      <c r="U40" s="377">
        <f t="shared" si="10"/>
      </c>
      <c r="V40" s="380">
        <f t="shared" si="8"/>
      </c>
      <c r="W40" s="299"/>
    </row>
    <row r="41" spans="2:23" s="10" customFormat="1" ht="16.5" customHeight="1">
      <c r="B41" s="44"/>
      <c r="C41" s="272"/>
      <c r="D41" s="269"/>
      <c r="E41" s="269"/>
      <c r="F41" s="366"/>
      <c r="G41" s="366"/>
      <c r="H41" s="367"/>
      <c r="I41" s="368">
        <f t="shared" si="0"/>
        <v>16.111</v>
      </c>
      <c r="J41" s="369"/>
      <c r="K41" s="370"/>
      <c r="L41" s="286">
        <f t="shared" si="1"/>
      </c>
      <c r="M41" s="371">
        <f t="shared" si="2"/>
      </c>
      <c r="N41" s="288"/>
      <c r="O41" s="288">
        <f t="shared" si="9"/>
      </c>
      <c r="P41" s="372">
        <f t="shared" si="3"/>
        <v>20</v>
      </c>
      <c r="Q41" s="373" t="str">
        <f t="shared" si="4"/>
        <v>--</v>
      </c>
      <c r="R41" s="374" t="str">
        <f t="shared" si="5"/>
        <v>--</v>
      </c>
      <c r="S41" s="375" t="str">
        <f t="shared" si="6"/>
        <v>--</v>
      </c>
      <c r="T41" s="376" t="str">
        <f t="shared" si="7"/>
        <v>--</v>
      </c>
      <c r="U41" s="377">
        <f t="shared" si="10"/>
      </c>
      <c r="V41" s="380">
        <f t="shared" si="8"/>
      </c>
      <c r="W41" s="299"/>
    </row>
    <row r="42" spans="2:23" s="10" customFormat="1" ht="16.5" customHeight="1" thickBot="1">
      <c r="B42" s="44"/>
      <c r="C42" s="300"/>
      <c r="D42" s="300"/>
      <c r="E42" s="300"/>
      <c r="F42" s="300"/>
      <c r="G42" s="300"/>
      <c r="H42" s="300"/>
      <c r="I42" s="381"/>
      <c r="J42" s="300"/>
      <c r="K42" s="300"/>
      <c r="L42" s="300"/>
      <c r="M42" s="300"/>
      <c r="N42" s="300"/>
      <c r="O42" s="300"/>
      <c r="P42" s="382"/>
      <c r="Q42" s="383"/>
      <c r="R42" s="384"/>
      <c r="S42" s="385"/>
      <c r="T42" s="386"/>
      <c r="U42" s="300"/>
      <c r="V42" s="387"/>
      <c r="W42" s="299"/>
    </row>
    <row r="43" spans="2:23" s="10" customFormat="1" ht="16.5" customHeight="1" thickBot="1" thickTop="1">
      <c r="B43" s="44"/>
      <c r="C43" s="172" t="s">
        <v>73</v>
      </c>
      <c r="D43" s="421" t="s">
        <v>172</v>
      </c>
      <c r="E43" s="187"/>
      <c r="F43" s="17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388">
        <f>SUM(Q20:Q42)</f>
        <v>6283.521605</v>
      </c>
      <c r="R43" s="389">
        <f>SUM(R20:R42)</f>
        <v>0</v>
      </c>
      <c r="S43" s="389">
        <f>SUM(S20:S42)</f>
        <v>0</v>
      </c>
      <c r="T43" s="390">
        <f>SUM(T20:T42)</f>
        <v>0</v>
      </c>
      <c r="U43" s="391"/>
      <c r="V43" s="392">
        <f>ROUND(SUM(V20:V42),2)</f>
        <v>6283.52</v>
      </c>
      <c r="W43" s="299"/>
    </row>
    <row r="44" spans="2:23" s="185" customFormat="1" ht="9.75" thickTop="1">
      <c r="B44" s="186"/>
      <c r="C44" s="187"/>
      <c r="D44" s="187"/>
      <c r="E44" s="187"/>
      <c r="F44" s="188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3"/>
      <c r="V44" s="393"/>
      <c r="W44" s="325"/>
    </row>
    <row r="45" spans="2:23" s="10" customFormat="1" ht="16.5" customHeight="1" thickBot="1">
      <c r="B45" s="198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8"/>
    </row>
    <row r="46" spans="2:23" ht="16.5" customHeight="1" thickTop="1"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</row>
    <row r="47" spans="3:6" ht="16.5" customHeight="1">
      <c r="C47" s="394"/>
      <c r="D47" s="394"/>
      <c r="E47" s="394"/>
      <c r="F47" s="394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60" zoomScaleNormal="60" zoomScalePageLayoutView="0" workbookViewId="0" topLeftCell="A1">
      <selection activeCell="B12" sqref="B12"/>
    </sheetView>
  </sheetViews>
  <sheetFormatPr defaultColWidth="11.421875" defaultRowHeight="12.75"/>
  <cols>
    <col min="1" max="1" width="22.7109375" style="422" customWidth="1"/>
    <col min="2" max="2" width="15.7109375" style="422" customWidth="1"/>
    <col min="3" max="3" width="5.7109375" style="422" customWidth="1"/>
    <col min="4" max="4" width="56.421875" style="422" customWidth="1"/>
    <col min="5" max="5" width="10.421875" style="422" customWidth="1"/>
    <col min="6" max="6" width="14.140625" style="422" customWidth="1"/>
    <col min="7" max="7" width="11.7109375" style="422" customWidth="1"/>
    <col min="8" max="8" width="12.57421875" style="422" customWidth="1"/>
    <col min="9" max="10" width="10.7109375" style="422" customWidth="1"/>
    <col min="11" max="11" width="14.28125" style="422" customWidth="1"/>
    <col min="12" max="12" width="10.7109375" style="422" customWidth="1"/>
    <col min="13" max="13" width="11.421875" style="422" customWidth="1"/>
    <col min="14" max="19" width="10.7109375" style="422" customWidth="1"/>
    <col min="20" max="20" width="15.7109375" style="422" customWidth="1"/>
    <col min="21" max="16384" width="11.421875" style="422" customWidth="1"/>
  </cols>
  <sheetData>
    <row r="1" ht="38.25" customHeight="1">
      <c r="T1" s="423"/>
    </row>
    <row r="2" spans="2:20" s="424" customFormat="1" ht="40.5" customHeight="1">
      <c r="B2" s="425" t="str">
        <f>'TOT-0814'!B2</f>
        <v>ANEXO III al Memorandum D.T.E.E. N°        306    / 2015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</row>
    <row r="3" spans="1:2" s="428" customFormat="1" ht="11.25" customHeight="1">
      <c r="A3" s="426" t="s">
        <v>3</v>
      </c>
      <c r="B3" s="427"/>
    </row>
    <row r="4" spans="1:4" s="428" customFormat="1" ht="11.25" customHeight="1">
      <c r="A4" s="426" t="s">
        <v>4</v>
      </c>
      <c r="B4" s="427"/>
      <c r="D4" s="429"/>
    </row>
    <row r="5" spans="1:4" ht="10.5" customHeight="1">
      <c r="A5" s="430"/>
      <c r="D5" s="431"/>
    </row>
    <row r="6" spans="1:20" ht="26.25">
      <c r="A6" s="430"/>
      <c r="B6" s="432" t="s">
        <v>175</v>
      </c>
      <c r="C6" s="433"/>
      <c r="D6" s="431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</row>
    <row r="7" spans="1:4" ht="18.75" customHeight="1">
      <c r="A7" s="430"/>
      <c r="D7" s="431"/>
    </row>
    <row r="8" spans="1:20" ht="26.25">
      <c r="A8" s="430"/>
      <c r="B8" s="434" t="s">
        <v>1</v>
      </c>
      <c r="C8" s="433"/>
      <c r="D8" s="431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</row>
    <row r="9" spans="1:4" ht="18.75" customHeight="1">
      <c r="A9" s="430"/>
      <c r="D9" s="431"/>
    </row>
    <row r="10" spans="1:20" ht="26.25">
      <c r="A10" s="430"/>
      <c r="B10" s="434" t="s">
        <v>176</v>
      </c>
      <c r="C10" s="433"/>
      <c r="D10" s="431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</row>
    <row r="11" ht="18.75" customHeight="1" thickBot="1"/>
    <row r="12" spans="2:20" ht="18.75" customHeight="1" thickTop="1">
      <c r="B12" s="435"/>
      <c r="C12" s="436"/>
      <c r="D12" s="437"/>
      <c r="E12" s="437"/>
      <c r="F12" s="437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8"/>
    </row>
    <row r="13" spans="2:20" ht="30" customHeight="1">
      <c r="B13" s="439" t="s">
        <v>184</v>
      </c>
      <c r="C13" s="433"/>
      <c r="D13" s="440"/>
      <c r="E13" s="440"/>
      <c r="F13" s="440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2"/>
    </row>
    <row r="14" spans="2:20" ht="18.75" customHeight="1" thickBot="1">
      <c r="B14" s="443"/>
      <c r="C14" s="444"/>
      <c r="D14" s="445"/>
      <c r="E14" s="445"/>
      <c r="F14" s="446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8"/>
    </row>
    <row r="15" spans="1:20" s="456" customFormat="1" ht="34.5" customHeight="1" thickBot="1" thickTop="1">
      <c r="A15" s="449"/>
      <c r="B15" s="450"/>
      <c r="C15" s="451"/>
      <c r="D15" s="451" t="s">
        <v>177</v>
      </c>
      <c r="E15" s="452" t="s">
        <v>21</v>
      </c>
      <c r="F15" s="453" t="s">
        <v>22</v>
      </c>
      <c r="G15" s="454">
        <f>'[1]Tasa de Falla'!HP15</f>
        <v>41487</v>
      </c>
      <c r="H15" s="454">
        <f>'[1]Tasa de Falla'!HQ15</f>
        <v>41518</v>
      </c>
      <c r="I15" s="454">
        <f>'[1]Tasa de Falla'!HR15</f>
        <v>41548</v>
      </c>
      <c r="J15" s="454">
        <f>'[1]Tasa de Falla'!HS15</f>
        <v>41579</v>
      </c>
      <c r="K15" s="454">
        <f>'[1]Tasa de Falla'!HT15</f>
        <v>41609</v>
      </c>
      <c r="L15" s="454">
        <f>'[1]Tasa de Falla'!HU15</f>
        <v>41640</v>
      </c>
      <c r="M15" s="454">
        <f>'[1]Tasa de Falla'!HV15</f>
        <v>41671</v>
      </c>
      <c r="N15" s="454">
        <f>'[1]Tasa de Falla'!HW15</f>
        <v>41699</v>
      </c>
      <c r="O15" s="454">
        <f>'[1]Tasa de Falla'!HX15</f>
        <v>41730</v>
      </c>
      <c r="P15" s="454">
        <f>'[1]Tasa de Falla'!HY15</f>
        <v>41760</v>
      </c>
      <c r="Q15" s="454">
        <f>'[1]Tasa de Falla'!HZ15</f>
        <v>41791</v>
      </c>
      <c r="R15" s="454">
        <f>'[1]Tasa de Falla'!IA15</f>
        <v>41821</v>
      </c>
      <c r="S15" s="454">
        <f>'[1]Tasa de Falla'!IB15</f>
        <v>41852</v>
      </c>
      <c r="T15" s="455"/>
    </row>
    <row r="16" spans="2:20" s="456" customFormat="1" ht="24.75" customHeight="1" thickTop="1">
      <c r="B16" s="457"/>
      <c r="C16" s="458"/>
      <c r="D16" s="459"/>
      <c r="E16" s="459"/>
      <c r="F16" s="460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61"/>
      <c r="T16" s="455"/>
    </row>
    <row r="17" spans="2:20" s="456" customFormat="1" ht="24.75" customHeight="1">
      <c r="B17" s="457"/>
      <c r="C17" s="462">
        <f>'[1]Tasa de Falla'!C17</f>
        <v>1</v>
      </c>
      <c r="D17" s="463" t="str">
        <f>'[1]Tasa de Falla'!D17</f>
        <v>AGUA DEL TORO - CRUZ DE PIEDRA</v>
      </c>
      <c r="E17" s="463">
        <f>'[1]Tasa de Falla'!E17</f>
        <v>220</v>
      </c>
      <c r="F17" s="464">
        <f>'[1]Tasa de Falla'!F17</f>
        <v>177.9</v>
      </c>
      <c r="G17" s="463">
        <f>IF('[1]Tasa de Falla'!HP17="","",'[1]Tasa de Falla'!HP17)</f>
      </c>
      <c r="H17" s="463">
        <f>IF('[1]Tasa de Falla'!HQ17="","",'[1]Tasa de Falla'!HQ17)</f>
      </c>
      <c r="I17" s="463">
        <f>IF('[1]Tasa de Falla'!HR17="","",'[1]Tasa de Falla'!HR17)</f>
      </c>
      <c r="J17" s="463">
        <f>IF('[1]Tasa de Falla'!HS17="","",'[1]Tasa de Falla'!HS17)</f>
      </c>
      <c r="K17" s="463">
        <f>IF('[1]Tasa de Falla'!HT17="","",'[1]Tasa de Falla'!HT17)</f>
      </c>
      <c r="L17" s="463">
        <f>IF('[1]Tasa de Falla'!HU17="","",'[1]Tasa de Falla'!HU17)</f>
      </c>
      <c r="M17" s="463">
        <f>IF('[1]Tasa de Falla'!HV17="","",'[1]Tasa de Falla'!HV17)</f>
        <v>1</v>
      </c>
      <c r="N17" s="463">
        <f>IF('[1]Tasa de Falla'!HW17="","",'[1]Tasa de Falla'!HW17)</f>
      </c>
      <c r="O17" s="463">
        <f>IF('[1]Tasa de Falla'!HX17="","",'[1]Tasa de Falla'!HX17)</f>
      </c>
      <c r="P17" s="463">
        <f>IF('[1]Tasa de Falla'!HY17="","",'[1]Tasa de Falla'!HY17)</f>
      </c>
      <c r="Q17" s="463">
        <f>IF('[1]Tasa de Falla'!HZ17="","",'[1]Tasa de Falla'!HZ17)</f>
      </c>
      <c r="R17" s="463">
        <f>IF('[1]Tasa de Falla'!IA17="","",'[1]Tasa de Falla'!IA17)</f>
      </c>
      <c r="S17" s="460"/>
      <c r="T17" s="455"/>
    </row>
    <row r="18" spans="2:20" s="456" customFormat="1" ht="24.75" customHeight="1">
      <c r="B18" s="457"/>
      <c r="C18" s="465">
        <f>'[1]Tasa de Falla'!C18</f>
        <v>2</v>
      </c>
      <c r="D18" s="466" t="str">
        <f>'[1]Tasa de Falla'!D18</f>
        <v>AGUA DEL TORO - LOS REYUNOS</v>
      </c>
      <c r="E18" s="466">
        <f>'[1]Tasa de Falla'!E18</f>
        <v>220</v>
      </c>
      <c r="F18" s="467">
        <f>'[1]Tasa de Falla'!F18</f>
        <v>43</v>
      </c>
      <c r="G18" s="463">
        <f>IF('[1]Tasa de Falla'!HP18="","",'[1]Tasa de Falla'!HP18)</f>
      </c>
      <c r="H18" s="463">
        <f>IF('[1]Tasa de Falla'!HQ18="","",'[1]Tasa de Falla'!HQ18)</f>
      </c>
      <c r="I18" s="463">
        <f>IF('[1]Tasa de Falla'!HR18="","",'[1]Tasa de Falla'!HR18)</f>
      </c>
      <c r="J18" s="463">
        <f>IF('[1]Tasa de Falla'!HS18="","",'[1]Tasa de Falla'!HS18)</f>
      </c>
      <c r="K18" s="463">
        <f>IF('[1]Tasa de Falla'!HT18="","",'[1]Tasa de Falla'!HT18)</f>
      </c>
      <c r="L18" s="463">
        <f>IF('[1]Tasa de Falla'!HU18="","",'[1]Tasa de Falla'!HU18)</f>
      </c>
      <c r="M18" s="463">
        <f>IF('[1]Tasa de Falla'!HV18="","",'[1]Tasa de Falla'!HV18)</f>
        <v>1</v>
      </c>
      <c r="N18" s="463">
        <f>IF('[1]Tasa de Falla'!HW18="","",'[1]Tasa de Falla'!HW18)</f>
      </c>
      <c r="O18" s="463">
        <f>IF('[1]Tasa de Falla'!HX18="","",'[1]Tasa de Falla'!HX18)</f>
      </c>
      <c r="P18" s="463">
        <f>IF('[1]Tasa de Falla'!HY18="","",'[1]Tasa de Falla'!HY18)</f>
      </c>
      <c r="Q18" s="463">
        <f>IF('[1]Tasa de Falla'!HZ18="","",'[1]Tasa de Falla'!HZ18)</f>
      </c>
      <c r="R18" s="463">
        <f>IF('[1]Tasa de Falla'!IA18="","",'[1]Tasa de Falla'!IA18)</f>
      </c>
      <c r="S18" s="460"/>
      <c r="T18" s="455"/>
    </row>
    <row r="19" spans="2:20" s="456" customFormat="1" ht="24.75" customHeight="1">
      <c r="B19" s="457"/>
      <c r="C19" s="462">
        <f>'[1]Tasa de Falla'!C19</f>
        <v>3</v>
      </c>
      <c r="D19" s="463" t="str">
        <f>'[1]Tasa de Falla'!D19</f>
        <v>AGUA DEL TORO - NIHUIL II</v>
      </c>
      <c r="E19" s="463">
        <f>'[1]Tasa de Falla'!E19</f>
        <v>220</v>
      </c>
      <c r="F19" s="464">
        <f>'[1]Tasa de Falla'!F19</f>
        <v>53.5</v>
      </c>
      <c r="G19" s="463">
        <f>IF('[1]Tasa de Falla'!HP19="","",'[1]Tasa de Falla'!HP19)</f>
      </c>
      <c r="H19" s="463">
        <f>IF('[1]Tasa de Falla'!HQ19="","",'[1]Tasa de Falla'!HQ19)</f>
      </c>
      <c r="I19" s="463">
        <f>IF('[1]Tasa de Falla'!HR19="","",'[1]Tasa de Falla'!HR19)</f>
      </c>
      <c r="J19" s="463">
        <f>IF('[1]Tasa de Falla'!HS19="","",'[1]Tasa de Falla'!HS19)</f>
      </c>
      <c r="K19" s="463">
        <f>IF('[1]Tasa de Falla'!HT19="","",'[1]Tasa de Falla'!HT19)</f>
        <v>1</v>
      </c>
      <c r="L19" s="463">
        <f>IF('[1]Tasa de Falla'!HU19="","",'[1]Tasa de Falla'!HU19)</f>
      </c>
      <c r="M19" s="463">
        <f>IF('[1]Tasa de Falla'!HV19="","",'[1]Tasa de Falla'!HV19)</f>
        <v>1</v>
      </c>
      <c r="N19" s="463">
        <f>IF('[1]Tasa de Falla'!HW19="","",'[1]Tasa de Falla'!HW19)</f>
      </c>
      <c r="O19" s="463">
        <f>IF('[1]Tasa de Falla'!HX19="","",'[1]Tasa de Falla'!HX19)</f>
      </c>
      <c r="P19" s="463">
        <f>IF('[1]Tasa de Falla'!HY19="","",'[1]Tasa de Falla'!HY19)</f>
      </c>
      <c r="Q19" s="463">
        <f>IF('[1]Tasa de Falla'!HZ19="","",'[1]Tasa de Falla'!HZ19)</f>
      </c>
      <c r="R19" s="463">
        <f>IF('[1]Tasa de Falla'!IA19="","",'[1]Tasa de Falla'!IA19)</f>
      </c>
      <c r="S19" s="460"/>
      <c r="T19" s="455"/>
    </row>
    <row r="20" spans="2:20" s="456" customFormat="1" ht="24.75" customHeight="1">
      <c r="B20" s="457"/>
      <c r="C20" s="465">
        <f>'[1]Tasa de Falla'!C20</f>
        <v>4</v>
      </c>
      <c r="D20" s="466" t="str">
        <f>'[1]Tasa de Falla'!D20</f>
        <v>CRUZ DE PIEDRA - SAN JUAN</v>
      </c>
      <c r="E20" s="466">
        <f>'[1]Tasa de Falla'!E20</f>
        <v>220</v>
      </c>
      <c r="F20" s="467">
        <f>'[1]Tasa de Falla'!F20</f>
        <v>171.6</v>
      </c>
      <c r="G20" s="463">
        <f>IF('[1]Tasa de Falla'!HP20="","",'[1]Tasa de Falla'!HP20)</f>
      </c>
      <c r="H20" s="463">
        <f>IF('[1]Tasa de Falla'!HQ20="","",'[1]Tasa de Falla'!HQ20)</f>
      </c>
      <c r="I20" s="463">
        <f>IF('[1]Tasa de Falla'!HR20="","",'[1]Tasa de Falla'!HR20)</f>
        <v>1</v>
      </c>
      <c r="J20" s="463">
        <f>IF('[1]Tasa de Falla'!HS20="","",'[1]Tasa de Falla'!HS20)</f>
      </c>
      <c r="K20" s="463">
        <f>IF('[1]Tasa de Falla'!HT20="","",'[1]Tasa de Falla'!HT20)</f>
      </c>
      <c r="L20" s="463">
        <f>IF('[1]Tasa de Falla'!HU20="","",'[1]Tasa de Falla'!HU20)</f>
      </c>
      <c r="M20" s="463">
        <f>IF('[1]Tasa de Falla'!HV20="","",'[1]Tasa de Falla'!HV20)</f>
      </c>
      <c r="N20" s="463">
        <f>IF('[1]Tasa de Falla'!HW20="","",'[1]Tasa de Falla'!HW20)</f>
      </c>
      <c r="O20" s="463">
        <f>IF('[1]Tasa de Falla'!HX20="","",'[1]Tasa de Falla'!HX20)</f>
      </c>
      <c r="P20" s="463">
        <f>IF('[1]Tasa de Falla'!HY20="","",'[1]Tasa de Falla'!HY20)</f>
      </c>
      <c r="Q20" s="463">
        <f>IF('[1]Tasa de Falla'!HZ20="","",'[1]Tasa de Falla'!HZ20)</f>
      </c>
      <c r="R20" s="463">
        <f>IF('[1]Tasa de Falla'!IA20="","",'[1]Tasa de Falla'!IA20)</f>
      </c>
      <c r="S20" s="460"/>
      <c r="T20" s="455"/>
    </row>
    <row r="21" spans="2:20" s="456" customFormat="1" ht="24.75" customHeight="1">
      <c r="B21" s="457"/>
      <c r="C21" s="462">
        <f>'[1]Tasa de Falla'!C21</f>
        <v>5</v>
      </c>
      <c r="D21" s="463" t="str">
        <f>'[1]Tasa de Falla'!D21</f>
        <v>LOS REYUNOS - GRAN MENDOZA</v>
      </c>
      <c r="E21" s="463">
        <f>'[1]Tasa de Falla'!E21</f>
        <v>220</v>
      </c>
      <c r="F21" s="464">
        <f>'[1]Tasa de Falla'!F21</f>
        <v>188.3</v>
      </c>
      <c r="G21" s="463">
        <f>IF('[1]Tasa de Falla'!HP21="","",'[1]Tasa de Falla'!HP21)</f>
      </c>
      <c r="H21" s="463">
        <f>IF('[1]Tasa de Falla'!HQ21="","",'[1]Tasa de Falla'!HQ21)</f>
      </c>
      <c r="I21" s="463">
        <f>IF('[1]Tasa de Falla'!HR21="","",'[1]Tasa de Falla'!HR21)</f>
      </c>
      <c r="J21" s="463">
        <f>IF('[1]Tasa de Falla'!HS21="","",'[1]Tasa de Falla'!HS21)</f>
      </c>
      <c r="K21" s="463">
        <f>IF('[1]Tasa de Falla'!HT21="","",'[1]Tasa de Falla'!HT21)</f>
      </c>
      <c r="L21" s="463">
        <f>IF('[1]Tasa de Falla'!HU21="","",'[1]Tasa de Falla'!HU21)</f>
      </c>
      <c r="M21" s="463">
        <f>IF('[1]Tasa de Falla'!HV21="","",'[1]Tasa de Falla'!HV21)</f>
      </c>
      <c r="N21" s="463">
        <f>IF('[1]Tasa de Falla'!HW21="","",'[1]Tasa de Falla'!HW21)</f>
      </c>
      <c r="O21" s="463">
        <f>IF('[1]Tasa de Falla'!HX21="","",'[1]Tasa de Falla'!HX21)</f>
      </c>
      <c r="P21" s="463">
        <f>IF('[1]Tasa de Falla'!HY21="","",'[1]Tasa de Falla'!HY21)</f>
      </c>
      <c r="Q21" s="463">
        <f>IF('[1]Tasa de Falla'!HZ21="","",'[1]Tasa de Falla'!HZ21)</f>
      </c>
      <c r="R21" s="463">
        <f>IF('[1]Tasa de Falla'!IA21="","",'[1]Tasa de Falla'!IA21)</f>
      </c>
      <c r="S21" s="460"/>
      <c r="T21" s="455"/>
    </row>
    <row r="22" spans="2:20" s="456" customFormat="1" ht="24.75" customHeight="1">
      <c r="B22" s="457"/>
      <c r="C22" s="462">
        <f>'[1]Tasa de Falla'!C22</f>
        <v>6</v>
      </c>
      <c r="D22" s="463" t="str">
        <f>'[1]Tasa de Falla'!D22</f>
        <v>CRUZ DE PIEDRA - CAÑADA HONDA</v>
      </c>
      <c r="E22" s="463">
        <f>'[1]Tasa de Falla'!E22</f>
        <v>132</v>
      </c>
      <c r="F22" s="464">
        <f>'[1]Tasa de Falla'!F22</f>
        <v>125.8</v>
      </c>
      <c r="G22" s="463">
        <f>IF('[1]Tasa de Falla'!HP22="","",'[1]Tasa de Falla'!HP22)</f>
        <v>1</v>
      </c>
      <c r="H22" s="463">
        <f>IF('[1]Tasa de Falla'!HQ22="","",'[1]Tasa de Falla'!HQ22)</f>
      </c>
      <c r="I22" s="463">
        <f>IF('[1]Tasa de Falla'!HR22="","",'[1]Tasa de Falla'!HR22)</f>
        <v>1</v>
      </c>
      <c r="J22" s="463">
        <f>IF('[1]Tasa de Falla'!HS22="","",'[1]Tasa de Falla'!HS22)</f>
      </c>
      <c r="K22" s="463">
        <f>IF('[1]Tasa de Falla'!HT22="","",'[1]Tasa de Falla'!HT22)</f>
      </c>
      <c r="L22" s="463">
        <f>IF('[1]Tasa de Falla'!HU22="","",'[1]Tasa de Falla'!HU22)</f>
      </c>
      <c r="M22" s="463">
        <f>IF('[1]Tasa de Falla'!HV22="","",'[1]Tasa de Falla'!HV22)</f>
      </c>
      <c r="N22" s="463">
        <f>IF('[1]Tasa de Falla'!HW22="","",'[1]Tasa de Falla'!HW22)</f>
        <v>1</v>
      </c>
      <c r="O22" s="463">
        <f>IF('[1]Tasa de Falla'!HX22="","",'[1]Tasa de Falla'!HX22)</f>
      </c>
      <c r="P22" s="463">
        <f>IF('[1]Tasa de Falla'!HY22="","",'[1]Tasa de Falla'!HY22)</f>
      </c>
      <c r="Q22" s="463">
        <f>IF('[1]Tasa de Falla'!HZ22="","",'[1]Tasa de Falla'!HZ22)</f>
      </c>
      <c r="R22" s="463">
        <f>IF('[1]Tasa de Falla'!IA22="","",'[1]Tasa de Falla'!IA22)</f>
      </c>
      <c r="S22" s="460"/>
      <c r="T22" s="455"/>
    </row>
    <row r="23" spans="2:20" s="456" customFormat="1" ht="24.75" customHeight="1">
      <c r="B23" s="457"/>
      <c r="C23" s="465">
        <f>'[1]Tasa de Falla'!C23</f>
        <v>7</v>
      </c>
      <c r="D23" s="466" t="str">
        <f>'[1]Tasa de Falla'!D23</f>
        <v>ANCHORIS - CAPIZ</v>
      </c>
      <c r="E23" s="466">
        <f>'[1]Tasa de Falla'!E23</f>
        <v>132</v>
      </c>
      <c r="F23" s="467">
        <f>'[1]Tasa de Falla'!F23</f>
        <v>42</v>
      </c>
      <c r="G23" s="463">
        <f>IF('[1]Tasa de Falla'!HP23="","",'[1]Tasa de Falla'!HP23)</f>
      </c>
      <c r="H23" s="463">
        <f>IF('[1]Tasa de Falla'!HQ23="","",'[1]Tasa de Falla'!HQ23)</f>
      </c>
      <c r="I23" s="463">
        <f>IF('[1]Tasa de Falla'!HR23="","",'[1]Tasa de Falla'!HR23)</f>
      </c>
      <c r="J23" s="463">
        <f>IF('[1]Tasa de Falla'!HS23="","",'[1]Tasa de Falla'!HS23)</f>
      </c>
      <c r="K23" s="463">
        <f>IF('[1]Tasa de Falla'!HT23="","",'[1]Tasa de Falla'!HT23)</f>
      </c>
      <c r="L23" s="463">
        <f>IF('[1]Tasa de Falla'!HU23="","",'[1]Tasa de Falla'!HU23)</f>
      </c>
      <c r="M23" s="463">
        <f>IF('[1]Tasa de Falla'!HV23="","",'[1]Tasa de Falla'!HV23)</f>
      </c>
      <c r="N23" s="463">
        <f>IF('[1]Tasa de Falla'!HW23="","",'[1]Tasa de Falla'!HW23)</f>
      </c>
      <c r="O23" s="463">
        <f>IF('[1]Tasa de Falla'!HX23="","",'[1]Tasa de Falla'!HX23)</f>
      </c>
      <c r="P23" s="463">
        <f>IF('[1]Tasa de Falla'!HY23="","",'[1]Tasa de Falla'!HY23)</f>
      </c>
      <c r="Q23" s="463">
        <f>IF('[1]Tasa de Falla'!HZ23="","",'[1]Tasa de Falla'!HZ23)</f>
      </c>
      <c r="R23" s="463">
        <f>IF('[1]Tasa de Falla'!IA23="","",'[1]Tasa de Falla'!IA23)</f>
      </c>
      <c r="S23" s="460"/>
      <c r="T23" s="455"/>
    </row>
    <row r="24" spans="2:20" s="456" customFormat="1" ht="24.75" customHeight="1">
      <c r="B24" s="457"/>
      <c r="C24" s="462">
        <f>'[1]Tasa de Falla'!C24</f>
        <v>8</v>
      </c>
      <c r="D24" s="463" t="str">
        <f>'[1]Tasa de Falla'!D24</f>
        <v>ANCHORIS - CRUZ DE PIEDRA</v>
      </c>
      <c r="E24" s="463">
        <f>'[1]Tasa de Falla'!E24</f>
        <v>132</v>
      </c>
      <c r="F24" s="464">
        <f>'[1]Tasa de Falla'!F24</f>
        <v>33.5</v>
      </c>
      <c r="G24" s="463">
        <f>IF('[1]Tasa de Falla'!HP24="","",'[1]Tasa de Falla'!HP24)</f>
      </c>
      <c r="H24" s="463">
        <f>IF('[1]Tasa de Falla'!HQ24="","",'[1]Tasa de Falla'!HQ24)</f>
      </c>
      <c r="I24" s="463">
        <f>IF('[1]Tasa de Falla'!HR24="","",'[1]Tasa de Falla'!HR24)</f>
      </c>
      <c r="J24" s="463">
        <f>IF('[1]Tasa de Falla'!HS24="","",'[1]Tasa de Falla'!HS24)</f>
      </c>
      <c r="K24" s="463">
        <f>IF('[1]Tasa de Falla'!HT24="","",'[1]Tasa de Falla'!HT24)</f>
      </c>
      <c r="L24" s="463">
        <f>IF('[1]Tasa de Falla'!HU24="","",'[1]Tasa de Falla'!HU24)</f>
      </c>
      <c r="M24" s="463">
        <f>IF('[1]Tasa de Falla'!HV24="","",'[1]Tasa de Falla'!HV24)</f>
      </c>
      <c r="N24" s="463">
        <f>IF('[1]Tasa de Falla'!HW24="","",'[1]Tasa de Falla'!HW24)</f>
      </c>
      <c r="O24" s="463">
        <f>IF('[1]Tasa de Falla'!HX24="","",'[1]Tasa de Falla'!HX24)</f>
      </c>
      <c r="P24" s="463">
        <f>IF('[1]Tasa de Falla'!HY24="","",'[1]Tasa de Falla'!HY24)</f>
      </c>
      <c r="Q24" s="463">
        <f>IF('[1]Tasa de Falla'!HZ24="","",'[1]Tasa de Falla'!HZ24)</f>
      </c>
      <c r="R24" s="463">
        <f>IF('[1]Tasa de Falla'!IA24="","",'[1]Tasa de Falla'!IA24)</f>
      </c>
      <c r="S24" s="460"/>
      <c r="T24" s="455"/>
    </row>
    <row r="25" spans="2:20" s="456" customFormat="1" ht="24.75" customHeight="1">
      <c r="B25" s="457"/>
      <c r="C25" s="465">
        <f>'[1]Tasa de Falla'!C25</f>
        <v>9</v>
      </c>
      <c r="D25" s="466" t="str">
        <f>'[1]Tasa de Falla'!D25</f>
        <v>ANCHORIZ -Deriv."T" a LC 35-B.R.Tunuyan</v>
      </c>
      <c r="E25" s="466">
        <f>'[1]Tasa de Falla'!E25</f>
        <v>132</v>
      </c>
      <c r="F25" s="467">
        <f>'[1]Tasa de Falla'!F25</f>
        <v>52.9</v>
      </c>
      <c r="G25" s="463">
        <f>IF('[1]Tasa de Falla'!HP25="","",'[1]Tasa de Falla'!HP25)</f>
      </c>
      <c r="H25" s="463">
        <f>IF('[1]Tasa de Falla'!HQ25="","",'[1]Tasa de Falla'!HQ25)</f>
      </c>
      <c r="I25" s="463">
        <f>IF('[1]Tasa de Falla'!HR25="","",'[1]Tasa de Falla'!HR25)</f>
      </c>
      <c r="J25" s="463">
        <f>IF('[1]Tasa de Falla'!HS25="","",'[1]Tasa de Falla'!HS25)</f>
      </c>
      <c r="K25" s="463">
        <f>IF('[1]Tasa de Falla'!HT25="","",'[1]Tasa de Falla'!HT25)</f>
      </c>
      <c r="L25" s="463">
        <f>IF('[1]Tasa de Falla'!HU25="","",'[1]Tasa de Falla'!HU25)</f>
      </c>
      <c r="M25" s="463">
        <f>IF('[1]Tasa de Falla'!HV25="","",'[1]Tasa de Falla'!HV25)</f>
        <v>1</v>
      </c>
      <c r="N25" s="463">
        <f>IF('[1]Tasa de Falla'!HW25="","",'[1]Tasa de Falla'!HW25)</f>
      </c>
      <c r="O25" s="463">
        <f>IF('[1]Tasa de Falla'!HX25="","",'[1]Tasa de Falla'!HX25)</f>
      </c>
      <c r="P25" s="463">
        <f>IF('[1]Tasa de Falla'!HY25="","",'[1]Tasa de Falla'!HY25)</f>
      </c>
      <c r="Q25" s="463">
        <f>IF('[1]Tasa de Falla'!HZ25="","",'[1]Tasa de Falla'!HZ25)</f>
      </c>
      <c r="R25" s="463">
        <f>IF('[1]Tasa de Falla'!IA25="","",'[1]Tasa de Falla'!IA25)</f>
      </c>
      <c r="S25" s="460"/>
      <c r="T25" s="455"/>
    </row>
    <row r="26" spans="2:20" s="456" customFormat="1" ht="24.75" customHeight="1">
      <c r="B26" s="457"/>
      <c r="C26" s="462">
        <f>'[1]Tasa de Falla'!C26</f>
        <v>10</v>
      </c>
      <c r="D26" s="463" t="str">
        <f>'[1]Tasa de Falla'!D26</f>
        <v>CAPIZ - PEDRO VARGAS</v>
      </c>
      <c r="E26" s="463">
        <f>'[1]Tasa de Falla'!E26</f>
        <v>132</v>
      </c>
      <c r="F26" s="464">
        <f>'[1]Tasa de Falla'!F26</f>
        <v>122.1</v>
      </c>
      <c r="G26" s="463">
        <f>IF('[1]Tasa de Falla'!HP26="","",'[1]Tasa de Falla'!HP26)</f>
      </c>
      <c r="H26" s="463">
        <f>IF('[1]Tasa de Falla'!HQ26="","",'[1]Tasa de Falla'!HQ26)</f>
      </c>
      <c r="I26" s="463">
        <f>IF('[1]Tasa de Falla'!HR26="","",'[1]Tasa de Falla'!HR26)</f>
      </c>
      <c r="J26" s="463">
        <f>IF('[1]Tasa de Falla'!HS26="","",'[1]Tasa de Falla'!HS26)</f>
        <v>1</v>
      </c>
      <c r="K26" s="463">
        <f>IF('[1]Tasa de Falla'!HT26="","",'[1]Tasa de Falla'!HT26)</f>
      </c>
      <c r="L26" s="463">
        <f>IF('[1]Tasa de Falla'!HU26="","",'[1]Tasa de Falla'!HU26)</f>
      </c>
      <c r="M26" s="463">
        <f>IF('[1]Tasa de Falla'!HV26="","",'[1]Tasa de Falla'!HV26)</f>
      </c>
      <c r="N26" s="463">
        <f>IF('[1]Tasa de Falla'!HW26="","",'[1]Tasa de Falla'!HW26)</f>
      </c>
      <c r="O26" s="463">
        <f>IF('[1]Tasa de Falla'!HX26="","",'[1]Tasa de Falla'!HX26)</f>
      </c>
      <c r="P26" s="463">
        <f>IF('[1]Tasa de Falla'!HY26="","",'[1]Tasa de Falla'!HY26)</f>
      </c>
      <c r="Q26" s="463">
        <f>IF('[1]Tasa de Falla'!HZ26="","",'[1]Tasa de Falla'!HZ26)</f>
      </c>
      <c r="R26" s="463">
        <f>IF('[1]Tasa de Falla'!IA26="","",'[1]Tasa de Falla'!IA26)</f>
        <v>1</v>
      </c>
      <c r="S26" s="460"/>
      <c r="T26" s="455"/>
    </row>
    <row r="27" spans="2:20" s="456" customFormat="1" ht="24.75" customHeight="1">
      <c r="B27" s="457"/>
      <c r="C27" s="465">
        <f>'[1]Tasa de Falla'!C27</f>
        <v>11</v>
      </c>
      <c r="D27" s="466" t="str">
        <f>'[1]Tasa de Falla'!D27</f>
        <v>SAN RAFAEL - PEDRO VARGAS</v>
      </c>
      <c r="E27" s="466">
        <f>'[1]Tasa de Falla'!E27</f>
        <v>132</v>
      </c>
      <c r="F27" s="467">
        <f>'[1]Tasa de Falla'!F27</f>
        <v>15.6</v>
      </c>
      <c r="G27" s="463">
        <f>IF('[1]Tasa de Falla'!HP27="","",'[1]Tasa de Falla'!HP27)</f>
      </c>
      <c r="H27" s="463">
        <f>IF('[1]Tasa de Falla'!HQ27="","",'[1]Tasa de Falla'!HQ27)</f>
      </c>
      <c r="I27" s="463">
        <f>IF('[1]Tasa de Falla'!HR27="","",'[1]Tasa de Falla'!HR27)</f>
      </c>
      <c r="J27" s="463">
        <f>IF('[1]Tasa de Falla'!HS27="","",'[1]Tasa de Falla'!HS27)</f>
      </c>
      <c r="K27" s="463">
        <f>IF('[1]Tasa de Falla'!HT27="","",'[1]Tasa de Falla'!HT27)</f>
      </c>
      <c r="L27" s="463">
        <f>IF('[1]Tasa de Falla'!HU27="","",'[1]Tasa de Falla'!HU27)</f>
      </c>
      <c r="M27" s="463">
        <f>IF('[1]Tasa de Falla'!HV27="","",'[1]Tasa de Falla'!HV27)</f>
      </c>
      <c r="N27" s="463">
        <f>IF('[1]Tasa de Falla'!HW27="","",'[1]Tasa de Falla'!HW27)</f>
      </c>
      <c r="O27" s="463">
        <f>IF('[1]Tasa de Falla'!HX27="","",'[1]Tasa de Falla'!HX27)</f>
      </c>
      <c r="P27" s="463">
        <f>IF('[1]Tasa de Falla'!HY27="","",'[1]Tasa de Falla'!HY27)</f>
      </c>
      <c r="Q27" s="463">
        <f>IF('[1]Tasa de Falla'!HZ27="","",'[1]Tasa de Falla'!HZ27)</f>
      </c>
      <c r="R27" s="463">
        <f>IF('[1]Tasa de Falla'!IA27="","",'[1]Tasa de Falla'!IA27)</f>
      </c>
      <c r="S27" s="460"/>
      <c r="T27" s="455"/>
    </row>
    <row r="28" spans="2:20" s="456" customFormat="1" ht="24.75" customHeight="1">
      <c r="B28" s="457"/>
      <c r="C28" s="462">
        <f>'[1]Tasa de Falla'!C28</f>
        <v>12</v>
      </c>
      <c r="D28" s="463" t="str">
        <f>'[1]Tasa de Falla'!D28</f>
        <v>GRAN MENDOZA - MONTE CASEROS 1</v>
      </c>
      <c r="E28" s="463">
        <f>'[1]Tasa de Falla'!E28</f>
        <v>132</v>
      </c>
      <c r="F28" s="464">
        <f>'[1]Tasa de Falla'!F28</f>
        <v>19.1</v>
      </c>
      <c r="G28" s="463">
        <f>IF('[1]Tasa de Falla'!HP28="","",'[1]Tasa de Falla'!HP28)</f>
      </c>
      <c r="H28" s="463">
        <f>IF('[1]Tasa de Falla'!HQ28="","",'[1]Tasa de Falla'!HQ28)</f>
      </c>
      <c r="I28" s="463">
        <f>IF('[1]Tasa de Falla'!HR28="","",'[1]Tasa de Falla'!HR28)</f>
      </c>
      <c r="J28" s="463">
        <f>IF('[1]Tasa de Falla'!HS28="","",'[1]Tasa de Falla'!HS28)</f>
        <v>1</v>
      </c>
      <c r="K28" s="463">
        <f>IF('[1]Tasa de Falla'!HT28="","",'[1]Tasa de Falla'!HT28)</f>
      </c>
      <c r="L28" s="463">
        <f>IF('[1]Tasa de Falla'!HU28="","",'[1]Tasa de Falla'!HU28)</f>
      </c>
      <c r="M28" s="463">
        <f>IF('[1]Tasa de Falla'!HV28="","",'[1]Tasa de Falla'!HV28)</f>
      </c>
      <c r="N28" s="463">
        <f>IF('[1]Tasa de Falla'!HW28="","",'[1]Tasa de Falla'!HW28)</f>
      </c>
      <c r="O28" s="463">
        <f>IF('[1]Tasa de Falla'!HX28="","",'[1]Tasa de Falla'!HX28)</f>
      </c>
      <c r="P28" s="463">
        <f>IF('[1]Tasa de Falla'!HY28="","",'[1]Tasa de Falla'!HY28)</f>
      </c>
      <c r="Q28" s="463">
        <f>IF('[1]Tasa de Falla'!HZ28="","",'[1]Tasa de Falla'!HZ28)</f>
      </c>
      <c r="R28" s="463">
        <f>IF('[1]Tasa de Falla'!IA28="","",'[1]Tasa de Falla'!IA28)</f>
      </c>
      <c r="S28" s="460"/>
      <c r="T28" s="455"/>
    </row>
    <row r="29" spans="2:20" s="456" customFormat="1" ht="24.75" customHeight="1">
      <c r="B29" s="457"/>
      <c r="C29" s="465">
        <f>'[1]Tasa de Falla'!C29</f>
        <v>13</v>
      </c>
      <c r="D29" s="466" t="str">
        <f>'[1]Tasa de Falla'!D29</f>
        <v>GRAN MENDOZA - MONTE CASEROS 2</v>
      </c>
      <c r="E29" s="466">
        <f>'[1]Tasa de Falla'!E29</f>
        <v>132</v>
      </c>
      <c r="F29" s="467">
        <f>'[1]Tasa de Falla'!F29</f>
        <v>19.1</v>
      </c>
      <c r="G29" s="463">
        <f>IF('[1]Tasa de Falla'!HP29="","",'[1]Tasa de Falla'!HP29)</f>
      </c>
      <c r="H29" s="463">
        <f>IF('[1]Tasa de Falla'!HQ29="","",'[1]Tasa de Falla'!HQ29)</f>
      </c>
      <c r="I29" s="463">
        <f>IF('[1]Tasa de Falla'!HR29="","",'[1]Tasa de Falla'!HR29)</f>
      </c>
      <c r="J29" s="463">
        <f>IF('[1]Tasa de Falla'!HS29="","",'[1]Tasa de Falla'!HS29)</f>
      </c>
      <c r="K29" s="463">
        <f>IF('[1]Tasa de Falla'!HT29="","",'[1]Tasa de Falla'!HT29)</f>
      </c>
      <c r="L29" s="463">
        <f>IF('[1]Tasa de Falla'!HU29="","",'[1]Tasa de Falla'!HU29)</f>
      </c>
      <c r="M29" s="463">
        <f>IF('[1]Tasa de Falla'!HV29="","",'[1]Tasa de Falla'!HV29)</f>
      </c>
      <c r="N29" s="463">
        <f>IF('[1]Tasa de Falla'!HW29="","",'[1]Tasa de Falla'!HW29)</f>
      </c>
      <c r="O29" s="463">
        <f>IF('[1]Tasa de Falla'!HX29="","",'[1]Tasa de Falla'!HX29)</f>
      </c>
      <c r="P29" s="463">
        <f>IF('[1]Tasa de Falla'!HY29="","",'[1]Tasa de Falla'!HY29)</f>
      </c>
      <c r="Q29" s="463">
        <f>IF('[1]Tasa de Falla'!HZ29="","",'[1]Tasa de Falla'!HZ29)</f>
      </c>
      <c r="R29" s="463">
        <f>IF('[1]Tasa de Falla'!IA29="","",'[1]Tasa de Falla'!IA29)</f>
      </c>
      <c r="S29" s="460"/>
      <c r="T29" s="455"/>
    </row>
    <row r="30" spans="2:20" s="456" customFormat="1" ht="24.75" customHeight="1">
      <c r="B30" s="457"/>
      <c r="C30" s="462">
        <f>'[1]Tasa de Falla'!C30</f>
        <v>14</v>
      </c>
      <c r="D30" s="463" t="str">
        <f>'[1]Tasa de Falla'!D30</f>
        <v>CRUZ DE PIEDRA - GRAN MENDOZA 1</v>
      </c>
      <c r="E30" s="463">
        <f>'[1]Tasa de Falla'!E30</f>
        <v>132</v>
      </c>
      <c r="F30" s="464">
        <f>'[1]Tasa de Falla'!F30</f>
        <v>22</v>
      </c>
      <c r="G30" s="463">
        <f>IF('[1]Tasa de Falla'!HP30="","",'[1]Tasa de Falla'!HP30)</f>
      </c>
      <c r="H30" s="463">
        <f>IF('[1]Tasa de Falla'!HQ30="","",'[1]Tasa de Falla'!HQ30)</f>
      </c>
      <c r="I30" s="463">
        <f>IF('[1]Tasa de Falla'!HR30="","",'[1]Tasa de Falla'!HR30)</f>
      </c>
      <c r="J30" s="463">
        <f>IF('[1]Tasa de Falla'!HS30="","",'[1]Tasa de Falla'!HS30)</f>
      </c>
      <c r="K30" s="463">
        <f>IF('[1]Tasa de Falla'!HT30="","",'[1]Tasa de Falla'!HT30)</f>
      </c>
      <c r="L30" s="463">
        <f>IF('[1]Tasa de Falla'!HU30="","",'[1]Tasa de Falla'!HU30)</f>
      </c>
      <c r="M30" s="463">
        <f>IF('[1]Tasa de Falla'!HV30="","",'[1]Tasa de Falla'!HV30)</f>
      </c>
      <c r="N30" s="463">
        <f>IF('[1]Tasa de Falla'!HW30="","",'[1]Tasa de Falla'!HW30)</f>
      </c>
      <c r="O30" s="463">
        <f>IF('[1]Tasa de Falla'!HX30="","",'[1]Tasa de Falla'!HX30)</f>
      </c>
      <c r="P30" s="463">
        <f>IF('[1]Tasa de Falla'!HY30="","",'[1]Tasa de Falla'!HY30)</f>
      </c>
      <c r="Q30" s="463">
        <f>IF('[1]Tasa de Falla'!HZ30="","",'[1]Tasa de Falla'!HZ30)</f>
      </c>
      <c r="R30" s="463">
        <f>IF('[1]Tasa de Falla'!IA30="","",'[1]Tasa de Falla'!IA30)</f>
      </c>
      <c r="S30" s="460"/>
      <c r="T30" s="455"/>
    </row>
    <row r="31" spans="2:20" s="456" customFormat="1" ht="24.75" customHeight="1">
      <c r="B31" s="457"/>
      <c r="C31" s="465">
        <f>'[1]Tasa de Falla'!C31</f>
        <v>15</v>
      </c>
      <c r="D31" s="466" t="str">
        <f>'[1]Tasa de Falla'!D31</f>
        <v>CRUZ DE PIEDRA - GRAN MENDOZA 2</v>
      </c>
      <c r="E31" s="466">
        <f>'[1]Tasa de Falla'!E31</f>
        <v>132</v>
      </c>
      <c r="F31" s="467">
        <f>'[1]Tasa de Falla'!F31</f>
        <v>22</v>
      </c>
      <c r="G31" s="463">
        <f>IF('[1]Tasa de Falla'!HP31="","",'[1]Tasa de Falla'!HP31)</f>
      </c>
      <c r="H31" s="463">
        <f>IF('[1]Tasa de Falla'!HQ31="","",'[1]Tasa de Falla'!HQ31)</f>
      </c>
      <c r="I31" s="463">
        <f>IF('[1]Tasa de Falla'!HR31="","",'[1]Tasa de Falla'!HR31)</f>
      </c>
      <c r="J31" s="463">
        <f>IF('[1]Tasa de Falla'!HS31="","",'[1]Tasa de Falla'!HS31)</f>
      </c>
      <c r="K31" s="463">
        <f>IF('[1]Tasa de Falla'!HT31="","",'[1]Tasa de Falla'!HT31)</f>
      </c>
      <c r="L31" s="463">
        <f>IF('[1]Tasa de Falla'!HU31="","",'[1]Tasa de Falla'!HU31)</f>
      </c>
      <c r="M31" s="463">
        <f>IF('[1]Tasa de Falla'!HV31="","",'[1]Tasa de Falla'!HV31)</f>
      </c>
      <c r="N31" s="463">
        <f>IF('[1]Tasa de Falla'!HW31="","",'[1]Tasa de Falla'!HW31)</f>
      </c>
      <c r="O31" s="463">
        <f>IF('[1]Tasa de Falla'!HX31="","",'[1]Tasa de Falla'!HX31)</f>
      </c>
      <c r="P31" s="463">
        <f>IF('[1]Tasa de Falla'!HY31="","",'[1]Tasa de Falla'!HY31)</f>
      </c>
      <c r="Q31" s="463">
        <f>IF('[1]Tasa de Falla'!HZ31="","",'[1]Tasa de Falla'!HZ31)</f>
      </c>
      <c r="R31" s="463">
        <f>IF('[1]Tasa de Falla'!IA31="","",'[1]Tasa de Falla'!IA31)</f>
      </c>
      <c r="S31" s="460"/>
      <c r="T31" s="455"/>
    </row>
    <row r="32" spans="2:20" s="456" customFormat="1" ht="24.75" customHeight="1">
      <c r="B32" s="457"/>
      <c r="C32" s="462">
        <f>'[1]Tasa de Falla'!C32</f>
        <v>16</v>
      </c>
      <c r="D32" s="463" t="str">
        <f>'[1]Tasa de Falla'!D32</f>
        <v>CRUZ DE PIEDRA - SAN JUAN</v>
      </c>
      <c r="E32" s="463">
        <f>'[1]Tasa de Falla'!E32</f>
        <v>132</v>
      </c>
      <c r="F32" s="464">
        <f>'[1]Tasa de Falla'!F32</f>
        <v>180.18</v>
      </c>
      <c r="G32" s="463" t="str">
        <f>IF('[1]Tasa de Falla'!HP32="","",'[1]Tasa de Falla'!HP32)</f>
        <v>XXXX</v>
      </c>
      <c r="H32" s="463" t="str">
        <f>IF('[1]Tasa de Falla'!HQ32="","",'[1]Tasa de Falla'!HQ32)</f>
        <v>XXXX</v>
      </c>
      <c r="I32" s="463" t="str">
        <f>IF('[1]Tasa de Falla'!HR32="","",'[1]Tasa de Falla'!HR32)</f>
        <v>XXXX</v>
      </c>
      <c r="J32" s="463" t="str">
        <f>IF('[1]Tasa de Falla'!HS32="","",'[1]Tasa de Falla'!HS32)</f>
        <v>XXXX</v>
      </c>
      <c r="K32" s="463" t="str">
        <f>IF('[1]Tasa de Falla'!HT32="","",'[1]Tasa de Falla'!HT32)</f>
        <v>XXXX</v>
      </c>
      <c r="L32" s="463" t="str">
        <f>IF('[1]Tasa de Falla'!HU32="","",'[1]Tasa de Falla'!HU32)</f>
        <v>XXXX</v>
      </c>
      <c r="M32" s="463" t="str">
        <f>IF('[1]Tasa de Falla'!HV32="","",'[1]Tasa de Falla'!HV32)</f>
        <v>XXXX</v>
      </c>
      <c r="N32" s="463" t="str">
        <f>IF('[1]Tasa de Falla'!HW32="","",'[1]Tasa de Falla'!HW32)</f>
        <v>XXXX</v>
      </c>
      <c r="O32" s="463" t="str">
        <f>IF('[1]Tasa de Falla'!HX32="","",'[1]Tasa de Falla'!HX32)</f>
        <v>XXXX</v>
      </c>
      <c r="P32" s="463" t="str">
        <f>IF('[1]Tasa de Falla'!HY32="","",'[1]Tasa de Falla'!HY32)</f>
        <v>XXXX</v>
      </c>
      <c r="Q32" s="463" t="str">
        <f>IF('[1]Tasa de Falla'!HZ32="","",'[1]Tasa de Falla'!HZ32)</f>
        <v>XXXX</v>
      </c>
      <c r="R32" s="463" t="str">
        <f>IF('[1]Tasa de Falla'!IA32="","",'[1]Tasa de Falla'!IA32)</f>
        <v>XXXX</v>
      </c>
      <c r="S32" s="460"/>
      <c r="T32" s="455"/>
    </row>
    <row r="33" spans="2:20" s="456" customFormat="1" ht="24.75" customHeight="1">
      <c r="B33" s="457"/>
      <c r="C33" s="465">
        <f>'[1]Tasa de Falla'!C33</f>
        <v>17</v>
      </c>
      <c r="D33" s="466" t="str">
        <f>'[1]Tasa de Falla'!D33</f>
        <v>CRUZ DE PIEDRA - LUJAN DE CUYO 1</v>
      </c>
      <c r="E33" s="466">
        <f>'[1]Tasa de Falla'!E33</f>
        <v>132</v>
      </c>
      <c r="F33" s="467">
        <f>'[1]Tasa de Falla'!F33</f>
        <v>18.1</v>
      </c>
      <c r="G33" s="463">
        <f>IF('[1]Tasa de Falla'!HP33="","",'[1]Tasa de Falla'!HP33)</f>
      </c>
      <c r="H33" s="463">
        <f>IF('[1]Tasa de Falla'!HQ33="","",'[1]Tasa de Falla'!HQ33)</f>
      </c>
      <c r="I33" s="463">
        <f>IF('[1]Tasa de Falla'!HR33="","",'[1]Tasa de Falla'!HR33)</f>
      </c>
      <c r="J33" s="463">
        <f>IF('[1]Tasa de Falla'!HS33="","",'[1]Tasa de Falla'!HS33)</f>
      </c>
      <c r="K33" s="463">
        <f>IF('[1]Tasa de Falla'!HT33="","",'[1]Tasa de Falla'!HT33)</f>
      </c>
      <c r="L33" s="463">
        <f>IF('[1]Tasa de Falla'!HU33="","",'[1]Tasa de Falla'!HU33)</f>
      </c>
      <c r="M33" s="463">
        <f>IF('[1]Tasa de Falla'!HV33="","",'[1]Tasa de Falla'!HV33)</f>
      </c>
      <c r="N33" s="463">
        <f>IF('[1]Tasa de Falla'!HW33="","",'[1]Tasa de Falla'!HW33)</f>
      </c>
      <c r="O33" s="463">
        <f>IF('[1]Tasa de Falla'!HX33="","",'[1]Tasa de Falla'!HX33)</f>
      </c>
      <c r="P33" s="463">
        <f>IF('[1]Tasa de Falla'!HY33="","",'[1]Tasa de Falla'!HY33)</f>
      </c>
      <c r="Q33" s="463">
        <f>IF('[1]Tasa de Falla'!HZ33="","",'[1]Tasa de Falla'!HZ33)</f>
      </c>
      <c r="R33" s="463">
        <f>IF('[1]Tasa de Falla'!IA33="","",'[1]Tasa de Falla'!IA33)</f>
      </c>
      <c r="S33" s="460"/>
      <c r="T33" s="455"/>
    </row>
    <row r="34" spans="2:20" s="456" customFormat="1" ht="24.75" customHeight="1">
      <c r="B34" s="457"/>
      <c r="C34" s="462">
        <f>'[1]Tasa de Falla'!C34</f>
        <v>18</v>
      </c>
      <c r="D34" s="463" t="str">
        <f>'[1]Tasa de Falla'!D34</f>
        <v>CRUZ DE PIEDRA - LUJAN DE CUYO 2</v>
      </c>
      <c r="E34" s="463">
        <f>'[1]Tasa de Falla'!E34</f>
        <v>132</v>
      </c>
      <c r="F34" s="464">
        <f>'[1]Tasa de Falla'!F34</f>
        <v>18.1</v>
      </c>
      <c r="G34" s="463">
        <f>IF('[1]Tasa de Falla'!HP34="","",'[1]Tasa de Falla'!HP34)</f>
      </c>
      <c r="H34" s="463">
        <f>IF('[1]Tasa de Falla'!HQ34="","",'[1]Tasa de Falla'!HQ34)</f>
      </c>
      <c r="I34" s="463">
        <f>IF('[1]Tasa de Falla'!HR34="","",'[1]Tasa de Falla'!HR34)</f>
      </c>
      <c r="J34" s="463">
        <f>IF('[1]Tasa de Falla'!HS34="","",'[1]Tasa de Falla'!HS34)</f>
      </c>
      <c r="K34" s="463">
        <f>IF('[1]Tasa de Falla'!HT34="","",'[1]Tasa de Falla'!HT34)</f>
      </c>
      <c r="L34" s="463">
        <f>IF('[1]Tasa de Falla'!HU34="","",'[1]Tasa de Falla'!HU34)</f>
      </c>
      <c r="M34" s="463">
        <f>IF('[1]Tasa de Falla'!HV34="","",'[1]Tasa de Falla'!HV34)</f>
      </c>
      <c r="N34" s="463">
        <f>IF('[1]Tasa de Falla'!HW34="","",'[1]Tasa de Falla'!HW34)</f>
      </c>
      <c r="O34" s="463">
        <f>IF('[1]Tasa de Falla'!HX34="","",'[1]Tasa de Falla'!HX34)</f>
      </c>
      <c r="P34" s="463">
        <f>IF('[1]Tasa de Falla'!HY34="","",'[1]Tasa de Falla'!HY34)</f>
      </c>
      <c r="Q34" s="463">
        <f>IF('[1]Tasa de Falla'!HZ34="","",'[1]Tasa de Falla'!HZ34)</f>
      </c>
      <c r="R34" s="463">
        <f>IF('[1]Tasa de Falla'!IA34="","",'[1]Tasa de Falla'!IA34)</f>
      </c>
      <c r="S34" s="460"/>
      <c r="T34" s="455"/>
    </row>
    <row r="35" spans="2:20" s="456" customFormat="1" ht="24.75" customHeight="1">
      <c r="B35" s="457"/>
      <c r="C35" s="468">
        <f>'[1]Tasa de Falla'!C35</f>
        <v>19</v>
      </c>
      <c r="D35" s="469" t="str">
        <f>'[1]Tasa de Falla'!D35</f>
        <v>C.H. NIHUIL I - PEDRO VARGAS</v>
      </c>
      <c r="E35" s="469">
        <f>'[1]Tasa de Falla'!E35</f>
        <v>132</v>
      </c>
      <c r="F35" s="470">
        <f>'[1]Tasa de Falla'!F35</f>
        <v>46.5</v>
      </c>
      <c r="G35" s="463">
        <f>IF('[1]Tasa de Falla'!HP35="","",'[1]Tasa de Falla'!HP35)</f>
      </c>
      <c r="H35" s="463">
        <f>IF('[1]Tasa de Falla'!HQ35="","",'[1]Tasa de Falla'!HQ35)</f>
      </c>
      <c r="I35" s="463">
        <f>IF('[1]Tasa de Falla'!HR35="","",'[1]Tasa de Falla'!HR35)</f>
      </c>
      <c r="J35" s="463">
        <f>IF('[1]Tasa de Falla'!HS35="","",'[1]Tasa de Falla'!HS35)</f>
      </c>
      <c r="K35" s="463">
        <f>IF('[1]Tasa de Falla'!HT35="","",'[1]Tasa de Falla'!HT35)</f>
      </c>
      <c r="L35" s="463">
        <f>IF('[1]Tasa de Falla'!HU35="","",'[1]Tasa de Falla'!HU35)</f>
      </c>
      <c r="M35" s="463">
        <f>IF('[1]Tasa de Falla'!HV35="","",'[1]Tasa de Falla'!HV35)</f>
      </c>
      <c r="N35" s="463">
        <f>IF('[1]Tasa de Falla'!HW35="","",'[1]Tasa de Falla'!HW35)</f>
      </c>
      <c r="O35" s="463">
        <f>IF('[1]Tasa de Falla'!HX35="","",'[1]Tasa de Falla'!HX35)</f>
      </c>
      <c r="P35" s="463">
        <f>IF('[1]Tasa de Falla'!HY35="","",'[1]Tasa de Falla'!HY35)</f>
      </c>
      <c r="Q35" s="463">
        <f>IF('[1]Tasa de Falla'!HZ35="","",'[1]Tasa de Falla'!HZ35)</f>
      </c>
      <c r="R35" s="463">
        <f>IF('[1]Tasa de Falla'!IA35="","",'[1]Tasa de Falla'!IA35)</f>
      </c>
      <c r="S35" s="460"/>
      <c r="T35" s="455"/>
    </row>
    <row r="36" spans="2:20" s="456" customFormat="1" ht="24.75" customHeight="1">
      <c r="B36" s="457"/>
      <c r="C36" s="462">
        <f>'[1]Tasa de Falla'!C36</f>
        <v>20</v>
      </c>
      <c r="D36" s="463" t="str">
        <f>'[1]Tasa de Falla'!D36</f>
        <v>N AN JUAN - SAN JUAN</v>
      </c>
      <c r="E36" s="463">
        <f>'[1]Tasa de Falla'!E36</f>
        <v>220</v>
      </c>
      <c r="F36" s="464">
        <f>'[1]Tasa de Falla'!F36</f>
        <v>4.5</v>
      </c>
      <c r="G36" s="463">
        <f>IF('[1]Tasa de Falla'!HP36="","",'[1]Tasa de Falla'!HP36)</f>
      </c>
      <c r="H36" s="463">
        <f>IF('[1]Tasa de Falla'!HQ36="","",'[1]Tasa de Falla'!HQ36)</f>
      </c>
      <c r="I36" s="463">
        <f>IF('[1]Tasa de Falla'!HR36="","",'[1]Tasa de Falla'!HR36)</f>
      </c>
      <c r="J36" s="463">
        <f>IF('[1]Tasa de Falla'!HS36="","",'[1]Tasa de Falla'!HS36)</f>
      </c>
      <c r="K36" s="463">
        <f>IF('[1]Tasa de Falla'!HT36="","",'[1]Tasa de Falla'!HT36)</f>
      </c>
      <c r="L36" s="463">
        <f>IF('[1]Tasa de Falla'!HU36="","",'[1]Tasa de Falla'!HU36)</f>
      </c>
      <c r="M36" s="463">
        <f>IF('[1]Tasa de Falla'!HV36="","",'[1]Tasa de Falla'!HV36)</f>
      </c>
      <c r="N36" s="463">
        <f>IF('[1]Tasa de Falla'!HW36="","",'[1]Tasa de Falla'!HW36)</f>
      </c>
      <c r="O36" s="463">
        <f>IF('[1]Tasa de Falla'!HX36="","",'[1]Tasa de Falla'!HX36)</f>
      </c>
      <c r="P36" s="463">
        <f>IF('[1]Tasa de Falla'!HY36="","",'[1]Tasa de Falla'!HY36)</f>
      </c>
      <c r="Q36" s="463">
        <f>IF('[1]Tasa de Falla'!HZ36="","",'[1]Tasa de Falla'!HZ36)</f>
      </c>
      <c r="R36" s="463">
        <f>IF('[1]Tasa de Falla'!IA36="","",'[1]Tasa de Falla'!IA36)</f>
      </c>
      <c r="S36" s="460"/>
      <c r="T36" s="455"/>
    </row>
    <row r="37" spans="2:20" s="456" customFormat="1" ht="24.75" customHeight="1">
      <c r="B37" s="457"/>
      <c r="C37" s="468">
        <f>'[1]Tasa de Falla'!C37</f>
        <v>21</v>
      </c>
      <c r="D37" s="469" t="str">
        <f>'[1]Tasa de Falla'!D37</f>
        <v>SAN JUAN - CAÑADA HONDA</v>
      </c>
      <c r="E37" s="469">
        <f>'[1]Tasa de Falla'!E37</f>
        <v>132</v>
      </c>
      <c r="F37" s="470">
        <f>'[1]Tasa de Falla'!F37</f>
        <v>54.4</v>
      </c>
      <c r="G37" s="463">
        <f>IF('[1]Tasa de Falla'!HP37="","",'[1]Tasa de Falla'!HP37)</f>
      </c>
      <c r="H37" s="463">
        <f>IF('[1]Tasa de Falla'!HQ37="","",'[1]Tasa de Falla'!HQ37)</f>
      </c>
      <c r="I37" s="463">
        <f>IF('[1]Tasa de Falla'!HR37="","",'[1]Tasa de Falla'!HR37)</f>
      </c>
      <c r="J37" s="463">
        <f>IF('[1]Tasa de Falla'!HS37="","",'[1]Tasa de Falla'!HS37)</f>
      </c>
      <c r="K37" s="463">
        <f>IF('[1]Tasa de Falla'!HT37="","",'[1]Tasa de Falla'!HT37)</f>
      </c>
      <c r="L37" s="463">
        <f>IF('[1]Tasa de Falla'!HU37="","",'[1]Tasa de Falla'!HU37)</f>
      </c>
      <c r="M37" s="463">
        <f>IF('[1]Tasa de Falla'!HV37="","",'[1]Tasa de Falla'!HV37)</f>
      </c>
      <c r="N37" s="463">
        <f>IF('[1]Tasa de Falla'!HW37="","",'[1]Tasa de Falla'!HW37)</f>
        <v>1</v>
      </c>
      <c r="O37" s="463">
        <f>IF('[1]Tasa de Falla'!HX37="","",'[1]Tasa de Falla'!HX37)</f>
      </c>
      <c r="P37" s="463">
        <f>IF('[1]Tasa de Falla'!HY37="","",'[1]Tasa de Falla'!HY37)</f>
      </c>
      <c r="Q37" s="463">
        <f>IF('[1]Tasa de Falla'!HZ37="","",'[1]Tasa de Falla'!HZ37)</f>
      </c>
      <c r="R37" s="463">
        <f>IF('[1]Tasa de Falla'!IA37="","",'[1]Tasa de Falla'!IA37)</f>
      </c>
      <c r="S37" s="460"/>
      <c r="T37" s="455"/>
    </row>
    <row r="38" spans="2:20" s="456" customFormat="1" ht="24.75" customHeight="1" thickBot="1">
      <c r="B38" s="457"/>
      <c r="C38" s="471">
        <f>IF('[2]Tasa de Falla'!C36=0,"",'[2]Tasa de Falla'!C36)</f>
      </c>
      <c r="D38" s="472">
        <f>IF('[2]Tasa de Falla'!D36=0,"",'[2]Tasa de Falla'!D36)</f>
      </c>
      <c r="E38" s="473">
        <f>IF('[2]Tasa de Falla'!E36=0,"",'[2]Tasa de Falla'!E36)</f>
      </c>
      <c r="F38" s="474">
        <f>IF('[2]Tasa de Falla'!F36=0,"",'[2]Tasa de Falla'!F36)</f>
      </c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60"/>
      <c r="T38" s="455"/>
    </row>
    <row r="39" spans="2:20" s="456" customFormat="1" ht="24.75" customHeight="1" thickBot="1" thickTop="1">
      <c r="B39" s="457"/>
      <c r="C39" s="475"/>
      <c r="D39" s="476"/>
      <c r="E39" s="477" t="s">
        <v>178</v>
      </c>
      <c r="F39" s="478">
        <f>ROUND(SUM($F$17:$F$38)-SUMIF($R17:$R38,"XXXX",$F$17:$F$38),2)</f>
        <v>1250</v>
      </c>
      <c r="G39" s="479"/>
      <c r="H39" s="480"/>
      <c r="I39" s="479"/>
      <c r="J39" s="480"/>
      <c r="K39" s="479"/>
      <c r="L39" s="480"/>
      <c r="M39" s="479"/>
      <c r="N39" s="480"/>
      <c r="O39" s="479"/>
      <c r="P39" s="480"/>
      <c r="Q39" s="479"/>
      <c r="R39" s="480"/>
      <c r="S39" s="460"/>
      <c r="T39" s="455"/>
    </row>
    <row r="40" spans="2:20" s="456" customFormat="1" ht="24.75" customHeight="1" thickBot="1" thickTop="1">
      <c r="B40" s="457"/>
      <c r="C40" s="481"/>
      <c r="D40" s="482"/>
      <c r="F40" s="483" t="s">
        <v>179</v>
      </c>
      <c r="G40" s="484">
        <f aca="true" t="shared" si="0" ref="G40:R40">SUM(G17:G38)</f>
        <v>1</v>
      </c>
      <c r="H40" s="484">
        <f t="shared" si="0"/>
        <v>0</v>
      </c>
      <c r="I40" s="484">
        <f t="shared" si="0"/>
        <v>2</v>
      </c>
      <c r="J40" s="484">
        <f t="shared" si="0"/>
        <v>2</v>
      </c>
      <c r="K40" s="484">
        <f t="shared" si="0"/>
        <v>1</v>
      </c>
      <c r="L40" s="484">
        <f t="shared" si="0"/>
        <v>0</v>
      </c>
      <c r="M40" s="484">
        <f t="shared" si="0"/>
        <v>4</v>
      </c>
      <c r="N40" s="484">
        <f t="shared" si="0"/>
        <v>2</v>
      </c>
      <c r="O40" s="484">
        <f t="shared" si="0"/>
        <v>0</v>
      </c>
      <c r="P40" s="484">
        <f t="shared" si="0"/>
        <v>0</v>
      </c>
      <c r="Q40" s="484">
        <f t="shared" si="0"/>
        <v>0</v>
      </c>
      <c r="R40" s="484">
        <f t="shared" si="0"/>
        <v>1</v>
      </c>
      <c r="S40" s="460"/>
      <c r="T40" s="455"/>
    </row>
    <row r="41" spans="2:20" s="456" customFormat="1" ht="24.75" customHeight="1" thickBot="1" thickTop="1">
      <c r="B41" s="457"/>
      <c r="C41" s="481"/>
      <c r="D41" s="481"/>
      <c r="E41" s="481"/>
      <c r="F41" s="485" t="s">
        <v>180</v>
      </c>
      <c r="G41" s="486">
        <f>'[1]Tasa de Falla'!HP42</f>
        <v>0.8</v>
      </c>
      <c r="H41" s="486">
        <f>'[1]Tasa de Falla'!HQ42</f>
        <v>0.8</v>
      </c>
      <c r="I41" s="486">
        <f>'[1]Tasa de Falla'!HR42</f>
        <v>0.72</v>
      </c>
      <c r="J41" s="486">
        <f>'[1]Tasa de Falla'!HS42</f>
        <v>0.72</v>
      </c>
      <c r="K41" s="486">
        <f>'[1]Tasa de Falla'!HT42</f>
        <v>0.8</v>
      </c>
      <c r="L41" s="486">
        <f>'[1]Tasa de Falla'!HU42</f>
        <v>0.88</v>
      </c>
      <c r="M41" s="486">
        <f>'[1]Tasa de Falla'!HV42</f>
        <v>0.72</v>
      </c>
      <c r="N41" s="486">
        <f>'[1]Tasa de Falla'!HW42</f>
        <v>1.04</v>
      </c>
      <c r="O41" s="486">
        <f>'[1]Tasa de Falla'!HX42</f>
        <v>1.2</v>
      </c>
      <c r="P41" s="486">
        <f>'[1]Tasa de Falla'!HY42</f>
        <v>1.2</v>
      </c>
      <c r="Q41" s="486">
        <f>'[1]Tasa de Falla'!HZ42</f>
        <v>1.04</v>
      </c>
      <c r="R41" s="486">
        <f>'[1]Tasa de Falla'!IA42</f>
        <v>0.96</v>
      </c>
      <c r="S41" s="486">
        <f>'[1]Tasa de Falla'!IB42</f>
        <v>1.04</v>
      </c>
      <c r="T41" s="455"/>
    </row>
    <row r="42" spans="2:20" ht="18.75" customHeight="1" thickBot="1" thickTop="1">
      <c r="B42" s="443"/>
      <c r="C42" s="487"/>
      <c r="D42" s="488" t="s">
        <v>181</v>
      </c>
      <c r="E42" s="489"/>
      <c r="F42" s="490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2"/>
    </row>
    <row r="43" spans="2:20" ht="17.25" thickBot="1" thickTop="1">
      <c r="B43" s="493"/>
      <c r="C43" s="447"/>
      <c r="D43" s="447"/>
      <c r="H43" s="494" t="s">
        <v>182</v>
      </c>
      <c r="I43" s="495"/>
      <c r="J43" s="496">
        <f>S41</f>
        <v>1.04</v>
      </c>
      <c r="K43" s="497" t="s">
        <v>183</v>
      </c>
      <c r="L43" s="498"/>
      <c r="M43" s="499"/>
      <c r="N43" s="500"/>
      <c r="O43" s="500"/>
      <c r="P43" s="500"/>
      <c r="Q43" s="500"/>
      <c r="R43" s="447"/>
      <c r="S43" s="447"/>
      <c r="T43" s="448"/>
    </row>
    <row r="44" spans="2:20" ht="18.75" customHeight="1" thickBot="1" thickTop="1">
      <c r="B44" s="501"/>
      <c r="C44" s="502"/>
      <c r="D44" s="503"/>
      <c r="E44" s="503"/>
      <c r="F44" s="504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6"/>
    </row>
    <row r="45" ht="13.5" thickTop="1">
      <c r="AA45" s="422">
        <f>ROUND(SUM(AA20:AA44),2)</f>
        <v>0</v>
      </c>
    </row>
  </sheetData>
  <sheetProtection/>
  <printOptions/>
  <pageMargins left="0.23" right="0.1968503937007874" top="0.63" bottom="0.7874015748031497" header="0.5118110236220472" footer="0.25"/>
  <pageSetup fitToHeight="1" fitToWidth="1" horizontalDpi="300" verticalDpi="300" orientation="landscape" paperSize="9" scale="48" r:id="rId2"/>
  <headerFooter alignWithMargins="0">
    <oddFooter>&amp;L&amp;"Times New Roman,Normal"&amp;8&amp;Z&amp;F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AC2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1.7109375" style="402" customWidth="1"/>
    <col min="2" max="2" width="9.28125" style="402" customWidth="1"/>
    <col min="3" max="3" width="11.8515625" style="402" bestFit="1" customWidth="1"/>
    <col min="4" max="4" width="9.57421875" style="402" bestFit="1" customWidth="1"/>
    <col min="5" max="5" width="14.8515625" style="402" bestFit="1" customWidth="1"/>
    <col min="6" max="6" width="64.00390625" style="402" bestFit="1" customWidth="1"/>
    <col min="7" max="16384" width="11.421875" style="402" customWidth="1"/>
  </cols>
  <sheetData>
    <row r="1" spans="1:4" ht="12.75">
      <c r="A1" s="401" t="s">
        <v>76</v>
      </c>
      <c r="B1" s="401" t="s">
        <v>76</v>
      </c>
      <c r="C1" s="401" t="s">
        <v>77</v>
      </c>
      <c r="D1" s="401" t="s">
        <v>78</v>
      </c>
    </row>
    <row r="2" spans="1:4" ht="12.75">
      <c r="A2" s="403" t="s">
        <v>60</v>
      </c>
      <c r="B2" s="404" t="s">
        <v>79</v>
      </c>
      <c r="C2" s="403">
        <v>31</v>
      </c>
      <c r="D2" s="403">
        <v>2006</v>
      </c>
    </row>
    <row r="3" spans="1:4" ht="12.75">
      <c r="A3" s="403" t="s">
        <v>61</v>
      </c>
      <c r="B3" s="404" t="s">
        <v>80</v>
      </c>
      <c r="C3" s="403">
        <f>IF(MOD(E14,4)=0,29,28)</f>
        <v>28</v>
      </c>
      <c r="D3" s="403">
        <f>+D2+1</f>
        <v>2007</v>
      </c>
    </row>
    <row r="4" spans="1:4" ht="12.75">
      <c r="A4" s="403" t="s">
        <v>62</v>
      </c>
      <c r="B4" s="404" t="s">
        <v>81</v>
      </c>
      <c r="C4" s="403">
        <v>31</v>
      </c>
      <c r="D4" s="403">
        <v>2008</v>
      </c>
    </row>
    <row r="5" spans="1:4" ht="12.75">
      <c r="A5" s="403" t="s">
        <v>63</v>
      </c>
      <c r="B5" s="404" t="s">
        <v>82</v>
      </c>
      <c r="C5" s="403">
        <v>30</v>
      </c>
      <c r="D5" s="403">
        <v>2009</v>
      </c>
    </row>
    <row r="6" spans="1:4" ht="12.75">
      <c r="A6" s="403" t="s">
        <v>64</v>
      </c>
      <c r="B6" s="404" t="s">
        <v>83</v>
      </c>
      <c r="C6" s="403">
        <v>31</v>
      </c>
      <c r="D6" s="403">
        <v>2010</v>
      </c>
    </row>
    <row r="7" spans="1:4" ht="12.75">
      <c r="A7" s="403" t="s">
        <v>65</v>
      </c>
      <c r="B7" s="404" t="s">
        <v>84</v>
      </c>
      <c r="C7" s="403">
        <v>30</v>
      </c>
      <c r="D7" s="403">
        <v>2011</v>
      </c>
    </row>
    <row r="8" spans="1:4" ht="12.75">
      <c r="A8" s="403" t="s">
        <v>66</v>
      </c>
      <c r="B8" s="404" t="s">
        <v>85</v>
      </c>
      <c r="C8" s="403">
        <v>31</v>
      </c>
      <c r="D8" s="403">
        <v>2012</v>
      </c>
    </row>
    <row r="9" spans="1:4" ht="12.75">
      <c r="A9" s="403" t="s">
        <v>67</v>
      </c>
      <c r="B9" s="404" t="s">
        <v>86</v>
      </c>
      <c r="C9" s="403">
        <v>31</v>
      </c>
      <c r="D9" s="403">
        <v>2013</v>
      </c>
    </row>
    <row r="10" spans="1:4" ht="12.75">
      <c r="A10" s="403" t="s">
        <v>68</v>
      </c>
      <c r="B10" s="404" t="s">
        <v>87</v>
      </c>
      <c r="C10" s="403">
        <v>30</v>
      </c>
      <c r="D10" s="403">
        <v>2014</v>
      </c>
    </row>
    <row r="11" spans="1:4" ht="12.75">
      <c r="A11" s="403" t="s">
        <v>69</v>
      </c>
      <c r="B11" s="404" t="s">
        <v>88</v>
      </c>
      <c r="C11" s="403">
        <v>31</v>
      </c>
      <c r="D11" s="403"/>
    </row>
    <row r="12" spans="1:4" ht="12.75">
      <c r="A12" s="403" t="s">
        <v>70</v>
      </c>
      <c r="B12" s="404" t="s">
        <v>89</v>
      </c>
      <c r="C12" s="403">
        <v>30</v>
      </c>
      <c r="D12" s="403"/>
    </row>
    <row r="13" spans="1:9" ht="12.75">
      <c r="A13" s="403" t="s">
        <v>71</v>
      </c>
      <c r="B13" s="404" t="s">
        <v>90</v>
      </c>
      <c r="C13" s="403">
        <v>31</v>
      </c>
      <c r="D13" s="403"/>
      <c r="I13" s="405" t="s">
        <v>91</v>
      </c>
    </row>
    <row r="14" spans="1:9" ht="12.75">
      <c r="A14" s="406">
        <v>9</v>
      </c>
      <c r="B14" s="407">
        <v>8</v>
      </c>
      <c r="C14" s="406" t="str">
        <f ca="1">CELL("CONTENIDO",OFFSET(A1,B14,0))</f>
        <v>agosto</v>
      </c>
      <c r="D14" s="406">
        <f ca="1">CELL("CONTENIDO",OFFSET(C1,B14,0))</f>
        <v>31</v>
      </c>
      <c r="E14" s="406">
        <f ca="1">CELL("CONTENIDO",OFFSET(D1,A14,0))</f>
        <v>2014</v>
      </c>
      <c r="F14" s="406" t="str">
        <f>"Desde el 01 al "&amp;D14&amp;" de "&amp;C14&amp;" de "&amp;E14</f>
        <v>Desde el 01 al 31 de agosto de 2014</v>
      </c>
      <c r="G14" s="406" t="str">
        <f ca="1">CELL("CONTENIDO",OFFSET(B1,B14,0))</f>
        <v>08</v>
      </c>
      <c r="H14" s="406" t="str">
        <f>RIGHT(E14,2)</f>
        <v>14</v>
      </c>
      <c r="I14" s="408" t="s">
        <v>92</v>
      </c>
    </row>
    <row r="15" spans="1:8" ht="12.75">
      <c r="A15" s="406"/>
      <c r="B15" s="409" t="str">
        <f>"\\rugor\files\Transporte\Transporte\AA PROCESO AUT ARCHIVOS J\DISTROCUYO\"&amp;E14</f>
        <v>\\rugor\files\Transporte\Transporte\AA PROCESO AUT ARCHIVOS J\DISTROCUYO\2014</v>
      </c>
      <c r="C15" s="406"/>
      <c r="D15" s="406"/>
      <c r="E15" s="406"/>
      <c r="F15" s="406"/>
      <c r="G15" s="406" t="str">
        <f>"J"&amp;G14&amp;H14&amp;"CUY"</f>
        <v>J0814CUY</v>
      </c>
      <c r="H15" s="406"/>
    </row>
    <row r="16" spans="1:8" ht="12.75">
      <c r="A16" s="406"/>
      <c r="B16" s="409" t="str">
        <f>"\\rugor\files\Transporte\transporte\AA PROCESO AUT\INTERCAMBIO\"&amp;H14&amp;G14</f>
        <v>\\rugor\files\Transporte\transporte\AA PROCESO AUT\INTERCAMBIO\1408</v>
      </c>
      <c r="C16" s="406"/>
      <c r="D16" s="406"/>
      <c r="E16" s="406"/>
      <c r="F16" s="406"/>
      <c r="G16" s="406"/>
      <c r="H16" s="406"/>
    </row>
    <row r="17" spans="1:29" s="410" customFormat="1" ht="12.75">
      <c r="A17" s="401" t="s">
        <v>93</v>
      </c>
      <c r="B17" s="401" t="s">
        <v>94</v>
      </c>
      <c r="C17" s="401" t="s">
        <v>95</v>
      </c>
      <c r="D17" s="401" t="s">
        <v>96</v>
      </c>
      <c r="E17" s="401" t="s">
        <v>97</v>
      </c>
      <c r="F17" s="401" t="s">
        <v>98</v>
      </c>
      <c r="G17" s="401" t="s">
        <v>126</v>
      </c>
      <c r="H17" s="401" t="s">
        <v>99</v>
      </c>
      <c r="I17" s="401" t="s">
        <v>100</v>
      </c>
      <c r="J17" s="401" t="s">
        <v>101</v>
      </c>
      <c r="K17" s="401" t="s">
        <v>102</v>
      </c>
      <c r="L17" s="401" t="s">
        <v>103</v>
      </c>
      <c r="M17" s="401" t="s">
        <v>104</v>
      </c>
      <c r="N17" s="401" t="s">
        <v>105</v>
      </c>
      <c r="O17" s="401" t="s">
        <v>106</v>
      </c>
      <c r="P17" s="401" t="s">
        <v>107</v>
      </c>
      <c r="Q17" s="401" t="s">
        <v>108</v>
      </c>
      <c r="R17" s="401" t="s">
        <v>109</v>
      </c>
      <c r="S17" s="401" t="s">
        <v>110</v>
      </c>
      <c r="T17" s="401" t="s">
        <v>111</v>
      </c>
      <c r="U17" s="401" t="s">
        <v>112</v>
      </c>
      <c r="V17" s="401" t="s">
        <v>113</v>
      </c>
      <c r="W17" s="401" t="s">
        <v>114</v>
      </c>
      <c r="X17" s="401" t="s">
        <v>115</v>
      </c>
      <c r="Y17" s="401" t="s">
        <v>116</v>
      </c>
      <c r="Z17" s="401" t="s">
        <v>117</v>
      </c>
      <c r="AA17" s="401" t="s">
        <v>118</v>
      </c>
      <c r="AB17" s="401" t="s">
        <v>119</v>
      </c>
      <c r="AC17" s="401" t="s">
        <v>120</v>
      </c>
    </row>
    <row r="18" spans="1:29" ht="12.75">
      <c r="A18" s="411" t="s">
        <v>121</v>
      </c>
      <c r="B18" s="411">
        <v>21</v>
      </c>
      <c r="C18" s="411">
        <v>19</v>
      </c>
      <c r="D18" s="411">
        <v>12</v>
      </c>
      <c r="E18" s="411" t="str">
        <f>"LI-"&amp;$G$14</f>
        <v>LI-08</v>
      </c>
      <c r="F18" s="411" t="s">
        <v>127</v>
      </c>
      <c r="G18" s="411">
        <v>3</v>
      </c>
      <c r="H18" s="412">
        <v>5</v>
      </c>
      <c r="I18" s="412">
        <v>4</v>
      </c>
      <c r="J18" s="411">
        <v>6</v>
      </c>
      <c r="K18" s="411">
        <v>7</v>
      </c>
      <c r="L18" s="411">
        <v>8</v>
      </c>
      <c r="M18" s="411">
        <v>0</v>
      </c>
      <c r="N18" s="411">
        <v>10</v>
      </c>
      <c r="O18" s="411">
        <v>11</v>
      </c>
      <c r="P18" s="411">
        <v>14</v>
      </c>
      <c r="Q18" s="411">
        <v>26</v>
      </c>
      <c r="R18" s="411">
        <v>0</v>
      </c>
      <c r="S18" s="411">
        <v>15</v>
      </c>
      <c r="T18" s="411">
        <v>0</v>
      </c>
      <c r="U18" s="411">
        <v>0</v>
      </c>
      <c r="V18" s="411">
        <v>0</v>
      </c>
      <c r="W18" s="411">
        <v>18</v>
      </c>
      <c r="X18" s="411">
        <v>9</v>
      </c>
      <c r="Y18" s="411">
        <v>42</v>
      </c>
      <c r="Z18" s="411">
        <v>27</v>
      </c>
      <c r="AA18" s="411">
        <v>19</v>
      </c>
      <c r="AB18" s="411">
        <v>27</v>
      </c>
      <c r="AC18" s="411">
        <v>14</v>
      </c>
    </row>
    <row r="19" spans="1:29" ht="12.75">
      <c r="A19" s="413" t="s">
        <v>122</v>
      </c>
      <c r="B19" s="413">
        <v>22</v>
      </c>
      <c r="C19" s="413">
        <v>19</v>
      </c>
      <c r="D19" s="413">
        <v>13</v>
      </c>
      <c r="E19" s="413" t="str">
        <f>"T-"&amp;$G$14</f>
        <v>T-08</v>
      </c>
      <c r="F19" s="413" t="s">
        <v>128</v>
      </c>
      <c r="G19" s="411">
        <v>3</v>
      </c>
      <c r="H19" s="412">
        <v>5</v>
      </c>
      <c r="I19" s="412">
        <v>4</v>
      </c>
      <c r="J19" s="413">
        <v>6</v>
      </c>
      <c r="K19" s="413">
        <v>7</v>
      </c>
      <c r="L19" s="413">
        <v>8</v>
      </c>
      <c r="M19" s="413">
        <v>9</v>
      </c>
      <c r="N19" s="413">
        <v>11</v>
      </c>
      <c r="O19" s="413">
        <v>12</v>
      </c>
      <c r="P19" s="413">
        <v>15</v>
      </c>
      <c r="Q19" s="413">
        <v>16</v>
      </c>
      <c r="R19" s="413">
        <v>18</v>
      </c>
      <c r="S19" s="413">
        <v>28</v>
      </c>
      <c r="T19" s="413">
        <v>17</v>
      </c>
      <c r="U19" s="413">
        <v>0</v>
      </c>
      <c r="V19" s="413">
        <v>0</v>
      </c>
      <c r="W19" s="413">
        <v>22</v>
      </c>
      <c r="X19" s="411">
        <v>9</v>
      </c>
      <c r="Y19" s="413">
        <v>43</v>
      </c>
      <c r="Z19" s="413">
        <v>29</v>
      </c>
      <c r="AA19" s="413">
        <v>20</v>
      </c>
      <c r="AB19" s="413">
        <v>29</v>
      </c>
      <c r="AC19" s="413">
        <v>15</v>
      </c>
    </row>
    <row r="20" spans="1:29" ht="12.75">
      <c r="A20" s="411" t="s">
        <v>123</v>
      </c>
      <c r="B20" s="411">
        <v>22</v>
      </c>
      <c r="C20" s="411">
        <v>19</v>
      </c>
      <c r="D20" s="411">
        <v>10</v>
      </c>
      <c r="E20" s="411" t="str">
        <f>"SA-"&amp;$G$14</f>
        <v>SA-08</v>
      </c>
      <c r="F20" s="411" t="s">
        <v>129</v>
      </c>
      <c r="G20" s="411">
        <v>3</v>
      </c>
      <c r="H20" s="412">
        <v>5</v>
      </c>
      <c r="I20" s="412">
        <v>4</v>
      </c>
      <c r="J20" s="411">
        <v>6</v>
      </c>
      <c r="K20" s="411">
        <v>7</v>
      </c>
      <c r="L20" s="411">
        <v>8</v>
      </c>
      <c r="M20" s="411">
        <v>10</v>
      </c>
      <c r="N20" s="411">
        <v>11</v>
      </c>
      <c r="O20" s="411">
        <v>14</v>
      </c>
      <c r="P20" s="411">
        <v>15</v>
      </c>
      <c r="Q20" s="411">
        <v>21</v>
      </c>
      <c r="R20" s="411">
        <v>0</v>
      </c>
      <c r="S20" s="411">
        <v>0</v>
      </c>
      <c r="T20" s="411">
        <v>0</v>
      </c>
      <c r="U20" s="411">
        <v>0</v>
      </c>
      <c r="V20" s="411">
        <v>0</v>
      </c>
      <c r="W20" s="411">
        <v>24</v>
      </c>
      <c r="X20" s="411">
        <v>9</v>
      </c>
      <c r="Y20" s="411">
        <v>43</v>
      </c>
      <c r="Z20" s="411">
        <v>22</v>
      </c>
      <c r="AA20" s="411">
        <v>20</v>
      </c>
      <c r="AB20" s="411">
        <v>22</v>
      </c>
      <c r="AC20" s="411">
        <v>14</v>
      </c>
    </row>
    <row r="21" spans="1:29" s="410" customFormat="1" ht="12.75">
      <c r="A21" s="414" t="s">
        <v>124</v>
      </c>
      <c r="B21" s="414">
        <v>19</v>
      </c>
      <c r="C21" s="414">
        <v>24</v>
      </c>
      <c r="D21" s="415">
        <v>4</v>
      </c>
      <c r="E21" s="414" t="str">
        <f>"CAUSAS-VST-"&amp;$G$14</f>
        <v>CAUSAS-VST-08</v>
      </c>
      <c r="F21" s="414" t="s">
        <v>125</v>
      </c>
      <c r="G21" s="414">
        <v>3</v>
      </c>
      <c r="H21" s="414">
        <v>4</v>
      </c>
      <c r="I21" s="414">
        <v>5</v>
      </c>
      <c r="J21" s="414">
        <v>6</v>
      </c>
      <c r="K21" s="414">
        <v>7</v>
      </c>
      <c r="L21" s="414">
        <v>0</v>
      </c>
      <c r="M21" s="414">
        <v>0</v>
      </c>
      <c r="N21" s="414">
        <v>0</v>
      </c>
      <c r="O21" s="414">
        <v>0</v>
      </c>
      <c r="P21" s="414">
        <v>0</v>
      </c>
      <c r="Q21" s="414">
        <v>0</v>
      </c>
      <c r="R21" s="414">
        <v>0</v>
      </c>
      <c r="S21" s="414">
        <v>0</v>
      </c>
      <c r="T21" s="414">
        <v>0</v>
      </c>
      <c r="U21" s="414">
        <v>0</v>
      </c>
      <c r="V21" s="414">
        <v>0</v>
      </c>
      <c r="W21" s="414">
        <v>999</v>
      </c>
      <c r="X21" s="414">
        <v>999</v>
      </c>
      <c r="Y21" s="414">
        <v>0</v>
      </c>
      <c r="Z21" s="414">
        <v>0</v>
      </c>
      <c r="AA21" s="414">
        <v>0</v>
      </c>
      <c r="AB21" s="414">
        <v>0</v>
      </c>
      <c r="AC21" s="414">
        <v>0</v>
      </c>
    </row>
  </sheetData>
  <sheetProtection/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2015-04-20T15:13:35Z</cp:lastPrinted>
  <dcterms:created xsi:type="dcterms:W3CDTF">1998-09-02T21:31:22Z</dcterms:created>
  <dcterms:modified xsi:type="dcterms:W3CDTF">2015-05-06T13:42:43Z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