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714" sheetId="1" r:id="rId1"/>
    <sheet name="LI-07 (1)" sheetId="2" r:id="rId2"/>
    <sheet name="Incendio" sheetId="3" r:id="rId3"/>
    <sheet name="T-07 (1)" sheetId="4" r:id="rId4"/>
    <sheet name="SA-07 (1)" sheetId="5" r:id="rId5"/>
    <sheet name="TASA FALLA" sheetId="6" r:id="rId6"/>
    <sheet name="DATO" sheetId="7" r:id="rId7"/>
  </sheets>
  <externalReferences>
    <externalReference r:id="rId10"/>
    <externalReference r:id="rId11"/>
  </externalReferences>
  <definedNames>
    <definedName name="_xlnm.Print_Area" localSheetId="5">'TASA FALLA'!$A$1:$T$44</definedName>
    <definedName name="DD" localSheetId="5">'TASA FALLA'!DD</definedName>
    <definedName name="DD">[0]!DD</definedName>
    <definedName name="DDD" localSheetId="5">'TASA FALLA'!DDD</definedName>
    <definedName name="DDD">[0]!DDD</definedName>
    <definedName name="DISTROCUYO" localSheetId="5">'TASA FALLA'!DISTROCUYO</definedName>
    <definedName name="DISTROCUYO">[0]!DISTROCUYO</definedName>
    <definedName name="INICIO" localSheetId="5">'TASA FALLA'!INICIO</definedName>
    <definedName name="INICIO">[0]!INICIO</definedName>
    <definedName name="INICIOTI" localSheetId="5">'TASA FALLA'!INICIOTI</definedName>
    <definedName name="INICIOTI">[0]!INICIOTI</definedName>
    <definedName name="LINEAS" localSheetId="5">'TASA FALLA'!LINEAS</definedName>
    <definedName name="LINEAS">[0]!LINEAS</definedName>
    <definedName name="LINEASTI" localSheetId="5">'TASA FALLA'!LINEASTI</definedName>
    <definedName name="LINEASTI">[0]!LINEASTI</definedName>
    <definedName name="NAME_L" localSheetId="5">'TASA FALLA'!NAME_L</definedName>
    <definedName name="NAME_L">[0]!NAME_L</definedName>
    <definedName name="NAME_L_TI" localSheetId="5">'TASA FALLA'!NAME_L_TI</definedName>
    <definedName name="NAME_L_TI">[0]!NAME_L_TI</definedName>
    <definedName name="TRAN" localSheetId="5">'TASA FALLA'!TRAN</definedName>
    <definedName name="TRAN">[0]!TRAN</definedName>
    <definedName name="TRANSNOA" localSheetId="5">'TASA FALLA'!TRANSNOA</definedName>
    <definedName name="TRANSNOA">[0]!TRANSNOA</definedName>
    <definedName name="TRANSPA" localSheetId="5">'TASA FALLA'!TRANSPA</definedName>
    <definedName name="TRANSPA">[0]!TRANSPA</definedName>
    <definedName name="x" localSheetId="5">'TASA FALLA'!x</definedName>
    <definedName name="x">[0]!x</definedName>
    <definedName name="XX" localSheetId="5">'TASA FALLA'!XX</definedName>
    <definedName name="XX">[0]!XX</definedName>
    <definedName name="Z_CED65634_EC76_48B7_BCDE_CE4F22E2E6C4_.wvu.PrintArea" localSheetId="5" hidden="1">'TASA FALLA'!$A$1:$T$44</definedName>
    <definedName name="Z_CED65634_EC76_48B7_BCDE_CE4F22E2E6C4_.wvu.Rows" localSheetId="5" hidden="1">'TASA FALLA'!$16:$16</definedName>
  </definedNames>
  <calcPr fullCalcOnLoad="1"/>
</workbook>
</file>

<file path=xl/sharedStrings.xml><?xml version="1.0" encoding="utf-8"?>
<sst xmlns="http://schemas.openxmlformats.org/spreadsheetml/2006/main" count="316" uniqueCount="174">
  <si>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</si>
  <si>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</si>
  <si>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</si>
  <si>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</si>
  <si>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</si>
  <si>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</si>
  <si>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</si>
  <si>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</si>
  <si>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</si>
  <si>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</si>
  <si>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</si>
  <si>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</si>
  <si>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</si>
  <si>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</si>
  <si>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</si>
  <si>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</si>
  <si>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</si>
  <si>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</si>
  <si>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</si>
  <si>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</si>
  <si>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</si>
  <si>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</si>
  <si>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</si>
  <si>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</si>
  <si>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</si>
  <si>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</si>
  <si>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</si>
  <si>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</si>
  <si>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</si>
  <si>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</si>
  <si>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</si>
  <si>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</si>
  <si>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</si>
  <si>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</si>
  <si>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</si>
  <si>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</si>
  <si>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</si>
  <si>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</si>
  <si>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</si>
  <si>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</si>
  <si>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</si>
  <si>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</si>
  <si>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</si>
  <si>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</si>
  <si>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</si>
  <si>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</si>
  <si>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</si>
  <si>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</si>
  <si>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</si>
  <si>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</si>
  <si>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</si>
  <si>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</si>
  <si>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</si>
  <si>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</si>
  <si>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</si>
  <si>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</si>
  <si>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</si>
  <si>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</si>
  <si>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</si>
  <si>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</si>
  <si>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</si>
  <si>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</si>
  <si>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</si>
  <si>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</si>
  <si>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</si>
  <si>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</si>
  <si>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</si>
  <si>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</si>
  <si>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</si>
  <si>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</si>
  <si>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</si>
  <si>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</si>
  <si>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</si>
  <si>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</si>
  <si>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</si>
  <si>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</si>
  <si>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</si>
  <si>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</si>
  <si>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</si>
  <si>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</si>
  <si>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</si>
  <si>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</si>
  <si>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</si>
  <si>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</si>
  <si>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</si>
  <si>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</si>
  <si>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</si>
  <si>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</si>
  <si>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</si>
  <si>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</si>
  <si>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</si>
  <si>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</si>
  <si>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</si>
  <si>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</si>
  <si>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</si>
  <si>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</si>
  <si>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</si>
  <si>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</si>
  <si>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</si>
  <si>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</si>
  <si>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</si>
  <si>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</si>
  <si>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</si>
  <si>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</si>
  <si>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</si>
  <si>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</si>
  <si>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</si>
  <si>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</si>
  <si>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</si>
  <si>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</si>
  <si>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</si>
  <si>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</si>
  <si>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</si>
  <si>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</si>
  <si>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</si>
  <si>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</si>
  <si>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</si>
  <si>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</si>
  <si>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</si>
  <si>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</si>
  <si>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</si>
  <si>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</si>
  <si>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</si>
  <si>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</si>
  <si>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</si>
  <si>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</si>
  <si>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</si>
  <si>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</si>
  <si>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</si>
  <si>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</si>
  <si>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julio de 2014</t>
  </si>
  <si>
    <t>F</t>
  </si>
  <si>
    <t>0,000</t>
  </si>
  <si>
    <t>CAPIZ - PEDRO VARGAS</t>
  </si>
  <si>
    <t>MONTE CASEROS - GRAN MENDOZA 1</t>
  </si>
  <si>
    <t>P</t>
  </si>
  <si>
    <t>MONTE CASEROS - GRAN MENDOZA 2</t>
  </si>
  <si>
    <t>LOS REYUNOS - GRAN MENDOZA</t>
  </si>
  <si>
    <t>SI</t>
  </si>
  <si>
    <t>AUTOTRAFO 1</t>
  </si>
  <si>
    <t>220/132/13,2</t>
  </si>
  <si>
    <t>CAPIZ</t>
  </si>
  <si>
    <t>TRAFO 2</t>
  </si>
  <si>
    <t>132/66/13,2</t>
  </si>
  <si>
    <t>TRAFO 3</t>
  </si>
  <si>
    <t>LINEA ZAPATA</t>
  </si>
  <si>
    <t>LINEA SAN CARLOS</t>
  </si>
  <si>
    <t>CRUZ DE PIEDRA</t>
  </si>
  <si>
    <t>LINEA RODEO DEL MEDIO 2</t>
  </si>
  <si>
    <t>SAN JUAN</t>
  </si>
  <si>
    <t>ALIMENT. VILLA KRAUSE</t>
  </si>
  <si>
    <t>ANCHORIS</t>
  </si>
  <si>
    <t>LINEA ARGENTINA II</t>
  </si>
  <si>
    <t>ANCHORIS - TUNUYAN</t>
  </si>
  <si>
    <t>Res. SE 1/03</t>
  </si>
  <si>
    <t>TRAFO 1</t>
  </si>
  <si>
    <t>P - PROGRAMADA  ; F - FORZADA</t>
  </si>
  <si>
    <t>P - PROGRAMADA</t>
  </si>
  <si>
    <t>1.1.- Equipamiento propio - Incendio</t>
  </si>
  <si>
    <t>1.1.-</t>
  </si>
  <si>
    <t>Incendio</t>
  </si>
  <si>
    <t xml:space="preserve">TOTAL DE PENALIZACIONES 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</si>
  <si>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</si>
  <si>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</si>
  <si>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</si>
  <si>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</si>
  <si>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</si>
  <si>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</si>
  <si>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</si>
  <si>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</si>
  <si>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</si>
  <si>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Julio de 2014 </t>
  </si>
  <si>
    <t>Valores remuneratorios según el Convenio de Renovación. Nota ENRE Nº 113602</t>
  </si>
  <si>
    <t>ANEXO II al Memorandum D.T.E.E. N°     306   / 2015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</si>
</sst>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101" fillId="0" borderId="8" applyNumberFormat="0" applyFill="0" applyAlignment="0" applyProtection="0"/>
    <xf numFmtId="0" fontId="110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6" fontId="1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 applyAlignment="1" applyProtection="1">
      <alignment horizontal="centerContinuous"/>
      <protection/>
    </xf>
    <xf numFmtId="171" fontId="6" fillId="0" borderId="16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28" fillId="34" borderId="20" xfId="55" applyFont="1" applyFill="1" applyBorder="1" applyAlignment="1">
      <alignment horizontal="center" vertical="center" wrapText="1"/>
      <protection/>
    </xf>
    <xf numFmtId="0" fontId="29" fillId="35" borderId="20" xfId="55" applyFont="1" applyFill="1" applyBorder="1" applyAlignment="1">
      <alignment horizontal="center" vertical="center" wrapText="1"/>
      <protection/>
    </xf>
    <xf numFmtId="0" fontId="30" fillId="33" borderId="15" xfId="55" applyFont="1" applyFill="1" applyBorder="1" applyAlignment="1" applyProtection="1">
      <alignment horizontal="centerContinuous" vertical="center" wrapText="1"/>
      <protection/>
    </xf>
    <xf numFmtId="0" fontId="7" fillId="33" borderId="21" xfId="55" applyFont="1" applyFill="1" applyBorder="1" applyAlignment="1">
      <alignment horizontal="centerContinuous"/>
      <protection/>
    </xf>
    <xf numFmtId="0" fontId="30" fillId="33" borderId="16" xfId="55" applyFont="1" applyFill="1" applyBorder="1" applyAlignment="1">
      <alignment horizontal="centerContinuous" vertical="center"/>
      <protection/>
    </xf>
    <xf numFmtId="0" fontId="28" fillId="36" borderId="15" xfId="55" applyFont="1" applyFill="1" applyBorder="1" applyAlignment="1" applyProtection="1">
      <alignment horizontal="centerContinuous" vertical="center" wrapText="1"/>
      <protection/>
    </xf>
    <xf numFmtId="0" fontId="28" fillId="36" borderId="21" xfId="55" applyFont="1" applyFill="1" applyBorder="1" applyAlignment="1">
      <alignment horizontal="centerContinuous" vertical="center"/>
      <protection/>
    </xf>
    <xf numFmtId="0" fontId="28" fillId="36" borderId="16" xfId="55" applyFont="1" applyFill="1" applyBorder="1" applyAlignment="1">
      <alignment horizontal="centerContinuous" vertical="center"/>
      <protection/>
    </xf>
    <xf numFmtId="0" fontId="31" fillId="37" borderId="20" xfId="55" applyFont="1" applyFill="1" applyBorder="1" applyAlignment="1">
      <alignment horizontal="center" vertical="center" wrapText="1"/>
      <protection/>
    </xf>
    <xf numFmtId="0" fontId="32" fillId="38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22" xfId="55" applyFont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33" fillId="33" borderId="22" xfId="55" applyFont="1" applyFill="1" applyBorder="1" applyProtection="1">
      <alignment/>
      <protection locked="0"/>
    </xf>
    <xf numFmtId="0" fontId="6" fillId="0" borderId="22" xfId="55" applyFont="1" applyBorder="1" applyAlignment="1">
      <alignment horizontal="center"/>
      <protection/>
    </xf>
    <xf numFmtId="0" fontId="34" fillId="34" borderId="22" xfId="55" applyFont="1" applyFill="1" applyBorder="1" applyProtection="1">
      <alignment/>
      <protection locked="0"/>
    </xf>
    <xf numFmtId="0" fontId="35" fillId="35" borderId="22" xfId="55" applyFont="1" applyFill="1" applyBorder="1" applyProtection="1">
      <alignment/>
      <protection locked="0"/>
    </xf>
    <xf numFmtId="0" fontId="36" fillId="33" borderId="22" xfId="55" applyFont="1" applyFill="1" applyBorder="1" applyAlignment="1" applyProtection="1">
      <alignment horizontal="center"/>
      <protection locked="0"/>
    </xf>
    <xf numFmtId="0" fontId="36" fillId="33" borderId="22" xfId="55" applyFont="1" applyFill="1" applyBorder="1" applyProtection="1">
      <alignment/>
      <protection locked="0"/>
    </xf>
    <xf numFmtId="0" fontId="34" fillId="36" borderId="22" xfId="55" applyFont="1" applyFill="1" applyBorder="1" applyProtection="1">
      <alignment/>
      <protection locked="0"/>
    </xf>
    <xf numFmtId="0" fontId="37" fillId="37" borderId="22" xfId="55" applyFont="1" applyFill="1" applyBorder="1" applyProtection="1">
      <alignment/>
      <protection locked="0"/>
    </xf>
    <xf numFmtId="0" fontId="38" fillId="38" borderId="22" xfId="55" applyFont="1" applyFill="1" applyBorder="1" applyProtection="1">
      <alignment/>
      <protection locked="0"/>
    </xf>
    <xf numFmtId="0" fontId="39" fillId="0" borderId="22" xfId="55" applyFont="1" applyBorder="1" applyAlignment="1">
      <alignment horizontal="center"/>
      <protection/>
    </xf>
    <xf numFmtId="0" fontId="6" fillId="0" borderId="23" xfId="55" applyFont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33" fillId="33" borderId="23" xfId="55" applyFont="1" applyFill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3" xfId="55" applyFont="1" applyBorder="1" applyAlignment="1">
      <alignment horizontal="center"/>
      <protection/>
    </xf>
    <xf numFmtId="0" fontId="34" fillId="34" borderId="23" xfId="55" applyFont="1" applyFill="1" applyBorder="1" applyProtection="1">
      <alignment/>
      <protection locked="0"/>
    </xf>
    <xf numFmtId="0" fontId="35" fillId="35" borderId="23" xfId="55" applyFont="1" applyFill="1" applyBorder="1" applyProtection="1">
      <alignment/>
      <protection locked="0"/>
    </xf>
    <xf numFmtId="0" fontId="36" fillId="33" borderId="23" xfId="55" applyFont="1" applyFill="1" applyBorder="1" applyAlignment="1" applyProtection="1">
      <alignment horizontal="center"/>
      <protection locked="0"/>
    </xf>
    <xf numFmtId="0" fontId="36" fillId="33" borderId="23" xfId="55" applyFont="1" applyFill="1" applyBorder="1" applyProtection="1">
      <alignment/>
      <protection locked="0"/>
    </xf>
    <xf numFmtId="0" fontId="34" fillId="36" borderId="23" xfId="55" applyFont="1" applyFill="1" applyBorder="1" applyProtection="1">
      <alignment/>
      <protection locked="0"/>
    </xf>
    <xf numFmtId="0" fontId="37" fillId="37" borderId="23" xfId="55" applyFont="1" applyFill="1" applyBorder="1" applyProtection="1">
      <alignment/>
      <protection locked="0"/>
    </xf>
    <xf numFmtId="0" fontId="38" fillId="38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2" fontId="6" fillId="0" borderId="24" xfId="55" applyNumberFormat="1" applyFont="1" applyBorder="1" applyAlignment="1" applyProtection="1">
      <alignment horizontal="center"/>
      <protection locked="0"/>
    </xf>
    <xf numFmtId="172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2" fontId="6" fillId="0" borderId="23" xfId="55" applyNumberFormat="1" applyFont="1" applyBorder="1" applyAlignment="1" applyProtection="1">
      <alignment horizontal="center"/>
      <protection locked="0"/>
    </xf>
    <xf numFmtId="172" fontId="6" fillId="0" borderId="23" xfId="55" applyNumberFormat="1" applyFont="1" applyBorder="1" applyAlignment="1" applyProtection="1" quotePrefix="1">
      <alignment horizontal="center"/>
      <protection locked="0"/>
    </xf>
    <xf numFmtId="2" fontId="34" fillId="34" borderId="23" xfId="55" applyNumberFormat="1" applyFont="1" applyFill="1" applyBorder="1" applyAlignment="1" applyProtection="1">
      <alignment horizontal="center"/>
      <protection locked="0"/>
    </xf>
    <xf numFmtId="2" fontId="35" fillId="35" borderId="23" xfId="55" applyNumberFormat="1" applyFont="1" applyFill="1" applyBorder="1" applyAlignment="1" applyProtection="1">
      <alignment horizontal="center"/>
      <protection locked="0"/>
    </xf>
    <xf numFmtId="172" fontId="36" fillId="33" borderId="23" xfId="55" applyNumberFormat="1" applyFont="1" applyFill="1" applyBorder="1" applyAlignment="1" applyProtection="1" quotePrefix="1">
      <alignment horizontal="center"/>
      <protection locked="0"/>
    </xf>
    <xf numFmtId="4" fontId="36" fillId="33" borderId="23" xfId="55" applyNumberFormat="1" applyFont="1" applyFill="1" applyBorder="1" applyAlignment="1" applyProtection="1">
      <alignment horizontal="center"/>
      <protection locked="0"/>
    </xf>
    <xf numFmtId="172" fontId="34" fillId="36" borderId="23" xfId="55" applyNumberFormat="1" applyFont="1" applyFill="1" applyBorder="1" applyAlignment="1" applyProtection="1" quotePrefix="1">
      <alignment horizontal="center"/>
      <protection locked="0"/>
    </xf>
    <xf numFmtId="4" fontId="34" fillId="36" borderId="23" xfId="55" applyNumberFormat="1" applyFont="1" applyFill="1" applyBorder="1" applyAlignment="1" applyProtection="1">
      <alignment horizontal="center"/>
      <protection locked="0"/>
    </xf>
    <xf numFmtId="4" fontId="37" fillId="37" borderId="23" xfId="55" applyNumberFormat="1" applyFont="1" applyFill="1" applyBorder="1" applyAlignment="1" applyProtection="1">
      <alignment horizontal="center"/>
      <protection locked="0"/>
    </xf>
    <xf numFmtId="4" fontId="38" fillId="38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2" fontId="6" fillId="0" borderId="14" xfId="55" applyNumberFormat="1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/>
    </xf>
    <xf numFmtId="2" fontId="6" fillId="0" borderId="26" xfId="55" applyNumberFormat="1" applyFont="1" applyBorder="1" applyAlignment="1" applyProtection="1">
      <alignment horizontal="center"/>
      <protection/>
    </xf>
    <xf numFmtId="172" fontId="6" fillId="0" borderId="25" xfId="55" applyNumberFormat="1" applyFont="1" applyBorder="1" applyAlignment="1" applyProtection="1">
      <alignment horizontal="center"/>
      <protection/>
    </xf>
    <xf numFmtId="172" fontId="33" fillId="33" borderId="25" xfId="55" applyNumberFormat="1" applyFont="1" applyFill="1" applyBorder="1" applyAlignment="1" applyProtection="1">
      <alignment horizontal="center"/>
      <protection/>
    </xf>
    <xf numFmtId="22" fontId="6" fillId="0" borderId="25" xfId="55" applyNumberFormat="1" applyFont="1" applyBorder="1" applyAlignment="1">
      <alignment horizontal="center"/>
      <protection/>
    </xf>
    <xf numFmtId="172" fontId="34" fillId="34" borderId="25" xfId="55" applyNumberFormat="1" applyFont="1" applyFill="1" applyBorder="1" applyAlignment="1" applyProtection="1" quotePrefix="1">
      <alignment horizontal="center"/>
      <protection/>
    </xf>
    <xf numFmtId="172" fontId="35" fillId="35" borderId="25" xfId="55" applyNumberFormat="1" applyFont="1" applyFill="1" applyBorder="1" applyAlignment="1" applyProtection="1" quotePrefix="1">
      <alignment horizontal="center"/>
      <protection/>
    </xf>
    <xf numFmtId="172" fontId="36" fillId="33" borderId="25" xfId="55" applyNumberFormat="1" applyFont="1" applyFill="1" applyBorder="1" applyAlignment="1" applyProtection="1" quotePrefix="1">
      <alignment horizontal="center"/>
      <protection/>
    </xf>
    <xf numFmtId="4" fontId="36" fillId="33" borderId="25" xfId="55" applyNumberFormat="1" applyFont="1" applyFill="1" applyBorder="1" applyAlignment="1">
      <alignment horizontal="center"/>
      <protection/>
    </xf>
    <xf numFmtId="4" fontId="34" fillId="36" borderId="25" xfId="55" applyNumberFormat="1" applyFont="1" applyFill="1" applyBorder="1" applyAlignment="1">
      <alignment horizontal="center"/>
      <protection/>
    </xf>
    <xf numFmtId="4" fontId="37" fillId="37" borderId="25" xfId="55" applyNumberFormat="1" applyFont="1" applyFill="1" applyBorder="1" applyAlignment="1">
      <alignment horizontal="center"/>
      <protection/>
    </xf>
    <xf numFmtId="4" fontId="38" fillId="38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7" fontId="39" fillId="0" borderId="27" xfId="55" applyNumberFormat="1" applyFont="1" applyBorder="1" applyAlignment="1">
      <alignment horizontal="center"/>
      <protection/>
    </xf>
    <xf numFmtId="0" fontId="41" fillId="0" borderId="28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4" borderId="20" xfId="55" applyNumberFormat="1" applyFont="1" applyFill="1" applyBorder="1" applyAlignment="1">
      <alignment horizontal="center"/>
      <protection/>
    </xf>
    <xf numFmtId="2" fontId="35" fillId="35" borderId="20" xfId="55" applyNumberFormat="1" applyFont="1" applyFill="1" applyBorder="1" applyAlignment="1">
      <alignment horizontal="center"/>
      <protection/>
    </xf>
    <xf numFmtId="172" fontId="36" fillId="33" borderId="20" xfId="55" applyNumberFormat="1" applyFont="1" applyFill="1" applyBorder="1" applyAlignment="1" applyProtection="1" quotePrefix="1">
      <alignment horizontal="center"/>
      <protection/>
    </xf>
    <xf numFmtId="172" fontId="34" fillId="36" borderId="20" xfId="55" applyNumberFormat="1" applyFont="1" applyFill="1" applyBorder="1" applyAlignment="1" applyProtection="1" quotePrefix="1">
      <alignment horizontal="center"/>
      <protection/>
    </xf>
    <xf numFmtId="172" fontId="37" fillId="37" borderId="20" xfId="55" applyNumberFormat="1" applyFont="1" applyFill="1" applyBorder="1" applyAlignment="1" applyProtection="1" quotePrefix="1">
      <alignment horizontal="center"/>
      <protection/>
    </xf>
    <xf numFmtId="172" fontId="38" fillId="38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0" xfId="55" applyNumberFormat="1" applyFont="1" applyBorder="1" applyAlignment="1" applyProtection="1">
      <alignment horizontal="right"/>
      <protection locked="0"/>
    </xf>
    <xf numFmtId="2" fontId="6" fillId="0" borderId="14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3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4" xfId="55" applyNumberFormat="1" applyFont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0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4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4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28" xfId="55" applyFont="1" applyFill="1" applyBorder="1" applyAlignment="1" applyProtection="1">
      <alignment horizontal="center"/>
      <protection/>
    </xf>
    <xf numFmtId="0" fontId="1" fillId="0" borderId="28" xfId="55" applyFont="1" applyFill="1" applyBorder="1">
      <alignment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5" xfId="55" applyFont="1" applyFill="1" applyBorder="1" applyAlignment="1" applyProtection="1" quotePrefix="1">
      <alignment horizontal="left"/>
      <protection/>
    </xf>
    <xf numFmtId="0" fontId="1" fillId="0" borderId="21" xfId="55" applyFont="1" applyFill="1" applyBorder="1" applyAlignment="1" applyProtection="1">
      <alignment horizontal="center"/>
      <protection/>
    </xf>
    <xf numFmtId="168" fontId="1" fillId="0" borderId="20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 quotePrefix="1">
      <alignment horizontal="center" vertical="center" wrapText="1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32" fillId="38" borderId="20" xfId="55" applyFont="1" applyFill="1" applyBorder="1" applyAlignment="1" applyProtection="1">
      <alignment horizontal="center" vertical="center"/>
      <protection/>
    </xf>
    <xf numFmtId="0" fontId="28" fillId="36" borderId="20" xfId="55" applyFont="1" applyFill="1" applyBorder="1" applyAlignment="1">
      <alignment horizontal="center" vertical="center" wrapText="1"/>
      <protection/>
    </xf>
    <xf numFmtId="0" fontId="46" fillId="39" borderId="20" xfId="55" applyFont="1" applyFill="1" applyBorder="1" applyAlignment="1">
      <alignment horizontal="center" vertical="center" wrapText="1"/>
      <protection/>
    </xf>
    <xf numFmtId="0" fontId="46" fillId="40" borderId="15" xfId="55" applyFont="1" applyFill="1" applyBorder="1" applyAlignment="1" applyProtection="1">
      <alignment horizontal="centerContinuous" vertical="center" wrapText="1"/>
      <protection/>
    </xf>
    <xf numFmtId="0" fontId="46" fillId="40" borderId="16" xfId="55" applyFont="1" applyFill="1" applyBorder="1" applyAlignment="1">
      <alignment horizontal="centerContinuous" vertical="center"/>
      <protection/>
    </xf>
    <xf numFmtId="0" fontId="47" fillId="41" borderId="15" xfId="55" applyFont="1" applyFill="1" applyBorder="1" applyAlignment="1" applyProtection="1">
      <alignment horizontal="centerContinuous" vertical="center" wrapText="1"/>
      <protection/>
    </xf>
    <xf numFmtId="0" fontId="47" fillId="41" borderId="16" xfId="55" applyFont="1" applyFill="1" applyBorder="1" applyAlignment="1">
      <alignment horizontal="centerContinuous" vertical="center"/>
      <protection/>
    </xf>
    <xf numFmtId="0" fontId="31" fillId="42" borderId="20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Protection="1">
      <alignment/>
      <protection locked="0"/>
    </xf>
    <xf numFmtId="0" fontId="48" fillId="33" borderId="22" xfId="55" applyFont="1" applyFill="1" applyBorder="1" applyProtection="1">
      <alignment/>
      <protection locked="0"/>
    </xf>
    <xf numFmtId="0" fontId="6" fillId="0" borderId="22" xfId="55" applyFont="1" applyFill="1" applyBorder="1" applyAlignment="1">
      <alignment horizontal="center"/>
      <protection/>
    </xf>
    <xf numFmtId="0" fontId="49" fillId="39" borderId="22" xfId="55" applyFont="1" applyFill="1" applyBorder="1" applyProtection="1">
      <alignment/>
      <protection locked="0"/>
    </xf>
    <xf numFmtId="0" fontId="49" fillId="40" borderId="30" xfId="55" applyFont="1" applyFill="1" applyBorder="1" applyAlignment="1" applyProtection="1">
      <alignment horizontal="center"/>
      <protection locked="0"/>
    </xf>
    <xf numFmtId="0" fontId="49" fillId="40" borderId="31" xfId="55" applyFont="1" applyFill="1" applyBorder="1" applyProtection="1">
      <alignment/>
      <protection locked="0"/>
    </xf>
    <xf numFmtId="0" fontId="50" fillId="41" borderId="30" xfId="55" applyFont="1" applyFill="1" applyBorder="1" applyAlignment="1" applyProtection="1">
      <alignment horizontal="center"/>
      <protection locked="0"/>
    </xf>
    <xf numFmtId="0" fontId="50" fillId="41" borderId="31" xfId="55" applyFont="1" applyFill="1" applyBorder="1" applyProtection="1">
      <alignment/>
      <protection locked="0"/>
    </xf>
    <xf numFmtId="0" fontId="37" fillId="42" borderId="22" xfId="55" applyFont="1" applyFill="1" applyBorder="1" applyProtection="1">
      <alignment/>
      <protection locked="0"/>
    </xf>
    <xf numFmtId="0" fontId="49" fillId="43" borderId="22" xfId="55" applyFont="1" applyFill="1" applyBorder="1" applyProtection="1">
      <alignment/>
      <protection locked="0"/>
    </xf>
    <xf numFmtId="0" fontId="39" fillId="0" borderId="22" xfId="55" applyFont="1" applyFill="1" applyBorder="1" applyAlignment="1">
      <alignment horizontal="right"/>
      <protection/>
    </xf>
    <xf numFmtId="0" fontId="6" fillId="0" borderId="32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8" fillId="33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0" fontId="49" fillId="39" borderId="23" xfId="55" applyFont="1" applyFill="1" applyBorder="1" applyProtection="1">
      <alignment/>
      <protection locked="0"/>
    </xf>
    <xf numFmtId="0" fontId="49" fillId="40" borderId="33" xfId="55" applyFont="1" applyFill="1" applyBorder="1" applyAlignment="1" applyProtection="1">
      <alignment horizontal="center"/>
      <protection locked="0"/>
    </xf>
    <xf numFmtId="0" fontId="49" fillId="40" borderId="34" xfId="55" applyFont="1" applyFill="1" applyBorder="1" applyProtection="1">
      <alignment/>
      <protection locked="0"/>
    </xf>
    <xf numFmtId="0" fontId="50" fillId="41" borderId="33" xfId="55" applyFont="1" applyFill="1" applyBorder="1" applyAlignment="1" applyProtection="1">
      <alignment horizontal="center"/>
      <protection locked="0"/>
    </xf>
    <xf numFmtId="0" fontId="50" fillId="41" borderId="34" xfId="55" applyFont="1" applyFill="1" applyBorder="1" applyProtection="1">
      <alignment/>
      <protection locked="0"/>
    </xf>
    <xf numFmtId="0" fontId="37" fillId="42" borderId="23" xfId="55" applyFont="1" applyFill="1" applyBorder="1" applyProtection="1">
      <alignment/>
      <protection locked="0"/>
    </xf>
    <xf numFmtId="0" fontId="49" fillId="43" borderId="23" xfId="55" applyFont="1" applyFill="1" applyBorder="1" applyProtection="1">
      <alignment/>
      <protection locked="0"/>
    </xf>
    <xf numFmtId="0" fontId="39" fillId="0" borderId="34" xfId="55" applyFont="1" applyFill="1" applyBorder="1" applyAlignment="1">
      <alignment horizontal="right"/>
      <protection/>
    </xf>
    <xf numFmtId="169" fontId="6" fillId="0" borderId="24" xfId="55" applyNumberFormat="1" applyFont="1" applyBorder="1" applyAlignment="1" applyProtection="1" quotePrefix="1">
      <alignment horizontal="center"/>
      <protection locked="0"/>
    </xf>
    <xf numFmtId="2" fontId="6" fillId="0" borderId="24" xfId="55" applyNumberFormat="1" applyFont="1" applyBorder="1" applyAlignment="1" applyProtection="1" quotePrefix="1">
      <alignment horizontal="center"/>
      <protection locked="0"/>
    </xf>
    <xf numFmtId="172" fontId="48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23" xfId="55" applyNumberFormat="1" applyFont="1" applyFill="1" applyBorder="1" applyAlignment="1" applyProtection="1">
      <alignment horizontal="center"/>
      <protection/>
    </xf>
    <xf numFmtId="3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172" fontId="6" fillId="0" borderId="23" xfId="55" applyNumberFormat="1" applyFont="1" applyFill="1" applyBorder="1" applyAlignment="1" applyProtection="1" quotePrefix="1">
      <alignment horizontal="center"/>
      <protection locked="0"/>
    </xf>
    <xf numFmtId="2" fontId="34" fillId="36" borderId="23" xfId="55" applyNumberFormat="1" applyFont="1" applyFill="1" applyBorder="1" applyAlignment="1" applyProtection="1">
      <alignment horizontal="center"/>
      <protection locked="0"/>
    </xf>
    <xf numFmtId="2" fontId="49" fillId="39" borderId="23" xfId="55" applyNumberFormat="1" applyFont="1" applyFill="1" applyBorder="1" applyAlignment="1" applyProtection="1">
      <alignment horizontal="center"/>
      <protection locked="0"/>
    </xf>
    <xf numFmtId="172" fontId="49" fillId="40" borderId="33" xfId="55" applyNumberFormat="1" applyFont="1" applyFill="1" applyBorder="1" applyAlignment="1" applyProtection="1" quotePrefix="1">
      <alignment horizontal="center"/>
      <protection locked="0"/>
    </xf>
    <xf numFmtId="172" fontId="49" fillId="40" borderId="35" xfId="55" applyNumberFormat="1" applyFont="1" applyFill="1" applyBorder="1" applyAlignment="1" applyProtection="1" quotePrefix="1">
      <alignment horizontal="center"/>
      <protection locked="0"/>
    </xf>
    <xf numFmtId="172" fontId="50" fillId="41" borderId="33" xfId="55" applyNumberFormat="1" applyFont="1" applyFill="1" applyBorder="1" applyAlignment="1" applyProtection="1" quotePrefix="1">
      <alignment horizontal="center"/>
      <protection locked="0"/>
    </xf>
    <xf numFmtId="172" fontId="50" fillId="41" borderId="35" xfId="55" applyNumberFormat="1" applyFont="1" applyFill="1" applyBorder="1" applyAlignment="1" applyProtection="1" quotePrefix="1">
      <alignment horizontal="center"/>
      <protection locked="0"/>
    </xf>
    <xf numFmtId="172" fontId="37" fillId="42" borderId="23" xfId="55" applyNumberFormat="1" applyFont="1" applyFill="1" applyBorder="1" applyAlignment="1" applyProtection="1" quotePrefix="1">
      <alignment horizontal="center"/>
      <protection locked="0"/>
    </xf>
    <xf numFmtId="172" fontId="49" fillId="43" borderId="24" xfId="55" applyNumberFormat="1" applyFont="1" applyFill="1" applyBorder="1" applyAlignment="1" applyProtection="1" quotePrefix="1">
      <alignment horizontal="center"/>
      <protection locked="0"/>
    </xf>
    <xf numFmtId="172" fontId="39" fillId="0" borderId="34" xfId="55" applyNumberFormat="1" applyFont="1" applyFill="1" applyBorder="1" applyAlignment="1">
      <alignment horizontal="right"/>
      <protection/>
    </xf>
    <xf numFmtId="2" fontId="6" fillId="0" borderId="14" xfId="55" applyNumberFormat="1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48" fillId="33" borderId="25" xfId="55" applyFont="1" applyFill="1" applyBorder="1">
      <alignment/>
      <protection/>
    </xf>
    <xf numFmtId="0" fontId="38" fillId="38" borderId="25" xfId="55" applyFont="1" applyFill="1" applyBorder="1">
      <alignment/>
      <protection/>
    </xf>
    <xf numFmtId="0" fontId="34" fillId="36" borderId="25" xfId="55" applyFont="1" applyFill="1" applyBorder="1">
      <alignment/>
      <protection/>
    </xf>
    <xf numFmtId="0" fontId="49" fillId="39" borderId="25" xfId="55" applyFont="1" applyFill="1" applyBorder="1">
      <alignment/>
      <protection/>
    </xf>
    <xf numFmtId="0" fontId="49" fillId="40" borderId="36" xfId="55" applyFont="1" applyFill="1" applyBorder="1">
      <alignment/>
      <protection/>
    </xf>
    <xf numFmtId="0" fontId="49" fillId="40" borderId="37" xfId="55" applyFont="1" applyFill="1" applyBorder="1">
      <alignment/>
      <protection/>
    </xf>
    <xf numFmtId="0" fontId="50" fillId="41" borderId="36" xfId="55" applyFont="1" applyFill="1" applyBorder="1">
      <alignment/>
      <protection/>
    </xf>
    <xf numFmtId="0" fontId="50" fillId="41" borderId="37" xfId="55" applyFont="1" applyFill="1" applyBorder="1">
      <alignment/>
      <protection/>
    </xf>
    <xf numFmtId="0" fontId="37" fillId="42" borderId="25" xfId="55" applyFont="1" applyFill="1" applyBorder="1">
      <alignment/>
      <protection/>
    </xf>
    <xf numFmtId="0" fontId="49" fillId="43" borderId="25" xfId="55" applyFont="1" applyFill="1" applyBorder="1">
      <alignment/>
      <protection/>
    </xf>
    <xf numFmtId="0" fontId="39" fillId="0" borderId="27" xfId="55" applyFont="1" applyFill="1" applyBorder="1" applyAlignment="1">
      <alignment horizontal="right"/>
      <protection/>
    </xf>
    <xf numFmtId="7" fontId="34" fillId="36" borderId="20" xfId="55" applyNumberFormat="1" applyFont="1" applyFill="1" applyBorder="1" applyAlignment="1">
      <alignment horizontal="center"/>
      <protection/>
    </xf>
    <xf numFmtId="7" fontId="49" fillId="39" borderId="20" xfId="55" applyNumberFormat="1" applyFont="1" applyFill="1" applyBorder="1" applyAlignment="1">
      <alignment horizontal="center"/>
      <protection/>
    </xf>
    <xf numFmtId="7" fontId="49" fillId="40" borderId="20" xfId="55" applyNumberFormat="1" applyFont="1" applyFill="1" applyBorder="1" applyAlignment="1">
      <alignment horizontal="center"/>
      <protection/>
    </xf>
    <xf numFmtId="7" fontId="49" fillId="40" borderId="38" xfId="55" applyNumberFormat="1" applyFont="1" applyFill="1" applyBorder="1" applyAlignment="1">
      <alignment horizontal="center"/>
      <protection/>
    </xf>
    <xf numFmtId="7" fontId="50" fillId="41" borderId="20" xfId="55" applyNumberFormat="1" applyFont="1" applyFill="1" applyBorder="1" applyAlignment="1">
      <alignment horizontal="center"/>
      <protection/>
    </xf>
    <xf numFmtId="7" fontId="37" fillId="42" borderId="20" xfId="55" applyNumberFormat="1" applyFont="1" applyFill="1" applyBorder="1" applyAlignment="1">
      <alignment horizontal="center"/>
      <protection/>
    </xf>
    <xf numFmtId="7" fontId="49" fillId="43" borderId="20" xfId="55" applyNumberFormat="1" applyFont="1" applyFill="1" applyBorder="1" applyAlignment="1">
      <alignment horizontal="center"/>
      <protection/>
    </xf>
    <xf numFmtId="0" fontId="6" fillId="0" borderId="39" xfId="55" applyFont="1" applyFill="1" applyBorder="1">
      <alignment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0" fontId="41" fillId="0" borderId="13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7" fontId="41" fillId="0" borderId="0" xfId="55" applyNumberFormat="1" applyFont="1" applyFill="1" applyBorder="1" applyAlignment="1" applyProtection="1">
      <alignment horizontal="right"/>
      <protection locked="0"/>
    </xf>
    <xf numFmtId="0" fontId="41" fillId="0" borderId="14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51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8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52" fillId="0" borderId="38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25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 applyProtection="1">
      <alignment horizontal="center" vertical="center"/>
      <protection/>
    </xf>
    <xf numFmtId="0" fontId="53" fillId="42" borderId="20" xfId="55" applyFont="1" applyFill="1" applyBorder="1" applyAlignment="1">
      <alignment horizontal="center" vertical="center" wrapText="1"/>
      <protection/>
    </xf>
    <xf numFmtId="0" fontId="46" fillId="41" borderId="15" xfId="55" applyFont="1" applyFill="1" applyBorder="1" applyAlignment="1" applyProtection="1">
      <alignment horizontal="centerContinuous" vertical="center" wrapText="1"/>
      <protection/>
    </xf>
    <xf numFmtId="0" fontId="46" fillId="41" borderId="16" xfId="55" applyFont="1" applyFill="1" applyBorder="1" applyAlignment="1">
      <alignment horizontal="centerContinuous" vertical="center"/>
      <protection/>
    </xf>
    <xf numFmtId="0" fontId="28" fillId="44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3" fillId="33" borderId="22" xfId="55" applyFont="1" applyFill="1" applyBorder="1" applyAlignment="1" applyProtection="1">
      <alignment horizontal="center"/>
      <protection locked="0"/>
    </xf>
    <xf numFmtId="0" fontId="6" fillId="0" borderId="34" xfId="55" applyFont="1" applyFill="1" applyBorder="1" applyAlignment="1" applyProtection="1">
      <alignment horizontal="center"/>
      <protection locked="0"/>
    </xf>
    <xf numFmtId="0" fontId="54" fillId="43" borderId="22" xfId="55" applyFont="1" applyFill="1" applyBorder="1" applyAlignment="1" applyProtection="1">
      <alignment horizontal="center"/>
      <protection locked="0"/>
    </xf>
    <xf numFmtId="0" fontId="55" fillId="42" borderId="22" xfId="55" applyFont="1" applyFill="1" applyBorder="1" applyAlignment="1" applyProtection="1">
      <alignment horizontal="center"/>
      <protection locked="0"/>
    </xf>
    <xf numFmtId="172" fontId="49" fillId="41" borderId="30" xfId="55" applyNumberFormat="1" applyFont="1" applyFill="1" applyBorder="1" applyAlignment="1" applyProtection="1" quotePrefix="1">
      <alignment horizontal="center"/>
      <protection locked="0"/>
    </xf>
    <xf numFmtId="172" fontId="49" fillId="41" borderId="40" xfId="55" applyNumberFormat="1" applyFont="1" applyFill="1" applyBorder="1" applyAlignment="1" applyProtection="1" quotePrefix="1">
      <alignment horizontal="center"/>
      <protection locked="0"/>
    </xf>
    <xf numFmtId="172" fontId="34" fillId="44" borderId="22" xfId="55" applyNumberFormat="1" applyFont="1" applyFill="1" applyBorder="1" applyAlignment="1" applyProtection="1" quotePrefix="1">
      <alignment horizontal="center"/>
      <protection locked="0"/>
    </xf>
    <xf numFmtId="0" fontId="6" fillId="0" borderId="32" xfId="55" applyFont="1" applyFill="1" applyBorder="1" applyAlignment="1" applyProtection="1">
      <alignment horizontal="left"/>
      <protection locked="0"/>
    </xf>
    <xf numFmtId="0" fontId="39" fillId="0" borderId="23" xfId="55" applyFont="1" applyFill="1" applyBorder="1" applyAlignment="1">
      <alignment horizontal="center"/>
      <protection/>
    </xf>
    <xf numFmtId="0" fontId="56" fillId="0" borderId="32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2" fontId="6" fillId="0" borderId="35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54" fillId="43" borderId="23" xfId="55" applyNumberFormat="1" applyFont="1" applyFill="1" applyBorder="1" applyAlignment="1" applyProtection="1">
      <alignment horizontal="center"/>
      <protection locked="0"/>
    </xf>
    <xf numFmtId="2" fontId="55" fillId="42" borderId="23" xfId="55" applyNumberFormat="1" applyFont="1" applyFill="1" applyBorder="1" applyAlignment="1" applyProtection="1">
      <alignment horizontal="center"/>
      <protection locked="0"/>
    </xf>
    <xf numFmtId="172" fontId="49" fillId="41" borderId="33" xfId="55" applyNumberFormat="1" applyFont="1" applyFill="1" applyBorder="1" applyAlignment="1" applyProtection="1" quotePrefix="1">
      <alignment horizontal="center"/>
      <protection locked="0"/>
    </xf>
    <xf numFmtId="172" fontId="49" fillId="41" borderId="35" xfId="55" applyNumberFormat="1" applyFont="1" applyFill="1" applyBorder="1" applyAlignment="1" applyProtection="1" quotePrefix="1">
      <alignment horizontal="center"/>
      <protection locked="0"/>
    </xf>
    <xf numFmtId="172" fontId="34" fillId="44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32" xfId="55" applyNumberFormat="1" applyFont="1" applyFill="1" applyBorder="1" applyAlignment="1" applyProtection="1">
      <alignment horizontal="center"/>
      <protection locked="0"/>
    </xf>
    <xf numFmtId="172" fontId="39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9" fillId="0" borderId="23" xfId="55" applyNumberFormat="1" applyFont="1" applyFill="1" applyBorder="1" applyAlignment="1">
      <alignment horizontal="right"/>
      <protection/>
    </xf>
    <xf numFmtId="0" fontId="33" fillId="33" borderId="25" xfId="55" applyFont="1" applyFill="1" applyBorder="1">
      <alignment/>
      <protection/>
    </xf>
    <xf numFmtId="0" fontId="54" fillId="43" borderId="25" xfId="55" applyFont="1" applyFill="1" applyBorder="1">
      <alignment/>
      <protection/>
    </xf>
    <xf numFmtId="0" fontId="55" fillId="42" borderId="25" xfId="55" applyFont="1" applyFill="1" applyBorder="1">
      <alignment/>
      <protection/>
    </xf>
    <xf numFmtId="0" fontId="49" fillId="41" borderId="36" xfId="55" applyFont="1" applyFill="1" applyBorder="1">
      <alignment/>
      <protection/>
    </xf>
    <xf numFmtId="0" fontId="49" fillId="41" borderId="37" xfId="55" applyFont="1" applyFill="1" applyBorder="1">
      <alignment/>
      <protection/>
    </xf>
    <xf numFmtId="0" fontId="34" fillId="44" borderId="25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2" fontId="55" fillId="42" borderId="20" xfId="55" applyNumberFormat="1" applyFont="1" applyFill="1" applyBorder="1" applyAlignment="1">
      <alignment horizontal="center"/>
      <protection/>
    </xf>
    <xf numFmtId="2" fontId="49" fillId="41" borderId="20" xfId="55" applyNumberFormat="1" applyFont="1" applyFill="1" applyBorder="1" applyAlignment="1">
      <alignment horizontal="center"/>
      <protection/>
    </xf>
    <xf numFmtId="2" fontId="34" fillId="44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7" fillId="0" borderId="0" xfId="55" applyFont="1" applyAlignment="1">
      <alignment horizontal="right" vertical="top"/>
      <protection/>
    </xf>
    <xf numFmtId="0" fontId="57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6" fillId="0" borderId="32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5" applyNumberFormat="1" applyFont="1" applyBorder="1" applyAlignment="1">
      <alignment horizontal="center"/>
      <protection/>
    </xf>
    <xf numFmtId="0" fontId="54" fillId="0" borderId="0" xfId="55" applyFont="1" applyBorder="1">
      <alignment/>
      <protection/>
    </xf>
    <xf numFmtId="0" fontId="54" fillId="0" borderId="0" xfId="55" applyFont="1" applyFill="1" applyBorder="1">
      <alignment/>
      <protection/>
    </xf>
    <xf numFmtId="169" fontId="6" fillId="0" borderId="24" xfId="55" applyNumberFormat="1" applyFont="1" applyBorder="1" applyAlignment="1" applyProtection="1">
      <alignment horizontal="center"/>
      <protection locked="0"/>
    </xf>
    <xf numFmtId="0" fontId="63" fillId="0" borderId="0" xfId="55" applyFont="1" applyBorder="1" applyAlignment="1">
      <alignment horizontal="left"/>
      <protection/>
    </xf>
    <xf numFmtId="0" fontId="6" fillId="0" borderId="24" xfId="55" applyFont="1" applyFill="1" applyBorder="1" applyAlignment="1" applyProtection="1">
      <alignment horizontal="center"/>
      <protection locked="0"/>
    </xf>
    <xf numFmtId="2" fontId="6" fillId="0" borderId="24" xfId="55" applyNumberFormat="1" applyFont="1" applyFill="1" applyBorder="1" applyAlignment="1" applyProtection="1">
      <alignment horizontal="center"/>
      <protection locked="0"/>
    </xf>
    <xf numFmtId="172" fontId="33" fillId="0" borderId="23" xfId="55" applyNumberFormat="1" applyFont="1" applyFill="1" applyBorder="1" applyAlignment="1" applyProtection="1">
      <alignment horizontal="center"/>
      <protection locked="0"/>
    </xf>
    <xf numFmtId="1" fontId="6" fillId="0" borderId="23" xfId="55" applyNumberFormat="1" applyFont="1" applyFill="1" applyBorder="1" applyAlignment="1" applyProtection="1">
      <alignment horizontal="center"/>
      <protection/>
    </xf>
    <xf numFmtId="2" fontId="34" fillId="0" borderId="23" xfId="55" applyNumberFormat="1" applyFont="1" applyFill="1" applyBorder="1" applyAlignment="1" applyProtection="1">
      <alignment horizontal="center"/>
      <protection locked="0"/>
    </xf>
    <xf numFmtId="2" fontId="35" fillId="0" borderId="23" xfId="55" applyNumberFormat="1" applyFont="1" applyFill="1" applyBorder="1" applyAlignment="1" applyProtection="1">
      <alignment horizontal="center"/>
      <protection locked="0"/>
    </xf>
    <xf numFmtId="172" fontId="36" fillId="0" borderId="23" xfId="55" applyNumberFormat="1" applyFont="1" applyFill="1" applyBorder="1" applyAlignment="1" applyProtection="1" quotePrefix="1">
      <alignment horizontal="center"/>
      <protection locked="0"/>
    </xf>
    <xf numFmtId="4" fontId="36" fillId="0" borderId="23" xfId="55" applyNumberFormat="1" applyFont="1" applyFill="1" applyBorder="1" applyAlignment="1" applyProtection="1">
      <alignment horizontal="center"/>
      <protection locked="0"/>
    </xf>
    <xf numFmtId="172" fontId="34" fillId="0" borderId="23" xfId="55" applyNumberFormat="1" applyFont="1" applyFill="1" applyBorder="1" applyAlignment="1" applyProtection="1" quotePrefix="1">
      <alignment horizontal="center"/>
      <protection locked="0"/>
    </xf>
    <xf numFmtId="4" fontId="34" fillId="0" borderId="23" xfId="55" applyNumberFormat="1" applyFont="1" applyFill="1" applyBorder="1" applyAlignment="1" applyProtection="1">
      <alignment horizontal="center"/>
      <protection locked="0"/>
    </xf>
    <xf numFmtId="4" fontId="37" fillId="0" borderId="23" xfId="55" applyNumberFormat="1" applyFont="1" applyFill="1" applyBorder="1" applyAlignment="1" applyProtection="1">
      <alignment horizontal="center"/>
      <protection locked="0"/>
    </xf>
    <xf numFmtId="4" fontId="38" fillId="0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Fill="1" applyBorder="1" applyAlignment="1" applyProtection="1">
      <alignment horizontal="center"/>
      <protection locked="0"/>
    </xf>
    <xf numFmtId="4" fontId="39" fillId="0" borderId="23" xfId="55" applyNumberFormat="1" applyFont="1" applyFill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1" fillId="0" borderId="0" xfId="56">
      <alignment/>
      <protection/>
    </xf>
    <xf numFmtId="0" fontId="57" fillId="0" borderId="0" xfId="56" applyFont="1" applyAlignment="1">
      <alignment horizontal="right" vertical="top"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60" fillId="0" borderId="0" xfId="56" applyFont="1" applyAlignment="1">
      <alignment horizontal="centerContinuous" vertical="center"/>
      <protection/>
    </xf>
    <xf numFmtId="0" fontId="60" fillId="0" borderId="0" xfId="56" applyFont="1">
      <alignment/>
      <protection/>
    </xf>
    <xf numFmtId="0" fontId="66" fillId="0" borderId="0" xfId="56" applyFont="1" applyBorder="1" applyAlignment="1">
      <alignment horizontal="centerContinuous"/>
      <protection/>
    </xf>
    <xf numFmtId="0" fontId="67" fillId="0" borderId="0" xfId="56" applyFont="1" applyBorder="1" applyAlignment="1" applyProtection="1">
      <alignment horizontal="left"/>
      <protection/>
    </xf>
    <xf numFmtId="0" fontId="68" fillId="0" borderId="0" xfId="56" applyFont="1" applyBorder="1" applyAlignment="1">
      <alignment horizontal="centerContinuous"/>
      <protection/>
    </xf>
    <xf numFmtId="0" fontId="69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69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70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70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43" xfId="56" applyBorder="1">
      <alignment/>
      <protection/>
    </xf>
    <xf numFmtId="0" fontId="70" fillId="0" borderId="0" xfId="56" applyFont="1" applyBorder="1" applyAlignment="1" applyProtection="1">
      <alignment horizontal="center"/>
      <protection/>
    </xf>
    <xf numFmtId="0" fontId="70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71" fillId="0" borderId="0" xfId="56" applyFont="1" applyAlignment="1">
      <alignment horizontal="centerContinuous" vertical="center"/>
      <protection/>
    </xf>
    <xf numFmtId="0" fontId="71" fillId="0" borderId="13" xfId="56" applyFont="1" applyBorder="1" applyAlignment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 wrapText="1"/>
      <protection/>
    </xf>
    <xf numFmtId="172" fontId="71" fillId="46" borderId="20" xfId="56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6" applyNumberFormat="1" applyFont="1" applyFill="1" applyBorder="1" applyAlignment="1">
      <alignment horizontal="center" vertical="center"/>
      <protection/>
    </xf>
    <xf numFmtId="0" fontId="71" fillId="0" borderId="14" xfId="56" applyFont="1" applyBorder="1" applyAlignment="1">
      <alignment vertical="center"/>
      <protection/>
    </xf>
    <xf numFmtId="0" fontId="71" fillId="0" borderId="0" xfId="56" applyFont="1" applyAlignment="1">
      <alignment vertical="center"/>
      <protection/>
    </xf>
    <xf numFmtId="0" fontId="71" fillId="0" borderId="13" xfId="56" applyFont="1" applyBorder="1" applyAlignment="1">
      <alignment vertical="center"/>
      <protection/>
    </xf>
    <xf numFmtId="0" fontId="71" fillId="0" borderId="32" xfId="56" applyFont="1" applyBorder="1" applyAlignment="1">
      <alignment vertical="center"/>
      <protection/>
    </xf>
    <xf numFmtId="0" fontId="71" fillId="0" borderId="45" xfId="56" applyFont="1" applyBorder="1" applyAlignment="1">
      <alignment vertical="center"/>
      <protection/>
    </xf>
    <xf numFmtId="0" fontId="71" fillId="0" borderId="27" xfId="56" applyFont="1" applyBorder="1" applyAlignment="1">
      <alignment vertical="center"/>
      <protection/>
    </xf>
    <xf numFmtId="0" fontId="71" fillId="0" borderId="46" xfId="56" applyFont="1" applyBorder="1" applyAlignment="1">
      <alignment vertical="center"/>
      <protection/>
    </xf>
    <xf numFmtId="0" fontId="71" fillId="47" borderId="32" xfId="56" applyFont="1" applyFill="1" applyBorder="1" applyAlignment="1">
      <alignment horizontal="center" vertical="center"/>
      <protection/>
    </xf>
    <xf numFmtId="0" fontId="71" fillId="47" borderId="47" xfId="56" applyFont="1" applyFill="1" applyBorder="1" applyAlignment="1" applyProtection="1">
      <alignment horizontal="center" vertical="center"/>
      <protection/>
    </xf>
    <xf numFmtId="2" fontId="71" fillId="47" borderId="24" xfId="56" applyNumberFormat="1" applyFont="1" applyFill="1" applyBorder="1" applyAlignment="1" applyProtection="1">
      <alignment horizontal="center" vertical="center"/>
      <protection/>
    </xf>
    <xf numFmtId="0" fontId="71" fillId="48" borderId="32" xfId="56" applyFont="1" applyFill="1" applyBorder="1" applyAlignment="1">
      <alignment horizontal="center" vertical="center"/>
      <protection/>
    </xf>
    <xf numFmtId="0" fontId="71" fillId="48" borderId="47" xfId="56" applyFont="1" applyFill="1" applyBorder="1" applyAlignment="1" applyProtection="1">
      <alignment horizontal="center" vertical="center"/>
      <protection/>
    </xf>
    <xf numFmtId="2" fontId="71" fillId="48" borderId="24" xfId="56" applyNumberFormat="1" applyFont="1" applyFill="1" applyBorder="1" applyAlignment="1" applyProtection="1">
      <alignment horizontal="center" vertical="center"/>
      <protection/>
    </xf>
    <xf numFmtId="0" fontId="71" fillId="48" borderId="24" xfId="56" applyFont="1" applyFill="1" applyBorder="1" applyAlignment="1">
      <alignment horizontal="center" vertical="center"/>
      <protection/>
    </xf>
    <xf numFmtId="0" fontId="71" fillId="48" borderId="48" xfId="56" applyFont="1" applyFill="1" applyBorder="1" applyAlignment="1" applyProtection="1">
      <alignment horizontal="center" vertical="center"/>
      <protection/>
    </xf>
    <xf numFmtId="2" fontId="71" fillId="48" borderId="49" xfId="56" applyNumberFormat="1" applyFont="1" applyFill="1" applyBorder="1" applyAlignment="1" applyProtection="1">
      <alignment horizontal="center" vertical="center"/>
      <protection/>
    </xf>
    <xf numFmtId="0" fontId="71" fillId="0" borderId="50" xfId="56" applyFont="1" applyBorder="1" applyAlignment="1">
      <alignment horizontal="center" vertical="center"/>
      <protection/>
    </xf>
    <xf numFmtId="0" fontId="71" fillId="0" borderId="51" xfId="56" applyFont="1" applyBorder="1" applyAlignment="1" applyProtection="1">
      <alignment horizontal="left" vertical="center"/>
      <protection/>
    </xf>
    <xf numFmtId="0" fontId="71" fillId="0" borderId="51" xfId="56" applyFont="1" applyBorder="1" applyAlignment="1" applyProtection="1">
      <alignment horizontal="center" vertical="center"/>
      <protection/>
    </xf>
    <xf numFmtId="2" fontId="71" fillId="0" borderId="26" xfId="56" applyNumberFormat="1" applyFont="1" applyBorder="1" applyAlignment="1" applyProtection="1">
      <alignment horizontal="center" vertical="center"/>
      <protection/>
    </xf>
    <xf numFmtId="0" fontId="71" fillId="0" borderId="0" xfId="56" applyFont="1" applyBorder="1" applyAlignment="1">
      <alignment horizontal="center" vertical="center"/>
      <protection/>
    </xf>
    <xf numFmtId="0" fontId="71" fillId="0" borderId="0" xfId="56" applyFont="1" applyBorder="1" applyAlignment="1" applyProtection="1">
      <alignment horizontal="left" vertical="center"/>
      <protection/>
    </xf>
    <xf numFmtId="0" fontId="72" fillId="0" borderId="28" xfId="56" applyFont="1" applyBorder="1" applyAlignment="1" applyProtection="1">
      <alignment horizontal="right" vertical="center"/>
      <protection/>
    </xf>
    <xf numFmtId="172" fontId="72" fillId="0" borderId="26" xfId="56" applyNumberFormat="1" applyFont="1" applyBorder="1" applyAlignment="1" applyProtection="1">
      <alignment horizontal="center" vertical="center"/>
      <protection/>
    </xf>
    <xf numFmtId="1" fontId="71" fillId="0" borderId="20" xfId="56" applyNumberFormat="1" applyFont="1" applyFill="1" applyBorder="1" applyAlignment="1">
      <alignment horizontal="center" vertical="center"/>
      <protection/>
    </xf>
    <xf numFmtId="1" fontId="71" fillId="0" borderId="20" xfId="56" applyNumberFormat="1" applyFont="1" applyBorder="1" applyAlignment="1">
      <alignment horizontal="center" vertical="center"/>
      <protection/>
    </xf>
    <xf numFmtId="0" fontId="71" fillId="0" borderId="0" xfId="56" applyFont="1" applyBorder="1" applyAlignment="1">
      <alignment vertical="center"/>
      <protection/>
    </xf>
    <xf numFmtId="0" fontId="71" fillId="0" borderId="0" xfId="56" applyFont="1" applyBorder="1" applyAlignment="1" applyProtection="1">
      <alignment horizontal="center" vertical="center"/>
      <protection/>
    </xf>
    <xf numFmtId="0" fontId="72" fillId="0" borderId="0" xfId="56" applyFont="1" applyAlignment="1">
      <alignment horizontal="right" vertical="center"/>
      <protection/>
    </xf>
    <xf numFmtId="1" fontId="71" fillId="0" borderId="20" xfId="56" applyNumberFormat="1" applyFont="1" applyBorder="1" applyAlignment="1" applyProtection="1">
      <alignment horizontal="center" vertical="center"/>
      <protection/>
    </xf>
    <xf numFmtId="17" fontId="72" fillId="0" borderId="0" xfId="56" applyNumberFormat="1" applyFont="1" applyBorder="1" applyAlignment="1">
      <alignment horizontal="right" vertical="center"/>
      <protection/>
    </xf>
    <xf numFmtId="2" fontId="72" fillId="49" borderId="26" xfId="57" applyNumberFormat="1" applyFont="1" applyFill="1" applyBorder="1" applyAlignment="1">
      <alignment horizontal="center" vertical="center"/>
      <protection/>
    </xf>
    <xf numFmtId="2" fontId="72" fillId="50" borderId="52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73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74" fillId="0" borderId="21" xfId="56" applyFont="1" applyBorder="1" applyAlignment="1">
      <alignment horizontal="center"/>
      <protection/>
    </xf>
    <xf numFmtId="2" fontId="75" fillId="0" borderId="21" xfId="56" applyNumberFormat="1" applyFont="1" applyBorder="1" applyAlignment="1">
      <alignment horizontal="center"/>
      <protection/>
    </xf>
    <xf numFmtId="0" fontId="76" fillId="0" borderId="21" xfId="56" applyFont="1" applyBorder="1">
      <alignment/>
      <protection/>
    </xf>
    <xf numFmtId="0" fontId="1" fillId="0" borderId="21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73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1009650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981075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  <cell r="HZ15">
            <v>41791</v>
          </cell>
          <cell r="IA15">
            <v>41821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  <cell r="HY32" t="str">
            <v>XXXX</v>
          </cell>
          <cell r="HZ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W37">
            <v>1</v>
          </cell>
        </row>
        <row r="42"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  <cell r="HY42">
            <v>1.2</v>
          </cell>
          <cell r="HZ42">
            <v>1.04</v>
          </cell>
          <cell r="IA42">
            <v>0.96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3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173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21" t="s">
        <v>3</v>
      </c>
      <c r="B4" s="52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21" t="s">
        <v>4</v>
      </c>
      <c r="B5" s="5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161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'LI-07 (1)'!AA40</f>
        <v>20284.05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s="17" customFormat="1" ht="19.5">
      <c r="B19" s="36"/>
      <c r="C19" s="41" t="s">
        <v>159</v>
      </c>
      <c r="D19" s="42" t="s">
        <v>160</v>
      </c>
      <c r="E19" s="22"/>
      <c r="F19" s="38"/>
      <c r="G19" s="38"/>
      <c r="H19" s="38"/>
      <c r="I19" s="43">
        <f>Incendio!AA36</f>
        <v>44493.56</v>
      </c>
      <c r="J19" s="39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3.5">
      <c r="B20" s="44"/>
      <c r="C20" s="45"/>
      <c r="D20" s="46"/>
      <c r="E20" s="12"/>
      <c r="F20" s="47"/>
      <c r="G20" s="47"/>
      <c r="H20" s="47"/>
      <c r="I20" s="48"/>
      <c r="J20" s="49"/>
      <c r="K20" s="12"/>
      <c r="L20" s="12"/>
      <c r="M20" s="12"/>
      <c r="N20" s="12"/>
      <c r="O20" s="12"/>
      <c r="P20" s="12"/>
      <c r="Q20" s="12"/>
      <c r="R20" s="12"/>
      <c r="S20" s="12"/>
    </row>
    <row r="21" spans="2:19" s="17" customFormat="1" ht="19.5">
      <c r="B21" s="36"/>
      <c r="C21" s="41" t="s">
        <v>7</v>
      </c>
      <c r="D21" s="42" t="s">
        <v>8</v>
      </c>
      <c r="E21" s="22"/>
      <c r="F21" s="38"/>
      <c r="G21" s="38"/>
      <c r="H21" s="38"/>
      <c r="I21" s="43"/>
      <c r="J21" s="39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3.5">
      <c r="B22" s="44"/>
      <c r="C22" s="45"/>
      <c r="D22" s="45"/>
      <c r="E22" s="12"/>
      <c r="F22" s="47"/>
      <c r="G22" s="47"/>
      <c r="H22" s="47"/>
      <c r="I22" s="50"/>
      <c r="J22" s="49"/>
      <c r="K22" s="12"/>
      <c r="L22" s="12"/>
      <c r="M22" s="12"/>
      <c r="N22" s="12"/>
      <c r="O22" s="12"/>
      <c r="P22" s="12"/>
      <c r="Q22" s="12"/>
      <c r="R22" s="12"/>
      <c r="S22" s="12"/>
    </row>
    <row r="23" spans="2:19" s="17" customFormat="1" ht="19.5">
      <c r="B23" s="36"/>
      <c r="C23" s="41"/>
      <c r="D23" s="41" t="s">
        <v>9</v>
      </c>
      <c r="E23" s="51" t="s">
        <v>10</v>
      </c>
      <c r="F23" s="38"/>
      <c r="G23" s="38"/>
      <c r="H23" s="38"/>
      <c r="I23" s="43">
        <f>'T-07 (1)'!AC43</f>
        <v>1240.42</v>
      </c>
      <c r="J23" s="39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3.5">
      <c r="B24" s="44"/>
      <c r="C24" s="45"/>
      <c r="D24" s="45"/>
      <c r="E24" s="12"/>
      <c r="F24" s="47"/>
      <c r="G24" s="47"/>
      <c r="H24" s="47"/>
      <c r="I24" s="50"/>
      <c r="J24" s="49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7" customFormat="1" ht="19.5">
      <c r="B25" s="36"/>
      <c r="C25" s="41"/>
      <c r="D25" s="41" t="s">
        <v>11</v>
      </c>
      <c r="E25" s="51" t="s">
        <v>12</v>
      </c>
      <c r="F25" s="38"/>
      <c r="G25" s="38"/>
      <c r="H25" s="38"/>
      <c r="I25" s="43">
        <f>'SA-07 (1)'!V43</f>
        <v>2557.59</v>
      </c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51"/>
      <c r="F26" s="38"/>
      <c r="G26" s="38"/>
      <c r="H26" s="38"/>
      <c r="I26" s="43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19.5">
      <c r="B27" s="36"/>
      <c r="C27" s="37"/>
      <c r="D27" s="37"/>
      <c r="E27" s="22"/>
      <c r="F27" s="38"/>
      <c r="G27" s="38"/>
      <c r="H27" s="38"/>
      <c r="I27" s="5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>
      <c r="B28" s="36"/>
      <c r="C28" s="37"/>
      <c r="D28" s="37"/>
      <c r="E28" s="22"/>
      <c r="F28" s="38"/>
      <c r="G28" s="38"/>
      <c r="H28" s="38"/>
      <c r="I28" s="22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20.25" thickBot="1" thickTop="1">
      <c r="B29" s="36"/>
      <c r="C29" s="41"/>
      <c r="D29" s="41"/>
      <c r="F29" s="53" t="s">
        <v>13</v>
      </c>
      <c r="G29" s="54">
        <f>SUM(I18:I27)</f>
        <v>68575.62</v>
      </c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9.5" thickTop="1">
      <c r="B30" s="36"/>
      <c r="C30" s="41"/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17" customFormat="1" ht="18.75">
      <c r="B31" s="36"/>
      <c r="C31" s="398" t="s">
        <v>172</v>
      </c>
      <c r="D31" s="41"/>
      <c r="F31" s="397"/>
      <c r="G31" s="55"/>
      <c r="H31" s="55"/>
      <c r="J31" s="39"/>
      <c r="K31" s="22"/>
      <c r="L31" s="22"/>
      <c r="M31" s="22"/>
      <c r="N31" s="22"/>
      <c r="O31" s="22"/>
      <c r="P31" s="22"/>
      <c r="Q31" s="22"/>
      <c r="R31" s="22"/>
      <c r="S31" s="22"/>
    </row>
    <row r="32" spans="2:19" s="24" customFormat="1" ht="16.5" thickBot="1">
      <c r="B32" s="56"/>
      <c r="C32" s="57"/>
      <c r="D32" s="57"/>
      <c r="E32" s="58"/>
      <c r="F32" s="58"/>
      <c r="G32" s="58"/>
      <c r="H32" s="58"/>
      <c r="I32" s="58"/>
      <c r="J32" s="59"/>
      <c r="K32" s="26"/>
      <c r="L32" s="26"/>
      <c r="M32" s="60"/>
      <c r="N32" s="61"/>
      <c r="O32" s="61"/>
      <c r="P32" s="62"/>
      <c r="Q32" s="63"/>
      <c r="R32" s="26"/>
      <c r="S32" s="26"/>
    </row>
    <row r="33" spans="4:19" ht="13.5" thickTop="1">
      <c r="D33" s="12"/>
      <c r="F33" s="12"/>
      <c r="G33" s="12"/>
      <c r="H33" s="12"/>
      <c r="I33" s="12"/>
      <c r="J33" s="12"/>
      <c r="K33" s="12"/>
      <c r="L33" s="12"/>
      <c r="M33" s="64"/>
      <c r="N33" s="65"/>
      <c r="O33" s="65"/>
      <c r="P33" s="12"/>
      <c r="Q33" s="4"/>
      <c r="R33" s="12"/>
      <c r="S33" s="12"/>
    </row>
    <row r="34" spans="4:19" ht="12.75">
      <c r="D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66"/>
      <c r="O35" s="66"/>
      <c r="P35" s="67"/>
      <c r="Q35" s="4"/>
      <c r="R35" s="12"/>
      <c r="S35" s="12"/>
    </row>
    <row r="36" spans="4:19" ht="12.75">
      <c r="D36" s="12"/>
      <c r="E36" s="12"/>
      <c r="L36" s="12"/>
      <c r="M36" s="12"/>
      <c r="N36" s="12"/>
      <c r="O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4:19" ht="12.75">
      <c r="D41" s="12"/>
      <c r="E41" s="12"/>
      <c r="P41" s="12"/>
      <c r="Q41" s="12"/>
      <c r="R41" s="12"/>
      <c r="S41" s="12"/>
    </row>
    <row r="42" spans="16:19" ht="12.75">
      <c r="P42" s="12"/>
      <c r="Q42" s="12"/>
      <c r="R42" s="12"/>
      <c r="S42" s="12"/>
    </row>
    <row r="43" spans="16:19" ht="12.75">
      <c r="P43" s="12"/>
      <c r="Q43" s="12"/>
      <c r="R43" s="12"/>
      <c r="S43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4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88"/>
  <sheetViews>
    <sheetView zoomScale="75" zoomScaleNormal="75" zoomScalePageLayoutView="0" workbookViewId="0" topLeftCell="A10">
      <selection activeCell="O20" sqref="O20:O21"/>
    </sheetView>
  </sheetViews>
  <sheetFormatPr defaultColWidth="11.421875" defaultRowHeight="12.75"/>
  <cols>
    <col min="1" max="1" width="19.0039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6.2812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+'TOT-0714'!B2</f>
        <v>ANEXO II al Memorandum D.T.E.E. N°     306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+'TOT-0714'!B14</f>
        <v>Desde el 01 al 31 de julio de 2014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483.161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461.689</v>
      </c>
      <c r="H15" s="90"/>
      <c r="I15" s="12"/>
      <c r="J15" s="91"/>
      <c r="K15" s="92" t="s">
        <v>18</v>
      </c>
      <c r="L15" s="93">
        <f>30*'TOT-0714'!B13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>
        <v>461.689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4.5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2</v>
      </c>
      <c r="D21" s="128">
        <v>276513</v>
      </c>
      <c r="E21" s="128">
        <v>714</v>
      </c>
      <c r="F21" s="126" t="s">
        <v>133</v>
      </c>
      <c r="G21" s="126">
        <v>132</v>
      </c>
      <c r="H21" s="138">
        <v>122.12999725341797</v>
      </c>
      <c r="I21" s="139">
        <f aca="true" t="shared" si="0" ref="I21:I38">IF(G21=220,$G$14*IF(H21&gt;25,H21,25),IF(G21=132,$G$15*IF(H21&gt;25,+H21,25),$G$16*IF(H21&gt;25,H21,25)))/100</f>
        <v>563.8607630193329</v>
      </c>
      <c r="J21" s="140">
        <v>41822.75625</v>
      </c>
      <c r="K21" s="140">
        <v>41822.759722222225</v>
      </c>
      <c r="L21" s="141">
        <f aca="true" t="shared" si="1" ref="L21:L38">IF(F21="","",(K21-J21)*24)</f>
        <v>0.0833333334303461</v>
      </c>
      <c r="M21" s="142">
        <f aca="true" t="shared" si="2" ref="M21:M38">IF(F21="","",ROUND((K21-J21)*24*60,0))</f>
        <v>5</v>
      </c>
      <c r="N21" s="143" t="s">
        <v>131</v>
      </c>
      <c r="O21" s="143" t="s">
        <v>132</v>
      </c>
      <c r="P21" s="145" t="str">
        <f aca="true" t="shared" si="3" ref="P21:P38">IF(N21="P",ROUND(M21/60,2)*I21*$L$15*0.01,"--")</f>
        <v>--</v>
      </c>
      <c r="Q21" s="146" t="str">
        <f aca="true" t="shared" si="4" ref="Q21:Q38">IF(N21="RP",ROUND(M21/60,2)*I21*$L$15*0.01*O21/100,"--")</f>
        <v>--</v>
      </c>
      <c r="R21" s="147">
        <f aca="true" t="shared" si="5" ref="R21:R38">IF(N21="F",I21*$L$15,"--")</f>
        <v>16915.822890579988</v>
      </c>
      <c r="S21" s="147" t="str">
        <f aca="true" t="shared" si="6" ref="S21:S38">IF(AND(M21&gt;10,N21="F"),$L$15*I21*IF(M21&gt;180,3,ROUND((M21)/60,2)),"--")</f>
        <v>--</v>
      </c>
      <c r="T21" s="148" t="str">
        <f aca="true" t="shared" si="7" ref="T21:T38">IF(AND(N21="F",M21&gt;180),(ROUND(M21/60,2)-3)*I21*$L$15*0.1,"--")</f>
        <v>--</v>
      </c>
      <c r="U21" s="149" t="str">
        <f aca="true" t="shared" si="8" ref="U21:U38">IF(N21="R",I21*$L$15*O21/100,"--")</f>
        <v>--</v>
      </c>
      <c r="V21" s="149" t="str">
        <f aca="true" t="shared" si="9" ref="V21:V38">IF(AND(M21&gt;10,N21="R"),$L$15*I21*O21/100*IF(M21&gt;180,3,ROUND((M21)/60,2)),"--")</f>
        <v>--</v>
      </c>
      <c r="W21" s="150" t="str">
        <f aca="true" t="shared" si="10" ref="W21:W38">IF(AND(N21="R",M21&gt;180),(ROUND(M21/60,2)-3)*I21*$L$15*0.1*O21/100,"--")</f>
        <v>--</v>
      </c>
      <c r="X21" s="151" t="str">
        <f aca="true" t="shared" si="11" ref="X21:X38">IF(N21="RF",ROUND(M21/60,2)*I21*$L$15*0.1,"--")</f>
        <v>--</v>
      </c>
      <c r="Y21" s="152" t="str">
        <f aca="true" t="shared" si="12" ref="Y21:Y38">IF(N21="RR",ROUND(M21/60,2)*I21*$L$15*0.1*O21/100,"--")</f>
        <v>--</v>
      </c>
      <c r="Z21" s="153" t="str">
        <f aca="true" t="shared" si="13" ref="Z21:Z38">IF(F21="","","SI")</f>
        <v>SI</v>
      </c>
      <c r="AA21" s="154">
        <f aca="true" t="shared" si="14" ref="AA21:AA38">IF(F21="","",SUM(P21:Y21)*IF(Z21="SI",1,2))</f>
        <v>16915.822890579988</v>
      </c>
      <c r="AB21" s="155"/>
    </row>
    <row r="22" spans="2:28" s="10" customFormat="1" ht="16.5" customHeight="1">
      <c r="B22" s="44"/>
      <c r="C22" s="128">
        <v>3</v>
      </c>
      <c r="D22" s="128">
        <v>277100</v>
      </c>
      <c r="E22" s="128">
        <v>713</v>
      </c>
      <c r="F22" s="126" t="s">
        <v>134</v>
      </c>
      <c r="G22" s="126">
        <v>132</v>
      </c>
      <c r="H22" s="138">
        <v>19.059999465942383</v>
      </c>
      <c r="I22" s="139">
        <f t="shared" si="0"/>
        <v>115.42225</v>
      </c>
      <c r="J22" s="140">
        <v>41842.361805555556</v>
      </c>
      <c r="K22" s="140">
        <v>41842.78888888889</v>
      </c>
      <c r="L22" s="141">
        <f t="shared" si="1"/>
        <v>10.250000000058208</v>
      </c>
      <c r="M22" s="142">
        <f t="shared" si="2"/>
        <v>615</v>
      </c>
      <c r="N22" s="143" t="s">
        <v>135</v>
      </c>
      <c r="O22" s="143" t="s">
        <v>132</v>
      </c>
      <c r="P22" s="145">
        <f t="shared" si="3"/>
        <v>354.92341875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354.92341875</v>
      </c>
      <c r="AB22" s="155"/>
    </row>
    <row r="23" spans="2:28" s="10" customFormat="1" ht="16.5" customHeight="1">
      <c r="B23" s="44"/>
      <c r="C23" s="128">
        <v>4</v>
      </c>
      <c r="D23" s="128">
        <v>277101</v>
      </c>
      <c r="E23" s="128">
        <v>713</v>
      </c>
      <c r="F23" s="126" t="s">
        <v>134</v>
      </c>
      <c r="G23" s="126">
        <v>132</v>
      </c>
      <c r="H23" s="138">
        <v>19.059999465942383</v>
      </c>
      <c r="I23" s="139">
        <f t="shared" si="0"/>
        <v>115.42225</v>
      </c>
      <c r="J23" s="140">
        <v>41843.410416666666</v>
      </c>
      <c r="K23" s="140">
        <v>41843.538194444445</v>
      </c>
      <c r="L23" s="141">
        <f t="shared" si="1"/>
        <v>3.0666666667093523</v>
      </c>
      <c r="M23" s="142">
        <f t="shared" si="2"/>
        <v>184</v>
      </c>
      <c r="N23" s="143" t="s">
        <v>135</v>
      </c>
      <c r="O23" s="143" t="s">
        <v>132</v>
      </c>
      <c r="P23" s="145">
        <f t="shared" si="3"/>
        <v>106.30389225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106.30389225</v>
      </c>
      <c r="AB23" s="155"/>
    </row>
    <row r="24" spans="2:28" s="10" customFormat="1" ht="16.5" customHeight="1">
      <c r="B24" s="44"/>
      <c r="C24" s="128">
        <v>5</v>
      </c>
      <c r="D24" s="128">
        <v>277102</v>
      </c>
      <c r="E24" s="128">
        <v>712</v>
      </c>
      <c r="F24" s="126" t="s">
        <v>136</v>
      </c>
      <c r="G24" s="126">
        <v>132</v>
      </c>
      <c r="H24" s="138">
        <v>19.059999465942383</v>
      </c>
      <c r="I24" s="139">
        <f t="shared" si="0"/>
        <v>115.42225</v>
      </c>
      <c r="J24" s="140">
        <v>41843.541666666664</v>
      </c>
      <c r="K24" s="140">
        <v>41843.791666666664</v>
      </c>
      <c r="L24" s="141">
        <f t="shared" si="1"/>
        <v>6</v>
      </c>
      <c r="M24" s="142">
        <f t="shared" si="2"/>
        <v>360</v>
      </c>
      <c r="N24" s="143" t="s">
        <v>135</v>
      </c>
      <c r="O24" s="143" t="s">
        <v>132</v>
      </c>
      <c r="P24" s="145">
        <f t="shared" si="3"/>
        <v>207.76005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207.76005</v>
      </c>
      <c r="AB24" s="155"/>
    </row>
    <row r="25" spans="2:28" s="10" customFormat="1" ht="16.5" customHeight="1">
      <c r="B25" s="44"/>
      <c r="C25" s="128">
        <v>6</v>
      </c>
      <c r="D25" s="128">
        <v>277103</v>
      </c>
      <c r="E25" s="128">
        <v>712</v>
      </c>
      <c r="F25" s="126" t="s">
        <v>136</v>
      </c>
      <c r="G25" s="126">
        <v>132</v>
      </c>
      <c r="H25" s="138">
        <v>19.059999465942383</v>
      </c>
      <c r="I25" s="139">
        <f t="shared" si="0"/>
        <v>115.42225</v>
      </c>
      <c r="J25" s="140">
        <v>41844.413194444445</v>
      </c>
      <c r="K25" s="140">
        <v>41844.748611111114</v>
      </c>
      <c r="L25" s="141">
        <f t="shared" si="1"/>
        <v>8.050000000046566</v>
      </c>
      <c r="M25" s="142">
        <f t="shared" si="2"/>
        <v>483</v>
      </c>
      <c r="N25" s="140" t="s">
        <v>135</v>
      </c>
      <c r="O25" s="143" t="s">
        <v>132</v>
      </c>
      <c r="P25" s="145">
        <f t="shared" si="3"/>
        <v>278.7447337500001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278.7447337500001</v>
      </c>
      <c r="AB25" s="155"/>
    </row>
    <row r="26" spans="2:28" s="10" customFormat="1" ht="16.5" customHeight="1">
      <c r="B26" s="44"/>
      <c r="C26" s="128">
        <v>8</v>
      </c>
      <c r="D26" s="128">
        <v>277464</v>
      </c>
      <c r="E26" s="128">
        <v>713</v>
      </c>
      <c r="F26" s="126" t="s">
        <v>134</v>
      </c>
      <c r="G26" s="126">
        <v>132</v>
      </c>
      <c r="H26" s="138">
        <v>19.059999465942383</v>
      </c>
      <c r="I26" s="139">
        <f t="shared" si="0"/>
        <v>115.42225</v>
      </c>
      <c r="J26" s="140">
        <v>41848.393055555556</v>
      </c>
      <c r="K26" s="140">
        <v>41848.72708333333</v>
      </c>
      <c r="L26" s="141">
        <f t="shared" si="1"/>
        <v>8.016666666604578</v>
      </c>
      <c r="M26" s="142">
        <f t="shared" si="2"/>
        <v>481</v>
      </c>
      <c r="N26" s="140" t="s">
        <v>135</v>
      </c>
      <c r="O26" s="143" t="s">
        <v>132</v>
      </c>
      <c r="P26" s="145">
        <f t="shared" si="3"/>
        <v>277.7059335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277.7059335</v>
      </c>
      <c r="AB26" s="155"/>
    </row>
    <row r="27" spans="2:28" s="10" customFormat="1" ht="16.5" customHeight="1">
      <c r="B27" s="44"/>
      <c r="C27" s="128">
        <v>9</v>
      </c>
      <c r="D27" s="128">
        <v>277461</v>
      </c>
      <c r="E27" s="128">
        <v>710</v>
      </c>
      <c r="F27" s="126" t="s">
        <v>137</v>
      </c>
      <c r="G27" s="126">
        <v>220</v>
      </c>
      <c r="H27" s="138">
        <v>188.32000732421875</v>
      </c>
      <c r="I27" s="139">
        <f t="shared" si="0"/>
        <v>909.8888305877686</v>
      </c>
      <c r="J27" s="140">
        <v>41850.39027777778</v>
      </c>
      <c r="K27" s="140">
        <v>41850.717361111114</v>
      </c>
      <c r="L27" s="141">
        <f t="shared" si="1"/>
        <v>7.850000000093132</v>
      </c>
      <c r="M27" s="142">
        <f t="shared" si="2"/>
        <v>471</v>
      </c>
      <c r="N27" s="140" t="s">
        <v>135</v>
      </c>
      <c r="O27" s="143" t="s">
        <v>132</v>
      </c>
      <c r="P27" s="145">
        <f t="shared" si="3"/>
        <v>2142.7881960341947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>SI</v>
      </c>
      <c r="AA27" s="154">
        <f t="shared" si="14"/>
        <v>2142.7881960341947</v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>
        <f t="shared" si="0"/>
        <v>115.42225</v>
      </c>
      <c r="J28" s="140"/>
      <c r="K28" s="140"/>
      <c r="L28" s="141">
        <f t="shared" si="1"/>
      </c>
      <c r="M28" s="142">
        <f t="shared" si="2"/>
      </c>
      <c r="N28" s="140"/>
      <c r="O28" s="144">
        <f aca="true" t="shared" si="15" ref="O28:O38">IF(F28="","","--")</f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>
        <f t="shared" si="0"/>
        <v>115.42225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>
        <f t="shared" si="0"/>
        <v>115.42225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 t="s">
        <v>172</v>
      </c>
      <c r="D31" s="128"/>
      <c r="E31" s="128"/>
      <c r="F31" s="126"/>
      <c r="G31" s="126"/>
      <c r="H31" s="138"/>
      <c r="I31" s="139">
        <f t="shared" si="0"/>
        <v>115.42225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156"/>
      <c r="C32" s="128"/>
      <c r="D32" s="128"/>
      <c r="E32" s="128"/>
      <c r="F32" s="126"/>
      <c r="G32" s="126"/>
      <c r="H32" s="138"/>
      <c r="I32" s="139">
        <f t="shared" si="0"/>
        <v>115.42225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156"/>
      <c r="C33" s="128"/>
      <c r="D33" s="128"/>
      <c r="E33" s="128"/>
      <c r="F33" s="126"/>
      <c r="G33" s="126"/>
      <c r="H33" s="138"/>
      <c r="I33" s="139">
        <f t="shared" si="0"/>
        <v>115.42225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>
        <f t="shared" si="0"/>
        <v>115.42225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>
        <f t="shared" si="0"/>
        <v>115.42225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>
        <f t="shared" si="0"/>
        <v>115.42225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>
        <f t="shared" si="0"/>
        <v>115.42225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>
        <f t="shared" si="0"/>
        <v>115.42225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 thickBot="1">
      <c r="B39" s="44"/>
      <c r="C39" s="157"/>
      <c r="D39" s="157"/>
      <c r="E39" s="157"/>
      <c r="F39" s="158"/>
      <c r="G39" s="159"/>
      <c r="H39" s="160"/>
      <c r="I39" s="161"/>
      <c r="J39" s="160"/>
      <c r="K39" s="160"/>
      <c r="L39" s="160"/>
      <c r="M39" s="160"/>
      <c r="N39" s="160"/>
      <c r="O39" s="162"/>
      <c r="P39" s="163"/>
      <c r="Q39" s="164"/>
      <c r="R39" s="165"/>
      <c r="S39" s="166"/>
      <c r="T39" s="166"/>
      <c r="U39" s="167"/>
      <c r="V39" s="167"/>
      <c r="W39" s="167"/>
      <c r="X39" s="168"/>
      <c r="Y39" s="169"/>
      <c r="Z39" s="170"/>
      <c r="AA39" s="171"/>
      <c r="AB39" s="155"/>
    </row>
    <row r="40" spans="2:28" s="10" customFormat="1" ht="16.5" customHeight="1" thickBot="1" thickTop="1">
      <c r="B40" s="44"/>
      <c r="C40" s="172" t="s">
        <v>73</v>
      </c>
      <c r="D40" s="420" t="s">
        <v>156</v>
      </c>
      <c r="E40" s="187"/>
      <c r="F40" s="173"/>
      <c r="G40" s="3"/>
      <c r="H40" s="5"/>
      <c r="I40" s="174"/>
      <c r="J40" s="174"/>
      <c r="K40" s="174"/>
      <c r="L40" s="174"/>
      <c r="M40" s="174"/>
      <c r="N40" s="174"/>
      <c r="O40" s="175"/>
      <c r="P40" s="176">
        <f aca="true" t="shared" si="16" ref="P40:Y40">SUM(P19:P39)</f>
        <v>3368.226224284195</v>
      </c>
      <c r="Q40" s="177">
        <f t="shared" si="16"/>
        <v>0</v>
      </c>
      <c r="R40" s="178">
        <f t="shared" si="16"/>
        <v>16915.822890579988</v>
      </c>
      <c r="S40" s="178">
        <f t="shared" si="16"/>
        <v>0</v>
      </c>
      <c r="T40" s="178">
        <f t="shared" si="16"/>
        <v>0</v>
      </c>
      <c r="U40" s="179">
        <f t="shared" si="16"/>
        <v>0</v>
      </c>
      <c r="V40" s="179">
        <f t="shared" si="16"/>
        <v>0</v>
      </c>
      <c r="W40" s="179">
        <f t="shared" si="16"/>
        <v>0</v>
      </c>
      <c r="X40" s="180">
        <f t="shared" si="16"/>
        <v>0</v>
      </c>
      <c r="Y40" s="181">
        <f t="shared" si="16"/>
        <v>0</v>
      </c>
      <c r="Z40" s="182"/>
      <c r="AA40" s="183">
        <f>ROUND(SUM(AA19:AA39),2)</f>
        <v>20284.05</v>
      </c>
      <c r="AB40" s="184"/>
    </row>
    <row r="41" spans="2:28" s="185" customFormat="1" ht="9.75" thickTop="1">
      <c r="B41" s="186"/>
      <c r="C41" s="187"/>
      <c r="D41" s="187"/>
      <c r="E41" s="187"/>
      <c r="F41" s="188"/>
      <c r="G41" s="189"/>
      <c r="H41" s="190"/>
      <c r="I41" s="191"/>
      <c r="J41" s="191"/>
      <c r="K41" s="191"/>
      <c r="L41" s="191"/>
      <c r="M41" s="191"/>
      <c r="N41" s="191"/>
      <c r="O41" s="192"/>
      <c r="P41" s="193"/>
      <c r="Q41" s="193"/>
      <c r="R41" s="194"/>
      <c r="S41" s="194"/>
      <c r="T41" s="195"/>
      <c r="U41" s="195"/>
      <c r="V41" s="195"/>
      <c r="W41" s="195"/>
      <c r="X41" s="195"/>
      <c r="Y41" s="195"/>
      <c r="Z41" s="195"/>
      <c r="AA41" s="196"/>
      <c r="AB41" s="197"/>
    </row>
    <row r="42" spans="2:28" s="10" customFormat="1" ht="16.5" customHeight="1" thickBot="1"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00"/>
    </row>
    <row r="43" spans="2:28" ht="13.5" thickTop="1">
      <c r="B43" s="201"/>
      <c r="AB43" s="201"/>
    </row>
    <row r="88" ht="12.75">
      <c r="B88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B84"/>
  <sheetViews>
    <sheetView zoomScale="75" zoomScaleNormal="75" zoomScalePageLayoutView="0" workbookViewId="0" topLeftCell="A7">
      <selection activeCell="O20" sqref="O20:O21"/>
    </sheetView>
  </sheetViews>
  <sheetFormatPr defaultColWidth="11.421875" defaultRowHeight="12.75"/>
  <cols>
    <col min="1" max="1" width="19.0039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51.421875" style="1" customWidth="1"/>
    <col min="7" max="7" width="8.7109375" style="1" customWidth="1"/>
    <col min="8" max="8" width="9.7109375" style="1" customWidth="1"/>
    <col min="9" max="9" width="8.140625" style="1" hidden="1" customWidth="1"/>
    <col min="10" max="11" width="16.28125" style="1" customWidth="1"/>
    <col min="12" max="14" width="9.7109375" style="1" customWidth="1"/>
    <col min="15" max="15" width="6.421875" style="1" bestFit="1" customWidth="1"/>
    <col min="16" max="16" width="14.7109375" style="1" hidden="1" customWidth="1"/>
    <col min="17" max="17" width="12.28125" style="1" hidden="1" customWidth="1"/>
    <col min="18" max="18" width="12.57421875" style="1" hidden="1" customWidth="1"/>
    <col min="19" max="19" width="12.140625" style="1" hidden="1" customWidth="1"/>
    <col min="20" max="23" width="7.140625" style="1" hidden="1" customWidth="1"/>
    <col min="24" max="25" width="12.281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+'TOT-0714'!B2</f>
        <v>ANEXO II al Memorandum D.T.E.E. N°     306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74" customFormat="1" ht="20.25">
      <c r="B11" s="75"/>
      <c r="F11" s="76"/>
      <c r="G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</row>
    <row r="12" spans="2:28" s="10" customFormat="1" ht="16.5" customHeight="1">
      <c r="B12" s="44"/>
      <c r="C12" s="79"/>
      <c r="D12" s="79"/>
      <c r="E12" s="79"/>
      <c r="F12" s="435" t="s">
        <v>158</v>
      </c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9"/>
    </row>
    <row r="13" spans="2:28" s="17" customFormat="1" ht="19.5">
      <c r="B13" s="31" t="str">
        <f>+'TOT-0714'!B14</f>
        <v>Desde el 01 al 31 de julio de 2014</v>
      </c>
      <c r="C13" s="80"/>
      <c r="D13" s="80"/>
      <c r="E13" s="80"/>
      <c r="F13" s="34"/>
      <c r="G13" s="34"/>
      <c r="H13" s="81"/>
      <c r="I13" s="82"/>
      <c r="J13" s="81"/>
      <c r="K13" s="82"/>
      <c r="L13" s="82"/>
      <c r="M13" s="82"/>
      <c r="N13" s="82"/>
      <c r="O13" s="82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83"/>
    </row>
    <row r="14" spans="2:28" s="10" customFormat="1" ht="16.5" customHeight="1" thickBot="1">
      <c r="B14" s="44"/>
      <c r="C14" s="12"/>
      <c r="D14" s="12"/>
      <c r="E14" s="12"/>
      <c r="F14" s="12"/>
      <c r="G14" s="84"/>
      <c r="H14" s="85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16</v>
      </c>
      <c r="G15" s="88">
        <v>483.161</v>
      </c>
      <c r="H15" s="89"/>
      <c r="I15" s="86"/>
      <c r="J15" s="86"/>
      <c r="K15" s="86"/>
      <c r="L15" s="86"/>
      <c r="M15" s="86"/>
      <c r="N15" s="86"/>
      <c r="O15" s="8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17</v>
      </c>
      <c r="G16" s="88">
        <v>461.689</v>
      </c>
      <c r="H16" s="90"/>
      <c r="I16" s="12"/>
      <c r="J16" s="91"/>
      <c r="K16" s="92" t="s">
        <v>18</v>
      </c>
      <c r="L16" s="93">
        <f>30*'TOT-0714'!B13</f>
        <v>30</v>
      </c>
      <c r="M16" s="94" t="str">
        <f>IF(L16=30," ",IF(L16=60,"Coeficiente duplicado por tasa de falla &gt;4 Sal. x año/100 km.","REVISAR COEFICIENTE"))</f>
        <v> 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12"/>
      <c r="E17" s="12"/>
      <c r="F17" s="87" t="s">
        <v>19</v>
      </c>
      <c r="G17" s="88">
        <v>461.689</v>
      </c>
      <c r="H17" s="90"/>
      <c r="I17" s="12"/>
      <c r="J17" s="12"/>
      <c r="K17" s="12"/>
      <c r="L17" s="50"/>
      <c r="M17" s="9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9"/>
    </row>
    <row r="18" spans="2:28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9"/>
    </row>
    <row r="19" spans="2:28" s="96" customFormat="1" ht="34.5" customHeight="1" thickBot="1" thickTop="1">
      <c r="B19" s="97"/>
      <c r="C19" s="400" t="s">
        <v>20</v>
      </c>
      <c r="D19" s="400" t="s">
        <v>74</v>
      </c>
      <c r="E19" s="400" t="s">
        <v>75</v>
      </c>
      <c r="F19" s="98" t="s">
        <v>2</v>
      </c>
      <c r="G19" s="99" t="s">
        <v>21</v>
      </c>
      <c r="H19" s="99" t="s">
        <v>22</v>
      </c>
      <c r="I19" s="100" t="s">
        <v>23</v>
      </c>
      <c r="J19" s="98" t="s">
        <v>24</v>
      </c>
      <c r="K19" s="98" t="s">
        <v>25</v>
      </c>
      <c r="L19" s="99" t="s">
        <v>26</v>
      </c>
      <c r="M19" s="99" t="s">
        <v>27</v>
      </c>
      <c r="N19" s="99" t="s">
        <v>72</v>
      </c>
      <c r="O19" s="99" t="s">
        <v>28</v>
      </c>
      <c r="P19" s="101" t="s">
        <v>29</v>
      </c>
      <c r="Q19" s="102" t="s">
        <v>30</v>
      </c>
      <c r="R19" s="103" t="s">
        <v>31</v>
      </c>
      <c r="S19" s="104"/>
      <c r="T19" s="105"/>
      <c r="U19" s="106" t="s">
        <v>32</v>
      </c>
      <c r="V19" s="107"/>
      <c r="W19" s="108"/>
      <c r="X19" s="109" t="s">
        <v>33</v>
      </c>
      <c r="Y19" s="110" t="s">
        <v>34</v>
      </c>
      <c r="Z19" s="111" t="s">
        <v>35</v>
      </c>
      <c r="AA19" s="111" t="s">
        <v>36</v>
      </c>
      <c r="AB19" s="112"/>
    </row>
    <row r="20" spans="2:28" s="10" customFormat="1" ht="16.5" customHeight="1" thickTop="1">
      <c r="B20" s="44"/>
      <c r="C20" s="113"/>
      <c r="D20" s="113"/>
      <c r="E20" s="113"/>
      <c r="F20" s="114"/>
      <c r="G20" s="113"/>
      <c r="H20" s="113"/>
      <c r="I20" s="115"/>
      <c r="J20" s="113"/>
      <c r="K20" s="114"/>
      <c r="L20" s="116"/>
      <c r="M20" s="116"/>
      <c r="N20" s="113"/>
      <c r="O20" s="113"/>
      <c r="P20" s="117"/>
      <c r="Q20" s="118"/>
      <c r="R20" s="119"/>
      <c r="S20" s="120"/>
      <c r="T20" s="120"/>
      <c r="U20" s="121"/>
      <c r="V20" s="121"/>
      <c r="W20" s="121"/>
      <c r="X20" s="122"/>
      <c r="Y20" s="123"/>
      <c r="Z20" s="113"/>
      <c r="AA20" s="124"/>
      <c r="AB20" s="49"/>
    </row>
    <row r="21" spans="2:28" s="10" customFormat="1" ht="16.5" customHeight="1">
      <c r="B21" s="44"/>
      <c r="C21" s="125"/>
      <c r="D21" s="125"/>
      <c r="E21" s="125"/>
      <c r="F21" s="126"/>
      <c r="G21" s="126"/>
      <c r="H21" s="125"/>
      <c r="I21" s="127"/>
      <c r="J21" s="125"/>
      <c r="K21" s="128"/>
      <c r="L21" s="129"/>
      <c r="M21" s="129"/>
      <c r="N21" s="125"/>
      <c r="O21" s="125"/>
      <c r="P21" s="130"/>
      <c r="Q21" s="131"/>
      <c r="R21" s="132"/>
      <c r="S21" s="133"/>
      <c r="T21" s="133"/>
      <c r="U21" s="134"/>
      <c r="V21" s="134"/>
      <c r="W21" s="134"/>
      <c r="X21" s="135"/>
      <c r="Y21" s="136"/>
      <c r="Z21" s="125"/>
      <c r="AA21" s="137"/>
      <c r="AB21" s="49"/>
    </row>
    <row r="22" spans="2:28" s="208" customFormat="1" ht="16.5" customHeight="1">
      <c r="B22" s="217"/>
      <c r="C22" s="272">
        <v>1</v>
      </c>
      <c r="D22" s="272">
        <v>276512</v>
      </c>
      <c r="E22" s="272">
        <v>5259</v>
      </c>
      <c r="F22" s="421" t="s">
        <v>153</v>
      </c>
      <c r="G22" s="421">
        <v>132</v>
      </c>
      <c r="H22" s="422">
        <v>52.9</v>
      </c>
      <c r="I22" s="423">
        <f aca="true" t="shared" si="0" ref="I22:I34">IF(G22=220,$G$15*IF(H22&gt;25,H22,25),IF(G22=132,$G$16*IF(H22&gt;25,+H22,25),$G$17*IF(H22&gt;25,H22,25)))/100</f>
        <v>244.23348099999998</v>
      </c>
      <c r="J22" s="285">
        <v>41822.68819444445</v>
      </c>
      <c r="K22" s="285">
        <v>41822.69513888889</v>
      </c>
      <c r="L22" s="286">
        <f aca="true" t="shared" si="1" ref="L22:L34">IF(F22="","",(K22-J22)*24)</f>
        <v>0.16666666668606922</v>
      </c>
      <c r="M22" s="424">
        <f aca="true" t="shared" si="2" ref="M22:M34">IF(F22="","",ROUND((K22-J22)*24*60,0))</f>
        <v>10</v>
      </c>
      <c r="N22" s="288" t="s">
        <v>131</v>
      </c>
      <c r="O22" s="288" t="s">
        <v>132</v>
      </c>
      <c r="P22" s="425" t="str">
        <f aca="true" t="shared" si="3" ref="P22:P34">IF(N22="P",ROUND(M22/60,2)*I22*$L$16*0.01,"--")</f>
        <v>--</v>
      </c>
      <c r="Q22" s="426" t="str">
        <f aca="true" t="shared" si="4" ref="Q22:Q34">IF(N22="RP",ROUND(M22/60,2)*I22*$L$16*0.01*O22/100,"--")</f>
        <v>--</v>
      </c>
      <c r="R22" s="427"/>
      <c r="S22" s="427" t="str">
        <f aca="true" t="shared" si="5" ref="S22:S34">IF(AND(M22&gt;10,N22="F"),$L$16*I22*IF(M22&gt;180,3,ROUND((M22)/60,2)),"--")</f>
        <v>--</v>
      </c>
      <c r="T22" s="428" t="str">
        <f aca="true" t="shared" si="6" ref="T22:T34">IF(AND(N22="F",M22&gt;180),(ROUND(M22/60,2)-3)*I22*$L$16*0.1,"--")</f>
        <v>--</v>
      </c>
      <c r="U22" s="429" t="str">
        <f aca="true" t="shared" si="7" ref="U22:U34">IF(N22="R",I22*$L$16*O22/100,"--")</f>
        <v>--</v>
      </c>
      <c r="V22" s="429" t="str">
        <f aca="true" t="shared" si="8" ref="V22:V34">IF(AND(M22&gt;10,N22="R"),$L$16*I22*O22/100*IF(M22&gt;180,3,ROUND((M22)/60,2)),"--")</f>
        <v>--</v>
      </c>
      <c r="W22" s="430" t="str">
        <f aca="true" t="shared" si="9" ref="W22:W34">IF(AND(N22="R",M22&gt;180),(ROUND(M22/60,2)-3)*I22*$L$16*0.1*O22/100,"--")</f>
        <v>--</v>
      </c>
      <c r="X22" s="431" t="str">
        <f aca="true" t="shared" si="10" ref="X22:X34">IF(N22="RF",ROUND(M22/60,2)*I22*$L$16*0.1,"--")</f>
        <v>--</v>
      </c>
      <c r="Y22" s="432" t="str">
        <f aca="true" t="shared" si="11" ref="Y22:Y34">IF(N22="RR",ROUND(M22/60,2)*I22*$L$16*0.1*O22/100,"--")</f>
        <v>--</v>
      </c>
      <c r="Z22" s="433" t="str">
        <f aca="true" t="shared" si="12" ref="Z22:Z34">IF(F22="","","SI")</f>
        <v>SI</v>
      </c>
      <c r="AA22" s="434">
        <f aca="true" t="shared" si="13" ref="AA22:AA34">IF(F22="","",SUM(P22:Y22)*IF(Z22="SI",1,2))</f>
        <v>0</v>
      </c>
      <c r="AB22" s="299"/>
    </row>
    <row r="23" spans="2:28" s="208" customFormat="1" ht="16.5" customHeight="1">
      <c r="B23" s="217"/>
      <c r="C23" s="272">
        <v>7</v>
      </c>
      <c r="D23" s="272">
        <v>277104</v>
      </c>
      <c r="E23" s="272">
        <v>710</v>
      </c>
      <c r="F23" s="421" t="s">
        <v>137</v>
      </c>
      <c r="G23" s="421">
        <v>220</v>
      </c>
      <c r="H23" s="422">
        <v>188.32000732421875</v>
      </c>
      <c r="I23" s="423">
        <f t="shared" si="0"/>
        <v>909.8888305877686</v>
      </c>
      <c r="J23" s="285">
        <v>41847.70694444444</v>
      </c>
      <c r="K23" s="285">
        <v>41847.775</v>
      </c>
      <c r="L23" s="286">
        <f t="shared" si="1"/>
        <v>1.6333333334187046</v>
      </c>
      <c r="M23" s="424">
        <f t="shared" si="2"/>
        <v>98</v>
      </c>
      <c r="N23" s="285" t="s">
        <v>131</v>
      </c>
      <c r="O23" s="288" t="s">
        <v>132</v>
      </c>
      <c r="P23" s="425" t="str">
        <f t="shared" si="3"/>
        <v>--</v>
      </c>
      <c r="Q23" s="426" t="str">
        <f t="shared" si="4"/>
        <v>--</v>
      </c>
      <c r="R23" s="427"/>
      <c r="S23" s="427">
        <f t="shared" si="5"/>
        <v>44493.56381574188</v>
      </c>
      <c r="T23" s="428" t="str">
        <f t="shared" si="6"/>
        <v>--</v>
      </c>
      <c r="U23" s="429" t="str">
        <f t="shared" si="7"/>
        <v>--</v>
      </c>
      <c r="V23" s="429" t="str">
        <f t="shared" si="8"/>
        <v>--</v>
      </c>
      <c r="W23" s="430" t="str">
        <f t="shared" si="9"/>
        <v>--</v>
      </c>
      <c r="X23" s="431" t="str">
        <f t="shared" si="10"/>
        <v>--</v>
      </c>
      <c r="Y23" s="432" t="str">
        <f t="shared" si="11"/>
        <v>--</v>
      </c>
      <c r="Z23" s="433" t="str">
        <f t="shared" si="12"/>
        <v>SI</v>
      </c>
      <c r="AA23" s="434">
        <f t="shared" si="13"/>
        <v>44493.56381574188</v>
      </c>
      <c r="AB23" s="299"/>
    </row>
    <row r="24" spans="2:28" s="10" customFormat="1" ht="16.5" customHeight="1">
      <c r="B24" s="44"/>
      <c r="C24" s="128"/>
      <c r="D24" s="128"/>
      <c r="E24" s="128"/>
      <c r="F24" s="126"/>
      <c r="G24" s="126"/>
      <c r="H24" s="138"/>
      <c r="I24" s="139">
        <f t="shared" si="0"/>
        <v>115.42225</v>
      </c>
      <c r="J24" s="140"/>
      <c r="K24" s="140"/>
      <c r="L24" s="141">
        <f t="shared" si="1"/>
      </c>
      <c r="M24" s="142">
        <f t="shared" si="2"/>
      </c>
      <c r="N24" s="140"/>
      <c r="O24" s="144">
        <f aca="true" t="shared" si="14" ref="O24:O34">IF(F24="","","--")</f>
      </c>
      <c r="P24" s="145" t="str">
        <f t="shared" si="3"/>
        <v>--</v>
      </c>
      <c r="Q24" s="146" t="str">
        <f t="shared" si="4"/>
        <v>--</v>
      </c>
      <c r="R24" s="147" t="str">
        <f aca="true" t="shared" si="15" ref="R24:R34">IF(N24="F",I24*$L$16,"--")</f>
        <v>--</v>
      </c>
      <c r="S24" s="147" t="str">
        <f t="shared" si="5"/>
        <v>--</v>
      </c>
      <c r="T24" s="148" t="str">
        <f t="shared" si="6"/>
        <v>--</v>
      </c>
      <c r="U24" s="149" t="str">
        <f t="shared" si="7"/>
        <v>--</v>
      </c>
      <c r="V24" s="149" t="str">
        <f t="shared" si="8"/>
        <v>--</v>
      </c>
      <c r="W24" s="150" t="str">
        <f t="shared" si="9"/>
        <v>--</v>
      </c>
      <c r="X24" s="151" t="str">
        <f t="shared" si="10"/>
        <v>--</v>
      </c>
      <c r="Y24" s="152" t="str">
        <f t="shared" si="11"/>
        <v>--</v>
      </c>
      <c r="Z24" s="153">
        <f t="shared" si="12"/>
      </c>
      <c r="AA24" s="154">
        <f t="shared" si="13"/>
      </c>
      <c r="AB24" s="155"/>
    </row>
    <row r="25" spans="2:28" s="10" customFormat="1" ht="16.5" customHeight="1">
      <c r="B25" s="44"/>
      <c r="C25" s="128"/>
      <c r="D25" s="128"/>
      <c r="E25" s="128"/>
      <c r="F25" s="126"/>
      <c r="G25" s="126"/>
      <c r="H25" s="138"/>
      <c r="I25" s="139">
        <f t="shared" si="0"/>
        <v>115.42225</v>
      </c>
      <c r="J25" s="140"/>
      <c r="K25" s="140"/>
      <c r="L25" s="141">
        <f t="shared" si="1"/>
      </c>
      <c r="M25" s="142">
        <f t="shared" si="2"/>
      </c>
      <c r="N25" s="140"/>
      <c r="O25" s="144">
        <f t="shared" si="14"/>
      </c>
      <c r="P25" s="145" t="str">
        <f t="shared" si="3"/>
        <v>--</v>
      </c>
      <c r="Q25" s="146" t="str">
        <f t="shared" si="4"/>
        <v>--</v>
      </c>
      <c r="R25" s="147" t="str">
        <f t="shared" si="15"/>
        <v>--</v>
      </c>
      <c r="S25" s="147" t="str">
        <f t="shared" si="5"/>
        <v>--</v>
      </c>
      <c r="T25" s="148" t="str">
        <f t="shared" si="6"/>
        <v>--</v>
      </c>
      <c r="U25" s="149" t="str">
        <f t="shared" si="7"/>
        <v>--</v>
      </c>
      <c r="V25" s="149" t="str">
        <f t="shared" si="8"/>
        <v>--</v>
      </c>
      <c r="W25" s="150" t="str">
        <f t="shared" si="9"/>
        <v>--</v>
      </c>
      <c r="X25" s="151" t="str">
        <f t="shared" si="10"/>
        <v>--</v>
      </c>
      <c r="Y25" s="152" t="str">
        <f t="shared" si="11"/>
        <v>--</v>
      </c>
      <c r="Z25" s="153">
        <f t="shared" si="12"/>
      </c>
      <c r="AA25" s="154">
        <f t="shared" si="13"/>
      </c>
      <c r="AB25" s="155"/>
    </row>
    <row r="26" spans="2:28" s="10" customFormat="1" ht="16.5" customHeight="1">
      <c r="B26" s="44"/>
      <c r="C26" s="128"/>
      <c r="D26" s="128"/>
      <c r="E26" s="128"/>
      <c r="F26" s="126"/>
      <c r="G26" s="126"/>
      <c r="H26" s="138"/>
      <c r="I26" s="139">
        <f t="shared" si="0"/>
        <v>115.42225</v>
      </c>
      <c r="J26" s="140"/>
      <c r="K26" s="140"/>
      <c r="L26" s="141">
        <f t="shared" si="1"/>
      </c>
      <c r="M26" s="142">
        <f t="shared" si="2"/>
      </c>
      <c r="N26" s="140"/>
      <c r="O26" s="144">
        <f t="shared" si="14"/>
      </c>
      <c r="P26" s="145" t="str">
        <f t="shared" si="3"/>
        <v>--</v>
      </c>
      <c r="Q26" s="146" t="str">
        <f t="shared" si="4"/>
        <v>--</v>
      </c>
      <c r="R26" s="147" t="str">
        <f t="shared" si="15"/>
        <v>--</v>
      </c>
      <c r="S26" s="147" t="str">
        <f t="shared" si="5"/>
        <v>--</v>
      </c>
      <c r="T26" s="148" t="str">
        <f t="shared" si="6"/>
        <v>--</v>
      </c>
      <c r="U26" s="149" t="str">
        <f t="shared" si="7"/>
        <v>--</v>
      </c>
      <c r="V26" s="149" t="str">
        <f t="shared" si="8"/>
        <v>--</v>
      </c>
      <c r="W26" s="150" t="str">
        <f t="shared" si="9"/>
        <v>--</v>
      </c>
      <c r="X26" s="151" t="str">
        <f t="shared" si="10"/>
        <v>--</v>
      </c>
      <c r="Y26" s="152" t="str">
        <f t="shared" si="11"/>
        <v>--</v>
      </c>
      <c r="Z26" s="153">
        <f t="shared" si="12"/>
      </c>
      <c r="AA26" s="154">
        <f t="shared" si="13"/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>
        <f t="shared" si="0"/>
        <v>115.42225</v>
      </c>
      <c r="J27" s="140"/>
      <c r="K27" s="140"/>
      <c r="L27" s="141">
        <f t="shared" si="1"/>
      </c>
      <c r="M27" s="142">
        <f t="shared" si="2"/>
      </c>
      <c r="N27" s="140"/>
      <c r="O27" s="144">
        <f t="shared" si="14"/>
      </c>
      <c r="P27" s="145" t="str">
        <f t="shared" si="3"/>
        <v>--</v>
      </c>
      <c r="Q27" s="146" t="str">
        <f t="shared" si="4"/>
        <v>--</v>
      </c>
      <c r="R27" s="147" t="str">
        <f t="shared" si="15"/>
        <v>--</v>
      </c>
      <c r="S27" s="147" t="str">
        <f t="shared" si="5"/>
        <v>--</v>
      </c>
      <c r="T27" s="148" t="str">
        <f t="shared" si="6"/>
        <v>--</v>
      </c>
      <c r="U27" s="149" t="str">
        <f t="shared" si="7"/>
        <v>--</v>
      </c>
      <c r="V27" s="149" t="str">
        <f t="shared" si="8"/>
        <v>--</v>
      </c>
      <c r="W27" s="150" t="str">
        <f t="shared" si="9"/>
        <v>--</v>
      </c>
      <c r="X27" s="151" t="str">
        <f t="shared" si="10"/>
        <v>--</v>
      </c>
      <c r="Y27" s="152" t="str">
        <f t="shared" si="11"/>
        <v>--</v>
      </c>
      <c r="Z27" s="153">
        <f t="shared" si="12"/>
      </c>
      <c r="AA27" s="154">
        <f t="shared" si="13"/>
      </c>
      <c r="AB27" s="155"/>
    </row>
    <row r="28" spans="2:28" s="10" customFormat="1" ht="16.5" customHeight="1">
      <c r="B28" s="156"/>
      <c r="C28" s="128"/>
      <c r="D28" s="128"/>
      <c r="E28" s="128"/>
      <c r="F28" s="126"/>
      <c r="G28" s="126"/>
      <c r="H28" s="138"/>
      <c r="I28" s="139">
        <f t="shared" si="0"/>
        <v>115.42225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4"/>
      </c>
      <c r="P28" s="145" t="str">
        <f t="shared" si="3"/>
        <v>--</v>
      </c>
      <c r="Q28" s="146" t="str">
        <f t="shared" si="4"/>
        <v>--</v>
      </c>
      <c r="R28" s="147" t="str">
        <f t="shared" si="15"/>
        <v>--</v>
      </c>
      <c r="S28" s="147" t="str">
        <f t="shared" si="5"/>
        <v>--</v>
      </c>
      <c r="T28" s="148" t="str">
        <f t="shared" si="6"/>
        <v>--</v>
      </c>
      <c r="U28" s="149" t="str">
        <f t="shared" si="7"/>
        <v>--</v>
      </c>
      <c r="V28" s="149" t="str">
        <f t="shared" si="8"/>
        <v>--</v>
      </c>
      <c r="W28" s="150" t="str">
        <f t="shared" si="9"/>
        <v>--</v>
      </c>
      <c r="X28" s="151" t="str">
        <f t="shared" si="10"/>
        <v>--</v>
      </c>
      <c r="Y28" s="152" t="str">
        <f t="shared" si="11"/>
        <v>--</v>
      </c>
      <c r="Z28" s="153">
        <f t="shared" si="12"/>
      </c>
      <c r="AA28" s="154">
        <f t="shared" si="13"/>
      </c>
      <c r="AB28" s="155"/>
    </row>
    <row r="29" spans="2:28" s="10" customFormat="1" ht="16.5" customHeight="1">
      <c r="B29" s="156"/>
      <c r="C29" s="128"/>
      <c r="D29" s="128"/>
      <c r="E29" s="128"/>
      <c r="F29" s="126"/>
      <c r="G29" s="126"/>
      <c r="H29" s="138"/>
      <c r="I29" s="139">
        <f t="shared" si="0"/>
        <v>115.42225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4"/>
      </c>
      <c r="P29" s="145" t="str">
        <f t="shared" si="3"/>
        <v>--</v>
      </c>
      <c r="Q29" s="146" t="str">
        <f t="shared" si="4"/>
        <v>--</v>
      </c>
      <c r="R29" s="147" t="str">
        <f t="shared" si="15"/>
        <v>--</v>
      </c>
      <c r="S29" s="147" t="str">
        <f t="shared" si="5"/>
        <v>--</v>
      </c>
      <c r="T29" s="148" t="str">
        <f t="shared" si="6"/>
        <v>--</v>
      </c>
      <c r="U29" s="149" t="str">
        <f t="shared" si="7"/>
        <v>--</v>
      </c>
      <c r="V29" s="149" t="str">
        <f t="shared" si="8"/>
        <v>--</v>
      </c>
      <c r="W29" s="150" t="str">
        <f t="shared" si="9"/>
        <v>--</v>
      </c>
      <c r="X29" s="151" t="str">
        <f t="shared" si="10"/>
        <v>--</v>
      </c>
      <c r="Y29" s="152" t="str">
        <f t="shared" si="11"/>
        <v>--</v>
      </c>
      <c r="Z29" s="153">
        <f t="shared" si="12"/>
      </c>
      <c r="AA29" s="154">
        <f t="shared" si="13"/>
      </c>
      <c r="AB29" s="155"/>
    </row>
    <row r="30" spans="2:28" s="10" customFormat="1" ht="16.5" customHeight="1">
      <c r="B30" s="156"/>
      <c r="C30" s="128"/>
      <c r="D30" s="128"/>
      <c r="E30" s="128"/>
      <c r="F30" s="126"/>
      <c r="G30" s="126"/>
      <c r="H30" s="138"/>
      <c r="I30" s="139">
        <f t="shared" si="0"/>
        <v>115.42225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4"/>
      </c>
      <c r="P30" s="145" t="str">
        <f t="shared" si="3"/>
        <v>--</v>
      </c>
      <c r="Q30" s="146" t="str">
        <f t="shared" si="4"/>
        <v>--</v>
      </c>
      <c r="R30" s="147" t="str">
        <f t="shared" si="15"/>
        <v>--</v>
      </c>
      <c r="S30" s="147" t="str">
        <f t="shared" si="5"/>
        <v>--</v>
      </c>
      <c r="T30" s="148" t="str">
        <f t="shared" si="6"/>
        <v>--</v>
      </c>
      <c r="U30" s="149" t="str">
        <f t="shared" si="7"/>
        <v>--</v>
      </c>
      <c r="V30" s="149" t="str">
        <f t="shared" si="8"/>
        <v>--</v>
      </c>
      <c r="W30" s="150" t="str">
        <f t="shared" si="9"/>
        <v>--</v>
      </c>
      <c r="X30" s="151" t="str">
        <f t="shared" si="10"/>
        <v>--</v>
      </c>
      <c r="Y30" s="152" t="str">
        <f t="shared" si="11"/>
        <v>--</v>
      </c>
      <c r="Z30" s="153">
        <f t="shared" si="12"/>
      </c>
      <c r="AA30" s="154">
        <f t="shared" si="13"/>
      </c>
      <c r="AB30" s="155"/>
    </row>
    <row r="31" spans="2:28" s="10" customFormat="1" ht="16.5" customHeight="1">
      <c r="B31" s="156"/>
      <c r="C31" s="128" t="s">
        <v>172</v>
      </c>
      <c r="D31" s="128"/>
      <c r="E31" s="128"/>
      <c r="F31" s="126"/>
      <c r="G31" s="126"/>
      <c r="H31" s="138"/>
      <c r="I31" s="139">
        <f t="shared" si="0"/>
        <v>115.42225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4"/>
      </c>
      <c r="P31" s="145" t="str">
        <f t="shared" si="3"/>
        <v>--</v>
      </c>
      <c r="Q31" s="146" t="str">
        <f t="shared" si="4"/>
        <v>--</v>
      </c>
      <c r="R31" s="147" t="str">
        <f t="shared" si="15"/>
        <v>--</v>
      </c>
      <c r="S31" s="147" t="str">
        <f t="shared" si="5"/>
        <v>--</v>
      </c>
      <c r="T31" s="148" t="str">
        <f t="shared" si="6"/>
        <v>--</v>
      </c>
      <c r="U31" s="149" t="str">
        <f t="shared" si="7"/>
        <v>--</v>
      </c>
      <c r="V31" s="149" t="str">
        <f t="shared" si="8"/>
        <v>--</v>
      </c>
      <c r="W31" s="150" t="str">
        <f t="shared" si="9"/>
        <v>--</v>
      </c>
      <c r="X31" s="151" t="str">
        <f t="shared" si="10"/>
        <v>--</v>
      </c>
      <c r="Y31" s="152" t="str">
        <f t="shared" si="11"/>
        <v>--</v>
      </c>
      <c r="Z31" s="153">
        <f t="shared" si="12"/>
      </c>
      <c r="AA31" s="154">
        <f t="shared" si="13"/>
      </c>
      <c r="AB31" s="155"/>
    </row>
    <row r="32" spans="2:28" s="10" customFormat="1" ht="16.5" customHeight="1">
      <c r="B32" s="156"/>
      <c r="C32" s="128"/>
      <c r="D32" s="128"/>
      <c r="E32" s="128"/>
      <c r="F32" s="126"/>
      <c r="G32" s="126"/>
      <c r="H32" s="138"/>
      <c r="I32" s="139">
        <f t="shared" si="0"/>
        <v>115.42225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4"/>
      </c>
      <c r="P32" s="145" t="str">
        <f t="shared" si="3"/>
        <v>--</v>
      </c>
      <c r="Q32" s="146" t="str">
        <f t="shared" si="4"/>
        <v>--</v>
      </c>
      <c r="R32" s="147" t="str">
        <f t="shared" si="15"/>
        <v>--</v>
      </c>
      <c r="S32" s="147" t="str">
        <f t="shared" si="5"/>
        <v>--</v>
      </c>
      <c r="T32" s="148" t="str">
        <f t="shared" si="6"/>
        <v>--</v>
      </c>
      <c r="U32" s="149" t="str">
        <f t="shared" si="7"/>
        <v>--</v>
      </c>
      <c r="V32" s="149" t="str">
        <f t="shared" si="8"/>
        <v>--</v>
      </c>
      <c r="W32" s="150" t="str">
        <f t="shared" si="9"/>
        <v>--</v>
      </c>
      <c r="X32" s="151" t="str">
        <f t="shared" si="10"/>
        <v>--</v>
      </c>
      <c r="Y32" s="152" t="str">
        <f t="shared" si="11"/>
        <v>--</v>
      </c>
      <c r="Z32" s="153">
        <f t="shared" si="12"/>
      </c>
      <c r="AA32" s="154">
        <f t="shared" si="13"/>
      </c>
      <c r="AB32" s="155"/>
    </row>
    <row r="33" spans="2:28" s="10" customFormat="1" ht="16.5" customHeight="1">
      <c r="B33" s="156"/>
      <c r="C33" s="128"/>
      <c r="D33" s="128"/>
      <c r="E33" s="128"/>
      <c r="F33" s="126"/>
      <c r="G33" s="126"/>
      <c r="H33" s="138"/>
      <c r="I33" s="139">
        <f t="shared" si="0"/>
        <v>115.42225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4"/>
      </c>
      <c r="P33" s="145" t="str">
        <f t="shared" si="3"/>
        <v>--</v>
      </c>
      <c r="Q33" s="146" t="str">
        <f t="shared" si="4"/>
        <v>--</v>
      </c>
      <c r="R33" s="147" t="str">
        <f t="shared" si="15"/>
        <v>--</v>
      </c>
      <c r="S33" s="147" t="str">
        <f t="shared" si="5"/>
        <v>--</v>
      </c>
      <c r="T33" s="148" t="str">
        <f t="shared" si="6"/>
        <v>--</v>
      </c>
      <c r="U33" s="149" t="str">
        <f t="shared" si="7"/>
        <v>--</v>
      </c>
      <c r="V33" s="149" t="str">
        <f t="shared" si="8"/>
        <v>--</v>
      </c>
      <c r="W33" s="150" t="str">
        <f t="shared" si="9"/>
        <v>--</v>
      </c>
      <c r="X33" s="151" t="str">
        <f t="shared" si="10"/>
        <v>--</v>
      </c>
      <c r="Y33" s="152" t="str">
        <f t="shared" si="11"/>
        <v>--</v>
      </c>
      <c r="Z33" s="153">
        <f t="shared" si="12"/>
      </c>
      <c r="AA33" s="154">
        <f t="shared" si="13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>
        <f t="shared" si="0"/>
        <v>115.42225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4"/>
      </c>
      <c r="P34" s="145" t="str">
        <f t="shared" si="3"/>
        <v>--</v>
      </c>
      <c r="Q34" s="146" t="str">
        <f t="shared" si="4"/>
        <v>--</v>
      </c>
      <c r="R34" s="147" t="str">
        <f t="shared" si="15"/>
        <v>--</v>
      </c>
      <c r="S34" s="147" t="str">
        <f t="shared" si="5"/>
        <v>--</v>
      </c>
      <c r="T34" s="148" t="str">
        <f t="shared" si="6"/>
        <v>--</v>
      </c>
      <c r="U34" s="149" t="str">
        <f t="shared" si="7"/>
        <v>--</v>
      </c>
      <c r="V34" s="149" t="str">
        <f t="shared" si="8"/>
        <v>--</v>
      </c>
      <c r="W34" s="150" t="str">
        <f t="shared" si="9"/>
        <v>--</v>
      </c>
      <c r="X34" s="151" t="str">
        <f t="shared" si="10"/>
        <v>--</v>
      </c>
      <c r="Y34" s="152" t="str">
        <f t="shared" si="11"/>
        <v>--</v>
      </c>
      <c r="Z34" s="153">
        <f t="shared" si="12"/>
      </c>
      <c r="AA34" s="154">
        <f t="shared" si="13"/>
      </c>
      <c r="AB34" s="155"/>
    </row>
    <row r="35" spans="2:28" s="10" customFormat="1" ht="16.5" customHeight="1" thickBot="1">
      <c r="B35" s="44"/>
      <c r="C35" s="157"/>
      <c r="D35" s="157"/>
      <c r="E35" s="157"/>
      <c r="F35" s="158"/>
      <c r="G35" s="159"/>
      <c r="H35" s="160"/>
      <c r="I35" s="161"/>
      <c r="J35" s="160"/>
      <c r="K35" s="160"/>
      <c r="L35" s="160"/>
      <c r="M35" s="160"/>
      <c r="N35" s="160"/>
      <c r="O35" s="162"/>
      <c r="P35" s="163"/>
      <c r="Q35" s="164"/>
      <c r="R35" s="165"/>
      <c r="S35" s="166"/>
      <c r="T35" s="166"/>
      <c r="U35" s="167"/>
      <c r="V35" s="167"/>
      <c r="W35" s="167"/>
      <c r="X35" s="168"/>
      <c r="Y35" s="169"/>
      <c r="Z35" s="170"/>
      <c r="AA35" s="171"/>
      <c r="AB35" s="155"/>
    </row>
    <row r="36" spans="2:28" s="10" customFormat="1" ht="16.5" customHeight="1" thickBot="1" thickTop="1">
      <c r="B36" s="44"/>
      <c r="C36" s="172" t="s">
        <v>73</v>
      </c>
      <c r="D36" s="420" t="s">
        <v>156</v>
      </c>
      <c r="E36" s="187"/>
      <c r="F36" s="173"/>
      <c r="G36" s="3"/>
      <c r="H36" s="5"/>
      <c r="I36" s="174"/>
      <c r="J36" s="174"/>
      <c r="K36" s="174"/>
      <c r="L36" s="174"/>
      <c r="M36" s="174"/>
      <c r="N36" s="174"/>
      <c r="O36" s="175"/>
      <c r="P36" s="176">
        <f aca="true" t="shared" si="16" ref="P36:Y36">SUM(P20:P35)</f>
        <v>0</v>
      </c>
      <c r="Q36" s="177">
        <f t="shared" si="16"/>
        <v>0</v>
      </c>
      <c r="R36" s="178">
        <f t="shared" si="16"/>
        <v>0</v>
      </c>
      <c r="S36" s="178">
        <f t="shared" si="16"/>
        <v>44493.56381574188</v>
      </c>
      <c r="T36" s="178">
        <f t="shared" si="16"/>
        <v>0</v>
      </c>
      <c r="U36" s="179">
        <f t="shared" si="16"/>
        <v>0</v>
      </c>
      <c r="V36" s="179">
        <f t="shared" si="16"/>
        <v>0</v>
      </c>
      <c r="W36" s="179">
        <f t="shared" si="16"/>
        <v>0</v>
      </c>
      <c r="X36" s="180">
        <f t="shared" si="16"/>
        <v>0</v>
      </c>
      <c r="Y36" s="181">
        <f t="shared" si="16"/>
        <v>0</v>
      </c>
      <c r="Z36" s="182"/>
      <c r="AA36" s="183">
        <f>ROUND(SUM(AA20:AA35),2)</f>
        <v>44493.56</v>
      </c>
      <c r="AB36" s="184"/>
    </row>
    <row r="37" spans="2:28" s="185" customFormat="1" ht="9.75" thickTop="1">
      <c r="B37" s="186"/>
      <c r="C37" s="187"/>
      <c r="D37" s="187"/>
      <c r="E37" s="187"/>
      <c r="F37" s="188"/>
      <c r="G37" s="189"/>
      <c r="H37" s="190"/>
      <c r="I37" s="191"/>
      <c r="J37" s="191"/>
      <c r="K37" s="191"/>
      <c r="L37" s="191"/>
      <c r="M37" s="191"/>
      <c r="N37" s="191"/>
      <c r="O37" s="192"/>
      <c r="P37" s="193"/>
      <c r="Q37" s="193"/>
      <c r="R37" s="194"/>
      <c r="S37" s="194"/>
      <c r="T37" s="195"/>
      <c r="U37" s="195"/>
      <c r="V37" s="195"/>
      <c r="W37" s="195"/>
      <c r="X37" s="195"/>
      <c r="Y37" s="195"/>
      <c r="Z37" s="195"/>
      <c r="AA37" s="196"/>
      <c r="AB37" s="197"/>
    </row>
    <row r="38" spans="2:28" s="10" customFormat="1" ht="16.5" customHeight="1" thickBot="1">
      <c r="B38" s="1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200"/>
    </row>
    <row r="39" spans="2:28" ht="13.5" thickTop="1">
      <c r="B39" s="201"/>
      <c r="AB39" s="201"/>
    </row>
    <row r="84" ht="12.75">
      <c r="B84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6"/>
  <sheetViews>
    <sheetView zoomScale="75" zoomScaleNormal="75" zoomScalePageLayoutView="0" workbookViewId="0" topLeftCell="C7">
      <selection activeCell="O20" sqref="O20:O21"/>
    </sheetView>
  </sheetViews>
  <sheetFormatPr defaultColWidth="11.421875" defaultRowHeight="12.75"/>
  <cols>
    <col min="1" max="1" width="19.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8.140625" style="1" hidden="1" customWidth="1"/>
    <col min="11" max="12" width="16.2812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+'TOT-0714'!B2</f>
        <v>ANEXO II al Memorandum D.T.E.E. N°     306   / 2015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+'TOT-0714'!B14</f>
        <v>Desde el 01 al 31 de julio de 2014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1.614</v>
      </c>
      <c r="J16" s="208"/>
      <c r="K16" s="233">
        <v>0.1795</v>
      </c>
      <c r="L16" s="64" t="s">
        <v>154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30*'TOT-0714'!B13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4.5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/>
      <c r="D22" s="269"/>
      <c r="E22" s="269"/>
      <c r="F22" s="126"/>
      <c r="G22" s="128"/>
      <c r="H22" s="419"/>
      <c r="I22" s="138"/>
      <c r="J22" s="284"/>
      <c r="K22" s="285"/>
      <c r="L22" s="285"/>
      <c r="M22" s="286"/>
      <c r="N22" s="287"/>
      <c r="O22" s="288"/>
      <c r="P22" s="289"/>
      <c r="Q22" s="288"/>
      <c r="R22" s="288"/>
      <c r="S22" s="152"/>
      <c r="T22" s="290"/>
      <c r="U22" s="291"/>
      <c r="V22" s="292"/>
      <c r="W22" s="293"/>
      <c r="X22" s="294"/>
      <c r="Y22" s="295"/>
      <c r="Z22" s="296"/>
      <c r="AA22" s="297"/>
      <c r="AB22" s="288"/>
      <c r="AC22" s="298"/>
      <c r="AD22" s="299"/>
    </row>
    <row r="23" spans="2:30" s="10" customFormat="1" ht="16.5" customHeight="1">
      <c r="B23" s="217"/>
      <c r="C23" s="269">
        <v>11</v>
      </c>
      <c r="D23" s="269">
        <v>276514</v>
      </c>
      <c r="E23" s="269">
        <v>1013</v>
      </c>
      <c r="F23" s="126" t="s">
        <v>147</v>
      </c>
      <c r="G23" s="128" t="s">
        <v>139</v>
      </c>
      <c r="H23" s="282">
        <v>150</v>
      </c>
      <c r="I23" s="138" t="s">
        <v>140</v>
      </c>
      <c r="J23" s="284">
        <f aca="true" t="shared" si="0" ref="J23:J41">H23*$I$16</f>
        <v>242.10000000000002</v>
      </c>
      <c r="K23" s="285">
        <v>41823.381944444445</v>
      </c>
      <c r="L23" s="285">
        <v>41823.680555555555</v>
      </c>
      <c r="M23" s="286">
        <f aca="true" t="shared" si="1" ref="M23:M41">IF(F23="","",(L23-K23)*24)</f>
        <v>7.166666666627862</v>
      </c>
      <c r="N23" s="287">
        <f aca="true" t="shared" si="2" ref="N23:N41">IF(F23="","",ROUND((L23-K23)*24*60,0))</f>
        <v>430</v>
      </c>
      <c r="O23" s="288" t="s">
        <v>135</v>
      </c>
      <c r="P23" s="289" t="str">
        <f aca="true" t="shared" si="3" ref="P23:P41">IF(F23="","",IF(OR(O23="P",O23="RP"),"--","NO"))</f>
        <v>--</v>
      </c>
      <c r="Q23" s="288" t="s">
        <v>132</v>
      </c>
      <c r="R23" s="288" t="str">
        <f aca="true" t="shared" si="4" ref="R23:R41">IF(F23="","","NO")</f>
        <v>NO</v>
      </c>
      <c r="S23" s="152">
        <f aca="true" t="shared" si="5" ref="S23:S41">$I$17*IF(OR(O23="P",O23="RP"),0.1,1)*IF(R23="SI",1,0.1)</f>
        <v>0.30000000000000004</v>
      </c>
      <c r="T23" s="290">
        <f aca="true" t="shared" si="6" ref="T23:T41">IF(O23="P",J23*S23*ROUND(N23/60,2),"--")</f>
        <v>520.7571000000002</v>
      </c>
      <c r="U23" s="291" t="str">
        <f aca="true" t="shared" si="7" ref="U23:U41">IF(O23="RP",J23*S23*ROUND(N23/60,2)*Q23/100,"--")</f>
        <v>--</v>
      </c>
      <c r="V23" s="292" t="str">
        <f aca="true" t="shared" si="8" ref="V23:V41">IF(AND(O23="F",P23="NO"),J23*S23,"--")</f>
        <v>--</v>
      </c>
      <c r="W23" s="293" t="str">
        <f aca="true" t="shared" si="9" ref="W23:W41">IF(O23="F",J23*S23*ROUND(N23/60,2),"--")</f>
        <v>--</v>
      </c>
      <c r="X23" s="294" t="str">
        <f aca="true" t="shared" si="10" ref="X23:X41">IF(AND(O23="R",P23="NO"),J23*S23*Q23/100,"--")</f>
        <v>--</v>
      </c>
      <c r="Y23" s="295" t="str">
        <f aca="true" t="shared" si="11" ref="Y23:Y41">IF(O23="R",J23*S23*ROUND(N23/60,2)*Q23/100,"--")</f>
        <v>--</v>
      </c>
      <c r="Z23" s="296" t="str">
        <f aca="true" t="shared" si="12" ref="Z23:Z41">IF(O23="RF",J23*S23*ROUND(N23/60,2),"--")</f>
        <v>--</v>
      </c>
      <c r="AA23" s="297" t="str">
        <f aca="true" t="shared" si="13" ref="AA23:AA41">IF(O23="RR",J23*S23*ROUND(N23/60,2)*Q23/100,"--")</f>
        <v>--</v>
      </c>
      <c r="AB23" s="288" t="s">
        <v>138</v>
      </c>
      <c r="AC23" s="298">
        <f aca="true" t="shared" si="14" ref="AC23:AC41">IF(F23="","",SUM(T23:AA23)*IF(AB23="SI",1,2))</f>
        <v>520.7571000000002</v>
      </c>
      <c r="AD23" s="299"/>
    </row>
    <row r="24" spans="2:30" s="10" customFormat="1" ht="16.5" customHeight="1">
      <c r="B24" s="217"/>
      <c r="C24" s="269">
        <v>12</v>
      </c>
      <c r="D24" s="269">
        <v>276889</v>
      </c>
      <c r="E24" s="269">
        <v>1013</v>
      </c>
      <c r="F24" s="126" t="s">
        <v>147</v>
      </c>
      <c r="G24" s="128" t="s">
        <v>139</v>
      </c>
      <c r="H24" s="282">
        <v>150</v>
      </c>
      <c r="I24" s="138" t="s">
        <v>140</v>
      </c>
      <c r="J24" s="284">
        <f t="shared" si="0"/>
        <v>242.10000000000002</v>
      </c>
      <c r="K24" s="285">
        <v>41837.40625</v>
      </c>
      <c r="L24" s="285">
        <v>41837.6875</v>
      </c>
      <c r="M24" s="286">
        <f t="shared" si="1"/>
        <v>6.75</v>
      </c>
      <c r="N24" s="287">
        <f t="shared" si="2"/>
        <v>405</v>
      </c>
      <c r="O24" s="288" t="s">
        <v>135</v>
      </c>
      <c r="P24" s="289" t="str">
        <f t="shared" si="3"/>
        <v>--</v>
      </c>
      <c r="Q24" s="288" t="s">
        <v>132</v>
      </c>
      <c r="R24" s="288" t="str">
        <f t="shared" si="4"/>
        <v>NO</v>
      </c>
      <c r="S24" s="152">
        <f t="shared" si="5"/>
        <v>0.30000000000000004</v>
      </c>
      <c r="T24" s="290">
        <f t="shared" si="6"/>
        <v>490.25250000000017</v>
      </c>
      <c r="U24" s="291" t="str">
        <f t="shared" si="7"/>
        <v>--</v>
      </c>
      <c r="V24" s="292" t="str">
        <f t="shared" si="8"/>
        <v>--</v>
      </c>
      <c r="W24" s="293" t="str">
        <f t="shared" si="9"/>
        <v>--</v>
      </c>
      <c r="X24" s="294" t="str">
        <f t="shared" si="10"/>
        <v>--</v>
      </c>
      <c r="Y24" s="295" t="str">
        <f t="shared" si="11"/>
        <v>--</v>
      </c>
      <c r="Z24" s="296" t="str">
        <f t="shared" si="12"/>
        <v>--</v>
      </c>
      <c r="AA24" s="297" t="str">
        <f t="shared" si="13"/>
        <v>--</v>
      </c>
      <c r="AB24" s="288" t="s">
        <v>138</v>
      </c>
      <c r="AC24" s="298">
        <f t="shared" si="14"/>
        <v>490.25250000000017</v>
      </c>
      <c r="AD24" s="218"/>
    </row>
    <row r="25" spans="2:30" s="10" customFormat="1" ht="16.5" customHeight="1">
      <c r="B25" s="217"/>
      <c r="C25" s="269">
        <v>13</v>
      </c>
      <c r="D25" s="269">
        <v>277105</v>
      </c>
      <c r="E25" s="269">
        <v>861</v>
      </c>
      <c r="F25" s="126" t="s">
        <v>141</v>
      </c>
      <c r="G25" s="128" t="s">
        <v>142</v>
      </c>
      <c r="H25" s="282">
        <v>20</v>
      </c>
      <c r="I25" s="138" t="s">
        <v>143</v>
      </c>
      <c r="J25" s="284">
        <f t="shared" si="0"/>
        <v>32.28</v>
      </c>
      <c r="K25" s="285">
        <v>41841.39027777778</v>
      </c>
      <c r="L25" s="285">
        <v>41841.71944444445</v>
      </c>
      <c r="M25" s="286">
        <f t="shared" si="1"/>
        <v>7.900000000081491</v>
      </c>
      <c r="N25" s="287">
        <f t="shared" si="2"/>
        <v>474</v>
      </c>
      <c r="O25" s="288" t="s">
        <v>135</v>
      </c>
      <c r="P25" s="289" t="str">
        <f t="shared" si="3"/>
        <v>--</v>
      </c>
      <c r="Q25" s="288" t="s">
        <v>132</v>
      </c>
      <c r="R25" s="288" t="str">
        <f t="shared" si="4"/>
        <v>NO</v>
      </c>
      <c r="S25" s="152">
        <f t="shared" si="5"/>
        <v>0.30000000000000004</v>
      </c>
      <c r="T25" s="290">
        <f t="shared" si="6"/>
        <v>76.5036</v>
      </c>
      <c r="U25" s="291" t="str">
        <f t="shared" si="7"/>
        <v>--</v>
      </c>
      <c r="V25" s="292" t="str">
        <f t="shared" si="8"/>
        <v>--</v>
      </c>
      <c r="W25" s="293" t="str">
        <f t="shared" si="9"/>
        <v>--</v>
      </c>
      <c r="X25" s="294" t="str">
        <f t="shared" si="10"/>
        <v>--</v>
      </c>
      <c r="Y25" s="295" t="str">
        <f t="shared" si="11"/>
        <v>--</v>
      </c>
      <c r="Z25" s="296" t="str">
        <f t="shared" si="12"/>
        <v>--</v>
      </c>
      <c r="AA25" s="297" t="str">
        <f t="shared" si="13"/>
        <v>--</v>
      </c>
      <c r="AB25" s="288" t="s">
        <v>138</v>
      </c>
      <c r="AC25" s="298">
        <f t="shared" si="14"/>
        <v>76.5036</v>
      </c>
      <c r="AD25" s="218"/>
    </row>
    <row r="26" spans="2:30" s="10" customFormat="1" ht="16.5" customHeight="1">
      <c r="B26" s="217"/>
      <c r="C26" s="269">
        <v>14</v>
      </c>
      <c r="D26" s="269">
        <v>277106</v>
      </c>
      <c r="E26" s="269">
        <v>861</v>
      </c>
      <c r="F26" s="126" t="s">
        <v>141</v>
      </c>
      <c r="G26" s="128" t="s">
        <v>142</v>
      </c>
      <c r="H26" s="282">
        <v>20</v>
      </c>
      <c r="I26" s="138" t="s">
        <v>143</v>
      </c>
      <c r="J26" s="284">
        <f t="shared" si="0"/>
        <v>32.28</v>
      </c>
      <c r="K26" s="285">
        <v>41842.41875</v>
      </c>
      <c r="L26" s="285">
        <v>41842.705555555556</v>
      </c>
      <c r="M26" s="286">
        <f t="shared" si="1"/>
        <v>6.883333333418705</v>
      </c>
      <c r="N26" s="287">
        <f t="shared" si="2"/>
        <v>413</v>
      </c>
      <c r="O26" s="288" t="s">
        <v>135</v>
      </c>
      <c r="P26" s="289" t="str">
        <f t="shared" si="3"/>
        <v>--</v>
      </c>
      <c r="Q26" s="288" t="s">
        <v>132</v>
      </c>
      <c r="R26" s="288" t="str">
        <f t="shared" si="4"/>
        <v>NO</v>
      </c>
      <c r="S26" s="152">
        <f t="shared" si="5"/>
        <v>0.30000000000000004</v>
      </c>
      <c r="T26" s="290">
        <f t="shared" si="6"/>
        <v>66.62592000000001</v>
      </c>
      <c r="U26" s="291" t="str">
        <f t="shared" si="7"/>
        <v>--</v>
      </c>
      <c r="V26" s="292" t="str">
        <f t="shared" si="8"/>
        <v>--</v>
      </c>
      <c r="W26" s="293" t="str">
        <f t="shared" si="9"/>
        <v>--</v>
      </c>
      <c r="X26" s="294" t="str">
        <f t="shared" si="10"/>
        <v>--</v>
      </c>
      <c r="Y26" s="295" t="str">
        <f t="shared" si="11"/>
        <v>--</v>
      </c>
      <c r="Z26" s="296" t="str">
        <f t="shared" si="12"/>
        <v>--</v>
      </c>
      <c r="AA26" s="297" t="str">
        <f t="shared" si="13"/>
        <v>--</v>
      </c>
      <c r="AB26" s="288" t="s">
        <v>138</v>
      </c>
      <c r="AC26" s="298">
        <f t="shared" si="14"/>
        <v>66.62592000000001</v>
      </c>
      <c r="AD26" s="218"/>
    </row>
    <row r="27" spans="2:30" s="10" customFormat="1" ht="16.5" customHeight="1">
      <c r="B27" s="217"/>
      <c r="C27" s="269">
        <v>15</v>
      </c>
      <c r="D27" s="269">
        <v>277107</v>
      </c>
      <c r="E27" s="269">
        <v>4269</v>
      </c>
      <c r="F27" s="126" t="s">
        <v>141</v>
      </c>
      <c r="G27" s="128" t="s">
        <v>144</v>
      </c>
      <c r="H27" s="282">
        <v>20</v>
      </c>
      <c r="I27" s="138" t="s">
        <v>143</v>
      </c>
      <c r="J27" s="284">
        <f t="shared" si="0"/>
        <v>32.28</v>
      </c>
      <c r="K27" s="285">
        <v>41843.38125</v>
      </c>
      <c r="L27" s="285">
        <v>41843.680555555555</v>
      </c>
      <c r="M27" s="286">
        <f t="shared" si="1"/>
        <v>7.183333333348855</v>
      </c>
      <c r="N27" s="287">
        <f t="shared" si="2"/>
        <v>431</v>
      </c>
      <c r="O27" s="288" t="s">
        <v>135</v>
      </c>
      <c r="P27" s="289" t="str">
        <f t="shared" si="3"/>
        <v>--</v>
      </c>
      <c r="Q27" s="288" t="s">
        <v>132</v>
      </c>
      <c r="R27" s="288" t="str">
        <f t="shared" si="4"/>
        <v>NO</v>
      </c>
      <c r="S27" s="152">
        <f t="shared" si="5"/>
        <v>0.30000000000000004</v>
      </c>
      <c r="T27" s="290">
        <f t="shared" si="6"/>
        <v>69.53112</v>
      </c>
      <c r="U27" s="291" t="str">
        <f t="shared" si="7"/>
        <v>--</v>
      </c>
      <c r="V27" s="292" t="str">
        <f t="shared" si="8"/>
        <v>--</v>
      </c>
      <c r="W27" s="293" t="str">
        <f t="shared" si="9"/>
        <v>--</v>
      </c>
      <c r="X27" s="294" t="str">
        <f t="shared" si="10"/>
        <v>--</v>
      </c>
      <c r="Y27" s="295" t="str">
        <f t="shared" si="11"/>
        <v>--</v>
      </c>
      <c r="Z27" s="296" t="str">
        <f t="shared" si="12"/>
        <v>--</v>
      </c>
      <c r="AA27" s="297" t="str">
        <f t="shared" si="13"/>
        <v>--</v>
      </c>
      <c r="AB27" s="288" t="s">
        <v>138</v>
      </c>
      <c r="AC27" s="298">
        <f t="shared" si="14"/>
        <v>69.53112</v>
      </c>
      <c r="AD27" s="218"/>
    </row>
    <row r="28" spans="2:30" s="10" customFormat="1" ht="16.5" customHeight="1">
      <c r="B28" s="217"/>
      <c r="C28" s="269">
        <v>16</v>
      </c>
      <c r="D28" s="269">
        <v>277108</v>
      </c>
      <c r="E28" s="269">
        <v>4477</v>
      </c>
      <c r="F28" s="126" t="s">
        <v>141</v>
      </c>
      <c r="G28" s="128" t="s">
        <v>155</v>
      </c>
      <c r="H28" s="419">
        <v>20</v>
      </c>
      <c r="I28" s="138" t="s">
        <v>143</v>
      </c>
      <c r="J28" s="284">
        <f t="shared" si="0"/>
        <v>32.28</v>
      </c>
      <c r="K28" s="285">
        <v>41844.470138888886</v>
      </c>
      <c r="L28" s="285">
        <v>41844.54236111111</v>
      </c>
      <c r="M28" s="286">
        <f t="shared" si="1"/>
        <v>1.7333333333954215</v>
      </c>
      <c r="N28" s="287">
        <f t="shared" si="2"/>
        <v>104</v>
      </c>
      <c r="O28" s="288" t="s">
        <v>135</v>
      </c>
      <c r="P28" s="289" t="str">
        <f t="shared" si="3"/>
        <v>--</v>
      </c>
      <c r="Q28" s="288" t="s">
        <v>132</v>
      </c>
      <c r="R28" s="288" t="str">
        <f t="shared" si="4"/>
        <v>NO</v>
      </c>
      <c r="S28" s="152">
        <f t="shared" si="5"/>
        <v>0.30000000000000004</v>
      </c>
      <c r="T28" s="290">
        <f t="shared" si="6"/>
        <v>16.753320000000002</v>
      </c>
      <c r="U28" s="291" t="str">
        <f t="shared" si="7"/>
        <v>--</v>
      </c>
      <c r="V28" s="292" t="str">
        <f t="shared" si="8"/>
        <v>--</v>
      </c>
      <c r="W28" s="293" t="str">
        <f t="shared" si="9"/>
        <v>--</v>
      </c>
      <c r="X28" s="294" t="str">
        <f t="shared" si="10"/>
        <v>--</v>
      </c>
      <c r="Y28" s="295" t="str">
        <f t="shared" si="11"/>
        <v>--</v>
      </c>
      <c r="Z28" s="296" t="str">
        <f t="shared" si="12"/>
        <v>--</v>
      </c>
      <c r="AA28" s="297" t="str">
        <f t="shared" si="13"/>
        <v>--</v>
      </c>
      <c r="AB28" s="288" t="s">
        <v>138</v>
      </c>
      <c r="AC28" s="298">
        <f t="shared" si="14"/>
        <v>16.753320000000002</v>
      </c>
      <c r="AD28" s="218"/>
    </row>
    <row r="29" spans="2:30" s="10" customFormat="1" ht="16.5" customHeight="1">
      <c r="B29" s="217"/>
      <c r="C29" s="269"/>
      <c r="D29" s="269"/>
      <c r="E29" s="269"/>
      <c r="F29" s="126"/>
      <c r="G29" s="128"/>
      <c r="H29" s="282"/>
      <c r="I29" s="283"/>
      <c r="J29" s="284">
        <f t="shared" si="0"/>
        <v>0</v>
      </c>
      <c r="K29" s="285"/>
      <c r="L29" s="285"/>
      <c r="M29" s="286">
        <f t="shared" si="1"/>
      </c>
      <c r="N29" s="287">
        <f t="shared" si="2"/>
      </c>
      <c r="O29" s="288"/>
      <c r="P29" s="289">
        <f t="shared" si="3"/>
      </c>
      <c r="Q29" s="289">
        <f aca="true" t="shared" si="15" ref="Q29:Q41">IF(F29="","","--")</f>
      </c>
      <c r="R29" s="288">
        <f t="shared" si="4"/>
      </c>
      <c r="S29" s="152">
        <f t="shared" si="5"/>
        <v>3</v>
      </c>
      <c r="T29" s="290" t="str">
        <f t="shared" si="6"/>
        <v>--</v>
      </c>
      <c r="U29" s="291" t="str">
        <f t="shared" si="7"/>
        <v>--</v>
      </c>
      <c r="V29" s="292" t="str">
        <f t="shared" si="8"/>
        <v>--</v>
      </c>
      <c r="W29" s="293" t="str">
        <f t="shared" si="9"/>
        <v>--</v>
      </c>
      <c r="X29" s="294" t="str">
        <f t="shared" si="10"/>
        <v>--</v>
      </c>
      <c r="Y29" s="295" t="str">
        <f t="shared" si="11"/>
        <v>--</v>
      </c>
      <c r="Z29" s="296" t="str">
        <f t="shared" si="12"/>
        <v>--</v>
      </c>
      <c r="AA29" s="297" t="str">
        <f t="shared" si="13"/>
        <v>--</v>
      </c>
      <c r="AB29" s="288">
        <f aca="true" t="shared" si="16" ref="AB29:AB41">IF(F29="","","SI")</f>
      </c>
      <c r="AC29" s="298">
        <f t="shared" si="14"/>
      </c>
      <c r="AD29" s="218"/>
    </row>
    <row r="30" spans="2:30" s="10" customFormat="1" ht="16.5" customHeight="1">
      <c r="B30" s="217"/>
      <c r="C30" s="269"/>
      <c r="D30" s="269"/>
      <c r="E30" s="269"/>
      <c r="F30" s="126"/>
      <c r="G30" s="128"/>
      <c r="H30" s="282"/>
      <c r="I30" s="283"/>
      <c r="J30" s="284">
        <f t="shared" si="0"/>
        <v>0</v>
      </c>
      <c r="K30" s="285"/>
      <c r="L30" s="285"/>
      <c r="M30" s="286">
        <f t="shared" si="1"/>
      </c>
      <c r="N30" s="287">
        <f t="shared" si="2"/>
      </c>
      <c r="O30" s="288"/>
      <c r="P30" s="289">
        <f t="shared" si="3"/>
      </c>
      <c r="Q30" s="289">
        <f t="shared" si="15"/>
      </c>
      <c r="R30" s="288">
        <f t="shared" si="4"/>
      </c>
      <c r="S30" s="152">
        <f t="shared" si="5"/>
        <v>3</v>
      </c>
      <c r="T30" s="290" t="str">
        <f t="shared" si="6"/>
        <v>--</v>
      </c>
      <c r="U30" s="291" t="str">
        <f t="shared" si="7"/>
        <v>--</v>
      </c>
      <c r="V30" s="292" t="str">
        <f t="shared" si="8"/>
        <v>--</v>
      </c>
      <c r="W30" s="293" t="str">
        <f t="shared" si="9"/>
        <v>--</v>
      </c>
      <c r="X30" s="294" t="str">
        <f t="shared" si="10"/>
        <v>--</v>
      </c>
      <c r="Y30" s="295" t="str">
        <f t="shared" si="11"/>
        <v>--</v>
      </c>
      <c r="Z30" s="296" t="str">
        <f t="shared" si="12"/>
        <v>--</v>
      </c>
      <c r="AA30" s="297" t="str">
        <f t="shared" si="13"/>
        <v>--</v>
      </c>
      <c r="AB30" s="288">
        <f t="shared" si="16"/>
      </c>
      <c r="AC30" s="298">
        <f t="shared" si="14"/>
      </c>
      <c r="AD30" s="218"/>
    </row>
    <row r="31" spans="2:30" s="10" customFormat="1" ht="16.5" customHeight="1">
      <c r="B31" s="217"/>
      <c r="C31" s="269" t="s">
        <v>172</v>
      </c>
      <c r="D31" s="269"/>
      <c r="E31" s="269"/>
      <c r="F31" s="126"/>
      <c r="G31" s="128"/>
      <c r="H31" s="282"/>
      <c r="I31" s="283"/>
      <c r="J31" s="284">
        <f t="shared" si="0"/>
        <v>0</v>
      </c>
      <c r="K31" s="285"/>
      <c r="L31" s="285"/>
      <c r="M31" s="286">
        <f t="shared" si="1"/>
      </c>
      <c r="N31" s="287">
        <f t="shared" si="2"/>
      </c>
      <c r="O31" s="288"/>
      <c r="P31" s="289">
        <f t="shared" si="3"/>
      </c>
      <c r="Q31" s="289">
        <f t="shared" si="15"/>
      </c>
      <c r="R31" s="288">
        <f t="shared" si="4"/>
      </c>
      <c r="S31" s="152">
        <f t="shared" si="5"/>
        <v>3</v>
      </c>
      <c r="T31" s="290" t="str">
        <f t="shared" si="6"/>
        <v>--</v>
      </c>
      <c r="U31" s="291" t="str">
        <f t="shared" si="7"/>
        <v>--</v>
      </c>
      <c r="V31" s="292" t="str">
        <f t="shared" si="8"/>
        <v>--</v>
      </c>
      <c r="W31" s="293" t="str">
        <f t="shared" si="9"/>
        <v>--</v>
      </c>
      <c r="X31" s="294" t="str">
        <f t="shared" si="10"/>
        <v>--</v>
      </c>
      <c r="Y31" s="295" t="str">
        <f t="shared" si="11"/>
        <v>--</v>
      </c>
      <c r="Z31" s="296" t="str">
        <f t="shared" si="12"/>
        <v>--</v>
      </c>
      <c r="AA31" s="297" t="str">
        <f t="shared" si="13"/>
        <v>--</v>
      </c>
      <c r="AB31" s="288">
        <f t="shared" si="16"/>
      </c>
      <c r="AC31" s="298">
        <f t="shared" si="14"/>
      </c>
      <c r="AD31" s="218"/>
    </row>
    <row r="32" spans="2:30" s="10" customFormat="1" ht="16.5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>
        <f t="shared" si="1"/>
      </c>
      <c r="N32" s="287">
        <f t="shared" si="2"/>
      </c>
      <c r="O32" s="288"/>
      <c r="P32" s="289">
        <f t="shared" si="3"/>
      </c>
      <c r="Q32" s="289">
        <f t="shared" si="15"/>
      </c>
      <c r="R32" s="288">
        <f t="shared" si="4"/>
      </c>
      <c r="S32" s="152">
        <f t="shared" si="5"/>
        <v>3</v>
      </c>
      <c r="T32" s="290" t="str">
        <f t="shared" si="6"/>
        <v>--</v>
      </c>
      <c r="U32" s="291" t="str">
        <f t="shared" si="7"/>
        <v>--</v>
      </c>
      <c r="V32" s="292" t="str">
        <f t="shared" si="8"/>
        <v>--</v>
      </c>
      <c r="W32" s="293" t="str">
        <f t="shared" si="9"/>
        <v>--</v>
      </c>
      <c r="X32" s="294" t="str">
        <f t="shared" si="10"/>
        <v>--</v>
      </c>
      <c r="Y32" s="295" t="str">
        <f t="shared" si="11"/>
        <v>--</v>
      </c>
      <c r="Z32" s="296" t="str">
        <f t="shared" si="12"/>
        <v>--</v>
      </c>
      <c r="AA32" s="297" t="str">
        <f t="shared" si="13"/>
        <v>--</v>
      </c>
      <c r="AB32" s="288">
        <f t="shared" si="16"/>
      </c>
      <c r="AC32" s="298">
        <f t="shared" si="14"/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>
        <f t="shared" si="1"/>
      </c>
      <c r="N33" s="287">
        <f t="shared" si="2"/>
      </c>
      <c r="O33" s="288"/>
      <c r="P33" s="289">
        <f t="shared" si="3"/>
      </c>
      <c r="Q33" s="289">
        <f t="shared" si="15"/>
      </c>
      <c r="R33" s="288">
        <f t="shared" si="4"/>
      </c>
      <c r="S33" s="152">
        <f t="shared" si="5"/>
        <v>3</v>
      </c>
      <c r="T33" s="290" t="str">
        <f t="shared" si="6"/>
        <v>--</v>
      </c>
      <c r="U33" s="291" t="str">
        <f t="shared" si="7"/>
        <v>--</v>
      </c>
      <c r="V33" s="292" t="str">
        <f t="shared" si="8"/>
        <v>--</v>
      </c>
      <c r="W33" s="293" t="str">
        <f t="shared" si="9"/>
        <v>--</v>
      </c>
      <c r="X33" s="294" t="str">
        <f t="shared" si="10"/>
        <v>--</v>
      </c>
      <c r="Y33" s="295" t="str">
        <f t="shared" si="11"/>
        <v>--</v>
      </c>
      <c r="Z33" s="296" t="str">
        <f t="shared" si="12"/>
        <v>--</v>
      </c>
      <c r="AA33" s="297" t="str">
        <f t="shared" si="13"/>
        <v>--</v>
      </c>
      <c r="AB33" s="288">
        <f t="shared" si="16"/>
      </c>
      <c r="AC33" s="298">
        <f t="shared" si="14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>
        <f t="shared" si="1"/>
      </c>
      <c r="N34" s="287">
        <f t="shared" si="2"/>
      </c>
      <c r="O34" s="288"/>
      <c r="P34" s="289">
        <f t="shared" si="3"/>
      </c>
      <c r="Q34" s="289">
        <f t="shared" si="15"/>
      </c>
      <c r="R34" s="288">
        <f t="shared" si="4"/>
      </c>
      <c r="S34" s="152">
        <f t="shared" si="5"/>
        <v>3</v>
      </c>
      <c r="T34" s="290" t="str">
        <f t="shared" si="6"/>
        <v>--</v>
      </c>
      <c r="U34" s="291" t="str">
        <f t="shared" si="7"/>
        <v>--</v>
      </c>
      <c r="V34" s="292" t="str">
        <f t="shared" si="8"/>
        <v>--</v>
      </c>
      <c r="W34" s="293" t="str">
        <f t="shared" si="9"/>
        <v>--</v>
      </c>
      <c r="X34" s="294" t="str">
        <f t="shared" si="10"/>
        <v>--</v>
      </c>
      <c r="Y34" s="295" t="str">
        <f t="shared" si="11"/>
        <v>--</v>
      </c>
      <c r="Z34" s="296" t="str">
        <f t="shared" si="12"/>
        <v>--</v>
      </c>
      <c r="AA34" s="297" t="str">
        <f t="shared" si="13"/>
        <v>--</v>
      </c>
      <c r="AB34" s="288">
        <f t="shared" si="16"/>
      </c>
      <c r="AC34" s="298">
        <f t="shared" si="14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3"/>
      </c>
      <c r="Q35" s="289">
        <f t="shared" si="15"/>
      </c>
      <c r="R35" s="288">
        <f t="shared" si="4"/>
      </c>
      <c r="S35" s="152">
        <f t="shared" si="5"/>
        <v>3</v>
      </c>
      <c r="T35" s="290" t="str">
        <f t="shared" si="6"/>
        <v>--</v>
      </c>
      <c r="U35" s="291" t="str">
        <f t="shared" si="7"/>
        <v>--</v>
      </c>
      <c r="V35" s="292" t="str">
        <f t="shared" si="8"/>
        <v>--</v>
      </c>
      <c r="W35" s="293" t="str">
        <f t="shared" si="9"/>
        <v>--</v>
      </c>
      <c r="X35" s="294" t="str">
        <f t="shared" si="10"/>
        <v>--</v>
      </c>
      <c r="Y35" s="295" t="str">
        <f t="shared" si="11"/>
        <v>--</v>
      </c>
      <c r="Z35" s="296" t="str">
        <f t="shared" si="12"/>
        <v>--</v>
      </c>
      <c r="AA35" s="297" t="str">
        <f t="shared" si="13"/>
        <v>--</v>
      </c>
      <c r="AB35" s="288">
        <f t="shared" si="16"/>
      </c>
      <c r="AC35" s="298">
        <f t="shared" si="14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3"/>
      </c>
      <c r="Q36" s="289">
        <f t="shared" si="15"/>
      </c>
      <c r="R36" s="288">
        <f t="shared" si="4"/>
      </c>
      <c r="S36" s="152">
        <f t="shared" si="5"/>
        <v>3</v>
      </c>
      <c r="T36" s="290" t="str">
        <f t="shared" si="6"/>
        <v>--</v>
      </c>
      <c r="U36" s="291" t="str">
        <f t="shared" si="7"/>
        <v>--</v>
      </c>
      <c r="V36" s="292" t="str">
        <f t="shared" si="8"/>
        <v>--</v>
      </c>
      <c r="W36" s="293" t="str">
        <f t="shared" si="9"/>
        <v>--</v>
      </c>
      <c r="X36" s="294" t="str">
        <f t="shared" si="10"/>
        <v>--</v>
      </c>
      <c r="Y36" s="295" t="str">
        <f t="shared" si="11"/>
        <v>--</v>
      </c>
      <c r="Z36" s="296" t="str">
        <f t="shared" si="12"/>
        <v>--</v>
      </c>
      <c r="AA36" s="297" t="str">
        <f t="shared" si="13"/>
        <v>--</v>
      </c>
      <c r="AB36" s="288">
        <f t="shared" si="16"/>
      </c>
      <c r="AC36" s="298">
        <f t="shared" si="14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3"/>
      </c>
      <c r="Q37" s="289">
        <f t="shared" si="15"/>
      </c>
      <c r="R37" s="288">
        <f t="shared" si="4"/>
      </c>
      <c r="S37" s="152">
        <f t="shared" si="5"/>
        <v>3</v>
      </c>
      <c r="T37" s="290" t="str">
        <f t="shared" si="6"/>
        <v>--</v>
      </c>
      <c r="U37" s="291" t="str">
        <f t="shared" si="7"/>
        <v>--</v>
      </c>
      <c r="V37" s="292" t="str">
        <f t="shared" si="8"/>
        <v>--</v>
      </c>
      <c r="W37" s="293" t="str">
        <f t="shared" si="9"/>
        <v>--</v>
      </c>
      <c r="X37" s="294" t="str">
        <f t="shared" si="10"/>
        <v>--</v>
      </c>
      <c r="Y37" s="295" t="str">
        <f t="shared" si="11"/>
        <v>--</v>
      </c>
      <c r="Z37" s="296" t="str">
        <f t="shared" si="12"/>
        <v>--</v>
      </c>
      <c r="AA37" s="297" t="str">
        <f t="shared" si="13"/>
        <v>--</v>
      </c>
      <c r="AB37" s="288">
        <f t="shared" si="16"/>
      </c>
      <c r="AC37" s="298">
        <f t="shared" si="14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3"/>
      </c>
      <c r="Q38" s="289">
        <f t="shared" si="15"/>
      </c>
      <c r="R38" s="288">
        <f t="shared" si="4"/>
      </c>
      <c r="S38" s="152">
        <f t="shared" si="5"/>
        <v>3</v>
      </c>
      <c r="T38" s="290" t="str">
        <f t="shared" si="6"/>
        <v>--</v>
      </c>
      <c r="U38" s="291" t="str">
        <f t="shared" si="7"/>
        <v>--</v>
      </c>
      <c r="V38" s="292" t="str">
        <f t="shared" si="8"/>
        <v>--</v>
      </c>
      <c r="W38" s="293" t="str">
        <f t="shared" si="9"/>
        <v>--</v>
      </c>
      <c r="X38" s="294" t="str">
        <f t="shared" si="10"/>
        <v>--</v>
      </c>
      <c r="Y38" s="295" t="str">
        <f t="shared" si="11"/>
        <v>--</v>
      </c>
      <c r="Z38" s="296" t="str">
        <f t="shared" si="12"/>
        <v>--</v>
      </c>
      <c r="AA38" s="297" t="str">
        <f t="shared" si="13"/>
        <v>--</v>
      </c>
      <c r="AB38" s="288">
        <f t="shared" si="16"/>
      </c>
      <c r="AC38" s="298">
        <f t="shared" si="14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3"/>
      </c>
      <c r="Q39" s="289">
        <f t="shared" si="15"/>
      </c>
      <c r="R39" s="288">
        <f t="shared" si="4"/>
      </c>
      <c r="S39" s="152">
        <f t="shared" si="5"/>
        <v>3</v>
      </c>
      <c r="T39" s="290" t="str">
        <f t="shared" si="6"/>
        <v>--</v>
      </c>
      <c r="U39" s="291" t="str">
        <f t="shared" si="7"/>
        <v>--</v>
      </c>
      <c r="V39" s="292" t="str">
        <f t="shared" si="8"/>
        <v>--</v>
      </c>
      <c r="W39" s="293" t="str">
        <f t="shared" si="9"/>
        <v>--</v>
      </c>
      <c r="X39" s="294" t="str">
        <f t="shared" si="10"/>
        <v>--</v>
      </c>
      <c r="Y39" s="295" t="str">
        <f t="shared" si="11"/>
        <v>--</v>
      </c>
      <c r="Z39" s="296" t="str">
        <f t="shared" si="12"/>
        <v>--</v>
      </c>
      <c r="AA39" s="297" t="str">
        <f t="shared" si="13"/>
        <v>--</v>
      </c>
      <c r="AB39" s="288">
        <f t="shared" si="16"/>
      </c>
      <c r="AC39" s="298">
        <f t="shared" si="14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3"/>
      </c>
      <c r="Q40" s="289">
        <f t="shared" si="15"/>
      </c>
      <c r="R40" s="288">
        <f t="shared" si="4"/>
      </c>
      <c r="S40" s="152">
        <f t="shared" si="5"/>
        <v>3</v>
      </c>
      <c r="T40" s="290" t="str">
        <f t="shared" si="6"/>
        <v>--</v>
      </c>
      <c r="U40" s="291" t="str">
        <f t="shared" si="7"/>
        <v>--</v>
      </c>
      <c r="V40" s="292" t="str">
        <f t="shared" si="8"/>
        <v>--</v>
      </c>
      <c r="W40" s="293" t="str">
        <f t="shared" si="9"/>
        <v>--</v>
      </c>
      <c r="X40" s="294" t="str">
        <f t="shared" si="10"/>
        <v>--</v>
      </c>
      <c r="Y40" s="295" t="str">
        <f t="shared" si="11"/>
        <v>--</v>
      </c>
      <c r="Z40" s="296" t="str">
        <f t="shared" si="12"/>
        <v>--</v>
      </c>
      <c r="AA40" s="297" t="str">
        <f t="shared" si="13"/>
        <v>--</v>
      </c>
      <c r="AB40" s="288">
        <f t="shared" si="16"/>
      </c>
      <c r="AC40" s="298">
        <f t="shared" si="14"/>
      </c>
      <c r="AD40" s="218"/>
    </row>
    <row r="41" spans="2:30" s="10" customFormat="1" ht="16.5" customHeight="1">
      <c r="B41" s="217"/>
      <c r="C41" s="269"/>
      <c r="D41" s="269"/>
      <c r="E41" s="269"/>
      <c r="F41" s="126"/>
      <c r="G41" s="128"/>
      <c r="H41" s="282"/>
      <c r="I41" s="283"/>
      <c r="J41" s="284">
        <f t="shared" si="0"/>
        <v>0</v>
      </c>
      <c r="K41" s="285"/>
      <c r="L41" s="285"/>
      <c r="M41" s="286">
        <f t="shared" si="1"/>
      </c>
      <c r="N41" s="287">
        <f t="shared" si="2"/>
      </c>
      <c r="O41" s="288"/>
      <c r="P41" s="289">
        <f t="shared" si="3"/>
      </c>
      <c r="Q41" s="289">
        <f t="shared" si="15"/>
      </c>
      <c r="R41" s="288">
        <f t="shared" si="4"/>
      </c>
      <c r="S41" s="152">
        <f t="shared" si="5"/>
        <v>3</v>
      </c>
      <c r="T41" s="290" t="str">
        <f t="shared" si="6"/>
        <v>--</v>
      </c>
      <c r="U41" s="291" t="str">
        <f t="shared" si="7"/>
        <v>--</v>
      </c>
      <c r="V41" s="292" t="str">
        <f t="shared" si="8"/>
        <v>--</v>
      </c>
      <c r="W41" s="293" t="str">
        <f t="shared" si="9"/>
        <v>--</v>
      </c>
      <c r="X41" s="294" t="str">
        <f t="shared" si="10"/>
        <v>--</v>
      </c>
      <c r="Y41" s="295" t="str">
        <f t="shared" si="11"/>
        <v>--</v>
      </c>
      <c r="Z41" s="296" t="str">
        <f t="shared" si="12"/>
        <v>--</v>
      </c>
      <c r="AA41" s="297" t="str">
        <f t="shared" si="13"/>
        <v>--</v>
      </c>
      <c r="AB41" s="288">
        <f t="shared" si="16"/>
      </c>
      <c r="AC41" s="298">
        <f t="shared" si="14"/>
      </c>
      <c r="AD41" s="218"/>
    </row>
    <row r="42" spans="2:30" s="10" customFormat="1" ht="16.5" customHeight="1" thickBot="1">
      <c r="B42" s="217"/>
      <c r="C42" s="300"/>
      <c r="D42" s="300"/>
      <c r="E42" s="300"/>
      <c r="F42" s="300"/>
      <c r="G42" s="300"/>
      <c r="H42" s="300"/>
      <c r="I42" s="300"/>
      <c r="J42" s="301"/>
      <c r="K42" s="300"/>
      <c r="L42" s="300"/>
      <c r="M42" s="300"/>
      <c r="N42" s="300"/>
      <c r="O42" s="300"/>
      <c r="P42" s="300"/>
      <c r="Q42" s="300"/>
      <c r="R42" s="300"/>
      <c r="S42" s="302"/>
      <c r="T42" s="303"/>
      <c r="U42" s="304"/>
      <c r="V42" s="305"/>
      <c r="W42" s="306"/>
      <c r="X42" s="307"/>
      <c r="Y42" s="308"/>
      <c r="Z42" s="309"/>
      <c r="AA42" s="310"/>
      <c r="AB42" s="300"/>
      <c r="AC42" s="311"/>
      <c r="AD42" s="218"/>
    </row>
    <row r="43" spans="2:30" s="10" customFormat="1" ht="16.5" customHeight="1" thickBot="1" thickTop="1">
      <c r="B43" s="217"/>
      <c r="C43" s="172" t="s">
        <v>73</v>
      </c>
      <c r="D43" s="420" t="s">
        <v>157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12">
        <f>SUM(T20:T42)</f>
        <v>1240.4235600000004</v>
      </c>
      <c r="U43" s="313">
        <f>SUM(U20:U42)</f>
        <v>0</v>
      </c>
      <c r="V43" s="314">
        <f>SUM(V20:V42)</f>
        <v>0</v>
      </c>
      <c r="W43" s="315">
        <f>SUM(W22:W42)</f>
        <v>0</v>
      </c>
      <c r="X43" s="316">
        <f>SUM(X20:X42)</f>
        <v>0</v>
      </c>
      <c r="Y43" s="316">
        <f>SUM(Y22:Y42)</f>
        <v>0</v>
      </c>
      <c r="Z43" s="317">
        <f>SUM(Z20:Z42)</f>
        <v>0</v>
      </c>
      <c r="AA43" s="318">
        <f>SUM(AA22:AA42)</f>
        <v>0</v>
      </c>
      <c r="AB43" s="319"/>
      <c r="AC43" s="320">
        <f>ROUND(SUM(AC20:AC42),2)</f>
        <v>1240.42</v>
      </c>
      <c r="AD43" s="218"/>
    </row>
    <row r="44" spans="2:30" s="185" customFormat="1" ht="9.75" thickTop="1">
      <c r="B44" s="321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3"/>
      <c r="U44" s="323"/>
      <c r="V44" s="323"/>
      <c r="W44" s="323"/>
      <c r="X44" s="323"/>
      <c r="Y44" s="323"/>
      <c r="Z44" s="323"/>
      <c r="AA44" s="323"/>
      <c r="AB44" s="322"/>
      <c r="AC44" s="324"/>
      <c r="AD44" s="325"/>
    </row>
    <row r="45" spans="2:30" s="10" customFormat="1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2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5" zoomScaleNormal="75" zoomScalePageLayoutView="0" workbookViewId="0" topLeftCell="A1">
      <selection activeCell="O20" sqref="O20:O21"/>
    </sheetView>
  </sheetViews>
  <sheetFormatPr defaultColWidth="11.421875" defaultRowHeight="12.75"/>
  <cols>
    <col min="1" max="1" width="19.574218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6.2812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+'TOT-0714'!B2</f>
        <v>ANEXO II al Memorandum D.T.E.E. N°     306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+'TOT-0714'!B14</f>
        <v>Desde el 01 al 31 de julio de 2014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42.946</v>
      </c>
      <c r="H14" s="337">
        <f>60*'TOT-0714'!B13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21.473</v>
      </c>
      <c r="H15" s="337">
        <f>50*'TOT-0714'!B13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16.111</v>
      </c>
      <c r="H16" s="341">
        <f>25*'TOT-0714'!B13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6">
        <v>16.111</v>
      </c>
      <c r="H17" s="345">
        <f>20*'TOT-0714'!B13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4.5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17</v>
      </c>
      <c r="D22" s="269">
        <v>276511</v>
      </c>
      <c r="E22" s="269">
        <v>885</v>
      </c>
      <c r="F22" s="366" t="s">
        <v>141</v>
      </c>
      <c r="G22" s="366" t="s">
        <v>145</v>
      </c>
      <c r="H22" s="379">
        <v>66</v>
      </c>
      <c r="I22" s="368">
        <f aca="true" t="shared" si="0" ref="I22:I41">IF(H22=220,$G$14,IF(AND(H22&lt;=132,H22&gt;=66),$G$15,IF(AND(H22&lt;66,H22&gt;=33),$G$16,$G$17)))</f>
        <v>21.473</v>
      </c>
      <c r="J22" s="369">
        <v>41822.37569444445</v>
      </c>
      <c r="K22" s="370">
        <v>41822.58611111111</v>
      </c>
      <c r="L22" s="286">
        <f aca="true" t="shared" si="1" ref="L22:L41">IF(F22="","",(K22-J22)*24)</f>
        <v>5.049999999871943</v>
      </c>
      <c r="M22" s="371">
        <f aca="true" t="shared" si="2" ref="M22:M41">IF(F22="","",ROUND((K22-J22)*24*60,0))</f>
        <v>303</v>
      </c>
      <c r="N22" s="288" t="s">
        <v>135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50</v>
      </c>
      <c r="Q22" s="373">
        <f aca="true" t="shared" si="4" ref="Q22:Q41">IF(N22="P",I22*P22*ROUND(M22/60,2)*0.1,"--")</f>
        <v>542.1932499999999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138</v>
      </c>
      <c r="V22" s="380">
        <f aca="true" t="shared" si="8" ref="V22:V41">IF(F22="","",SUM(Q22:T22)*IF(U22="SI",1,2)*IF(H22="500/220",0,1))</f>
        <v>542.1932499999999</v>
      </c>
      <c r="W22" s="299"/>
    </row>
    <row r="23" spans="2:23" s="10" customFormat="1" ht="16.5" customHeight="1">
      <c r="B23" s="44"/>
      <c r="C23" s="272">
        <v>18</v>
      </c>
      <c r="D23" s="269">
        <v>276890</v>
      </c>
      <c r="E23" s="269">
        <v>887</v>
      </c>
      <c r="F23" s="366" t="s">
        <v>141</v>
      </c>
      <c r="G23" s="366" t="s">
        <v>146</v>
      </c>
      <c r="H23" s="367">
        <v>66</v>
      </c>
      <c r="I23" s="368">
        <f t="shared" si="0"/>
        <v>21.473</v>
      </c>
      <c r="J23" s="369">
        <v>41837.58541666667</v>
      </c>
      <c r="K23" s="370">
        <v>41837.694444444445</v>
      </c>
      <c r="L23" s="286">
        <f t="shared" si="1"/>
        <v>2.616666666639503</v>
      </c>
      <c r="M23" s="371">
        <f t="shared" si="2"/>
        <v>157</v>
      </c>
      <c r="N23" s="288" t="s">
        <v>135</v>
      </c>
      <c r="O23" s="288" t="str">
        <f aca="true" t="shared" si="9" ref="O23:O41">IF(F23="","",IF(OR(N23="P",N23="RP"),"--","NO"))</f>
        <v>--</v>
      </c>
      <c r="P23" s="372">
        <f t="shared" si="3"/>
        <v>50</v>
      </c>
      <c r="Q23" s="373">
        <f t="shared" si="4"/>
        <v>281.2963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">
        <v>138</v>
      </c>
      <c r="V23" s="380">
        <f t="shared" si="8"/>
        <v>281.2963</v>
      </c>
      <c r="W23" s="299"/>
    </row>
    <row r="24" spans="2:23" s="10" customFormat="1" ht="16.5" customHeight="1">
      <c r="B24" s="44"/>
      <c r="C24" s="272">
        <v>19</v>
      </c>
      <c r="D24" s="269">
        <v>277463</v>
      </c>
      <c r="E24" s="269">
        <v>895</v>
      </c>
      <c r="F24" s="366" t="s">
        <v>147</v>
      </c>
      <c r="G24" s="366" t="s">
        <v>148</v>
      </c>
      <c r="H24" s="367">
        <v>66</v>
      </c>
      <c r="I24" s="368">
        <f t="shared" si="0"/>
        <v>21.473</v>
      </c>
      <c r="J24" s="369">
        <v>41849.393055555556</v>
      </c>
      <c r="K24" s="370">
        <v>41849.75555555556</v>
      </c>
      <c r="L24" s="286">
        <f t="shared" si="1"/>
        <v>8.70000000006985</v>
      </c>
      <c r="M24" s="371">
        <f t="shared" si="2"/>
        <v>522</v>
      </c>
      <c r="N24" s="288" t="s">
        <v>135</v>
      </c>
      <c r="O24" s="288" t="str">
        <f t="shared" si="9"/>
        <v>--</v>
      </c>
      <c r="P24" s="372">
        <f t="shared" si="3"/>
        <v>50</v>
      </c>
      <c r="Q24" s="373">
        <f t="shared" si="4"/>
        <v>934.0754999999998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">
        <v>138</v>
      </c>
      <c r="V24" s="380">
        <f t="shared" si="8"/>
        <v>934.0754999999998</v>
      </c>
      <c r="W24" s="299"/>
    </row>
    <row r="25" spans="2:23" s="10" customFormat="1" ht="16.5" customHeight="1">
      <c r="B25" s="44"/>
      <c r="C25" s="272">
        <v>20</v>
      </c>
      <c r="D25" s="269">
        <v>277462</v>
      </c>
      <c r="E25" s="269">
        <v>923</v>
      </c>
      <c r="F25" s="366" t="s">
        <v>149</v>
      </c>
      <c r="G25" s="366" t="s">
        <v>150</v>
      </c>
      <c r="H25" s="367">
        <v>33</v>
      </c>
      <c r="I25" s="368">
        <f t="shared" si="0"/>
        <v>16.111</v>
      </c>
      <c r="J25" s="369">
        <v>41849.48333333333</v>
      </c>
      <c r="K25" s="370">
        <v>41849.544444444444</v>
      </c>
      <c r="L25" s="286">
        <f t="shared" si="1"/>
        <v>1.4666666667326353</v>
      </c>
      <c r="M25" s="371">
        <f t="shared" si="2"/>
        <v>88</v>
      </c>
      <c r="N25" s="288" t="s">
        <v>135</v>
      </c>
      <c r="O25" s="288" t="str">
        <f t="shared" si="9"/>
        <v>--</v>
      </c>
      <c r="P25" s="372">
        <f t="shared" si="3"/>
        <v>25</v>
      </c>
      <c r="Q25" s="373">
        <f t="shared" si="4"/>
        <v>59.207925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">
        <v>138</v>
      </c>
      <c r="V25" s="380">
        <f t="shared" si="8"/>
        <v>59.207925</v>
      </c>
      <c r="W25" s="299"/>
    </row>
    <row r="26" spans="2:23" s="10" customFormat="1" ht="16.5" customHeight="1">
      <c r="B26" s="44"/>
      <c r="C26" s="272">
        <v>21</v>
      </c>
      <c r="D26" s="269">
        <v>277460</v>
      </c>
      <c r="E26" s="269">
        <v>876</v>
      </c>
      <c r="F26" s="366" t="s">
        <v>151</v>
      </c>
      <c r="G26" s="366" t="s">
        <v>152</v>
      </c>
      <c r="H26" s="367">
        <v>66</v>
      </c>
      <c r="I26" s="368">
        <f t="shared" si="0"/>
        <v>21.473</v>
      </c>
      <c r="J26" s="369">
        <v>41850.42638888889</v>
      </c>
      <c r="K26" s="370">
        <v>41850.71388888889</v>
      </c>
      <c r="L26" s="286">
        <f t="shared" si="1"/>
        <v>6.899999999965075</v>
      </c>
      <c r="M26" s="371">
        <f t="shared" si="2"/>
        <v>414</v>
      </c>
      <c r="N26" s="288" t="s">
        <v>135</v>
      </c>
      <c r="O26" s="288" t="str">
        <f t="shared" si="9"/>
        <v>--</v>
      </c>
      <c r="P26" s="372">
        <f t="shared" si="3"/>
        <v>50</v>
      </c>
      <c r="Q26" s="373">
        <f t="shared" si="4"/>
        <v>740.8185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">
        <v>138</v>
      </c>
      <c r="V26" s="380">
        <f t="shared" si="8"/>
        <v>740.8185</v>
      </c>
      <c r="W26" s="299"/>
    </row>
    <row r="27" spans="2:23" s="10" customFormat="1" ht="16.5" customHeight="1">
      <c r="B27" s="44"/>
      <c r="C27" s="272"/>
      <c r="D27" s="269"/>
      <c r="E27" s="269"/>
      <c r="F27" s="366"/>
      <c r="G27" s="366"/>
      <c r="H27" s="367"/>
      <c r="I27" s="368">
        <f t="shared" si="0"/>
        <v>16.111</v>
      </c>
      <c r="J27" s="369"/>
      <c r="K27" s="370"/>
      <c r="L27" s="286">
        <f t="shared" si="1"/>
      </c>
      <c r="M27" s="371">
        <f t="shared" si="2"/>
      </c>
      <c r="N27" s="288"/>
      <c r="O27" s="288">
        <f t="shared" si="9"/>
      </c>
      <c r="P27" s="372">
        <f t="shared" si="3"/>
        <v>20</v>
      </c>
      <c r="Q27" s="373" t="str">
        <f t="shared" si="4"/>
        <v>--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>
        <f aca="true" t="shared" si="10" ref="U27:U41">IF(F27="","","SI")</f>
      </c>
      <c r="V27" s="380">
        <f t="shared" si="8"/>
      </c>
      <c r="W27" s="299"/>
    </row>
    <row r="28" spans="2:23" s="10" customFormat="1" ht="16.5" customHeight="1">
      <c r="B28" s="44"/>
      <c r="C28" s="272"/>
      <c r="D28" s="269"/>
      <c r="E28" s="269"/>
      <c r="F28" s="366"/>
      <c r="G28" s="366"/>
      <c r="H28" s="367"/>
      <c r="I28" s="368">
        <f t="shared" si="0"/>
        <v>16.111</v>
      </c>
      <c r="J28" s="369"/>
      <c r="K28" s="370"/>
      <c r="L28" s="286">
        <f t="shared" si="1"/>
      </c>
      <c r="M28" s="371">
        <f t="shared" si="2"/>
      </c>
      <c r="N28" s="288"/>
      <c r="O28" s="288">
        <f t="shared" si="9"/>
      </c>
      <c r="P28" s="372">
        <f t="shared" si="3"/>
        <v>20</v>
      </c>
      <c r="Q28" s="373" t="str">
        <f t="shared" si="4"/>
        <v>--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>
        <f t="shared" si="10"/>
      </c>
      <c r="V28" s="380">
        <f t="shared" si="8"/>
      </c>
      <c r="W28" s="299"/>
    </row>
    <row r="29" spans="2:23" s="10" customFormat="1" ht="16.5" customHeight="1">
      <c r="B29" s="44"/>
      <c r="C29" s="272"/>
      <c r="D29" s="269"/>
      <c r="E29" s="269"/>
      <c r="F29" s="366"/>
      <c r="G29" s="366"/>
      <c r="H29" s="367"/>
      <c r="I29" s="368">
        <f t="shared" si="0"/>
        <v>16.111</v>
      </c>
      <c r="J29" s="369"/>
      <c r="K29" s="370"/>
      <c r="L29" s="286">
        <f t="shared" si="1"/>
      </c>
      <c r="M29" s="371">
        <f t="shared" si="2"/>
      </c>
      <c r="N29" s="288"/>
      <c r="O29" s="288">
        <f t="shared" si="9"/>
      </c>
      <c r="P29" s="372">
        <f t="shared" si="3"/>
        <v>20</v>
      </c>
      <c r="Q29" s="373" t="str">
        <f t="shared" si="4"/>
        <v>--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>
        <f t="shared" si="10"/>
      </c>
      <c r="V29" s="380">
        <f t="shared" si="8"/>
      </c>
      <c r="W29" s="299"/>
    </row>
    <row r="30" spans="2:23" s="10" customFormat="1" ht="16.5" customHeight="1">
      <c r="B30" s="44"/>
      <c r="C30" s="272"/>
      <c r="D30" s="269"/>
      <c r="E30" s="269"/>
      <c r="F30" s="366"/>
      <c r="G30" s="366"/>
      <c r="H30" s="367"/>
      <c r="I30" s="368">
        <f t="shared" si="0"/>
        <v>16.111</v>
      </c>
      <c r="J30" s="369"/>
      <c r="K30" s="370"/>
      <c r="L30" s="286">
        <f t="shared" si="1"/>
      </c>
      <c r="M30" s="371">
        <f t="shared" si="2"/>
      </c>
      <c r="N30" s="288"/>
      <c r="O30" s="288">
        <f t="shared" si="9"/>
      </c>
      <c r="P30" s="372">
        <f t="shared" si="3"/>
        <v>20</v>
      </c>
      <c r="Q30" s="373" t="str">
        <f t="shared" si="4"/>
        <v>--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>
        <f t="shared" si="10"/>
      </c>
      <c r="V30" s="380">
        <f t="shared" si="8"/>
      </c>
      <c r="W30" s="299"/>
    </row>
    <row r="31" spans="2:23" s="10" customFormat="1" ht="16.5" customHeight="1">
      <c r="B31" s="44"/>
      <c r="C31" s="272" t="s">
        <v>172</v>
      </c>
      <c r="D31" s="269"/>
      <c r="E31" s="269"/>
      <c r="F31" s="366"/>
      <c r="G31" s="366"/>
      <c r="H31" s="367"/>
      <c r="I31" s="368">
        <f t="shared" si="0"/>
        <v>16.111</v>
      </c>
      <c r="J31" s="369"/>
      <c r="K31" s="370"/>
      <c r="L31" s="286">
        <f t="shared" si="1"/>
      </c>
      <c r="M31" s="371">
        <f t="shared" si="2"/>
      </c>
      <c r="N31" s="288"/>
      <c r="O31" s="288">
        <f t="shared" si="9"/>
      </c>
      <c r="P31" s="372">
        <f t="shared" si="3"/>
        <v>20</v>
      </c>
      <c r="Q31" s="373" t="str">
        <f t="shared" si="4"/>
        <v>--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>
        <f t="shared" si="10"/>
      </c>
      <c r="V31" s="380">
        <f t="shared" si="8"/>
      </c>
      <c r="W31" s="299"/>
    </row>
    <row r="32" spans="2:23" s="10" customFormat="1" ht="16.5" customHeight="1">
      <c r="B32" s="44"/>
      <c r="C32" s="272"/>
      <c r="D32" s="269"/>
      <c r="E32" s="269"/>
      <c r="F32" s="366"/>
      <c r="G32" s="366"/>
      <c r="H32" s="367"/>
      <c r="I32" s="368">
        <f t="shared" si="0"/>
        <v>16.111</v>
      </c>
      <c r="J32" s="369"/>
      <c r="K32" s="370"/>
      <c r="L32" s="286">
        <f t="shared" si="1"/>
      </c>
      <c r="M32" s="371">
        <f t="shared" si="2"/>
      </c>
      <c r="N32" s="288"/>
      <c r="O32" s="288">
        <f t="shared" si="9"/>
      </c>
      <c r="P32" s="372">
        <f t="shared" si="3"/>
        <v>20</v>
      </c>
      <c r="Q32" s="373" t="str">
        <f t="shared" si="4"/>
        <v>--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>
        <f t="shared" si="10"/>
      </c>
      <c r="V32" s="380">
        <f t="shared" si="8"/>
      </c>
      <c r="W32" s="299"/>
    </row>
    <row r="33" spans="2:23" s="10" customFormat="1" ht="16.5" customHeight="1">
      <c r="B33" s="44"/>
      <c r="C33" s="272"/>
      <c r="D33" s="269"/>
      <c r="E33" s="269"/>
      <c r="F33" s="366"/>
      <c r="G33" s="366"/>
      <c r="H33" s="367"/>
      <c r="I33" s="368">
        <f t="shared" si="0"/>
        <v>16.111</v>
      </c>
      <c r="J33" s="369"/>
      <c r="K33" s="370"/>
      <c r="L33" s="286">
        <f t="shared" si="1"/>
      </c>
      <c r="M33" s="371">
        <f t="shared" si="2"/>
      </c>
      <c r="N33" s="288"/>
      <c r="O33" s="288">
        <f t="shared" si="9"/>
      </c>
      <c r="P33" s="372">
        <f t="shared" si="3"/>
        <v>20</v>
      </c>
      <c r="Q33" s="373" t="str">
        <f t="shared" si="4"/>
        <v>--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>
        <f t="shared" si="10"/>
      </c>
      <c r="V33" s="380">
        <f t="shared" si="8"/>
      </c>
      <c r="W33" s="299"/>
    </row>
    <row r="34" spans="2:23" s="10" customFormat="1" ht="16.5" customHeight="1">
      <c r="B34" s="44"/>
      <c r="C34" s="272"/>
      <c r="D34" s="269"/>
      <c r="E34" s="269"/>
      <c r="F34" s="366"/>
      <c r="G34" s="366"/>
      <c r="H34" s="367"/>
      <c r="I34" s="368">
        <f t="shared" si="0"/>
        <v>16.111</v>
      </c>
      <c r="J34" s="369"/>
      <c r="K34" s="370"/>
      <c r="L34" s="286">
        <f t="shared" si="1"/>
      </c>
      <c r="M34" s="371">
        <f t="shared" si="2"/>
      </c>
      <c r="N34" s="288"/>
      <c r="O34" s="288">
        <f t="shared" si="9"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>
        <f t="shared" si="10"/>
      </c>
      <c r="V34" s="380">
        <f t="shared" si="8"/>
      </c>
      <c r="W34" s="299"/>
    </row>
    <row r="35" spans="2:23" s="10" customFormat="1" ht="16.5" customHeight="1">
      <c r="B35" s="44"/>
      <c r="C35" s="272"/>
      <c r="D35" s="269"/>
      <c r="E35" s="269"/>
      <c r="F35" s="366"/>
      <c r="G35" s="366"/>
      <c r="H35" s="367"/>
      <c r="I35" s="368">
        <f t="shared" si="0"/>
        <v>16.111</v>
      </c>
      <c r="J35" s="369"/>
      <c r="K35" s="370"/>
      <c r="L35" s="286">
        <f t="shared" si="1"/>
      </c>
      <c r="M35" s="371">
        <f t="shared" si="2"/>
      </c>
      <c r="N35" s="288"/>
      <c r="O35" s="288">
        <f t="shared" si="9"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>
        <f t="shared" si="10"/>
      </c>
      <c r="V35" s="380">
        <f t="shared" si="8"/>
      </c>
      <c r="W35" s="299"/>
    </row>
    <row r="36" spans="2:23" s="10" customFormat="1" ht="16.5" customHeight="1">
      <c r="B36" s="44"/>
      <c r="C36" s="272"/>
      <c r="D36" s="269"/>
      <c r="E36" s="269"/>
      <c r="F36" s="366"/>
      <c r="G36" s="366"/>
      <c r="H36" s="367"/>
      <c r="I36" s="368">
        <f t="shared" si="0"/>
        <v>16.111</v>
      </c>
      <c r="J36" s="369"/>
      <c r="K36" s="370"/>
      <c r="L36" s="286">
        <f t="shared" si="1"/>
      </c>
      <c r="M36" s="371">
        <f t="shared" si="2"/>
      </c>
      <c r="N36" s="288"/>
      <c r="O36" s="288">
        <f t="shared" si="9"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>
        <f t="shared" si="10"/>
      </c>
      <c r="V36" s="380">
        <f t="shared" si="8"/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16.111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9"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>
        <f t="shared" si="10"/>
      </c>
      <c r="V37" s="380">
        <f t="shared" si="8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16.111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9"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>
        <f t="shared" si="10"/>
      </c>
      <c r="V38" s="380">
        <f t="shared" si="8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16.111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9"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>
        <f t="shared" si="10"/>
      </c>
      <c r="V39" s="380">
        <f t="shared" si="8"/>
      </c>
      <c r="W39" s="299"/>
    </row>
    <row r="40" spans="2:23" s="10" customFormat="1" ht="16.5" customHeight="1">
      <c r="B40" s="44"/>
      <c r="C40" s="272"/>
      <c r="D40" s="269"/>
      <c r="E40" s="269"/>
      <c r="F40" s="366"/>
      <c r="G40" s="366"/>
      <c r="H40" s="367"/>
      <c r="I40" s="368">
        <f t="shared" si="0"/>
        <v>16.111</v>
      </c>
      <c r="J40" s="369"/>
      <c r="K40" s="370"/>
      <c r="L40" s="286">
        <f t="shared" si="1"/>
      </c>
      <c r="M40" s="371">
        <f t="shared" si="2"/>
      </c>
      <c r="N40" s="288"/>
      <c r="O40" s="288">
        <f t="shared" si="9"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>
        <f t="shared" si="10"/>
      </c>
      <c r="V40" s="380">
        <f t="shared" si="8"/>
      </c>
      <c r="W40" s="299"/>
    </row>
    <row r="41" spans="2:23" s="10" customFormat="1" ht="16.5" customHeight="1">
      <c r="B41" s="44"/>
      <c r="C41" s="272"/>
      <c r="D41" s="269"/>
      <c r="E41" s="269"/>
      <c r="F41" s="366"/>
      <c r="G41" s="366"/>
      <c r="H41" s="367"/>
      <c r="I41" s="368">
        <f t="shared" si="0"/>
        <v>16.111</v>
      </c>
      <c r="J41" s="369"/>
      <c r="K41" s="370"/>
      <c r="L41" s="286">
        <f t="shared" si="1"/>
      </c>
      <c r="M41" s="371">
        <f t="shared" si="2"/>
      </c>
      <c r="N41" s="288"/>
      <c r="O41" s="288">
        <f t="shared" si="9"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>
        <f t="shared" si="10"/>
      </c>
      <c r="V41" s="380">
        <f t="shared" si="8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6.5" customHeight="1" thickBot="1" thickTop="1">
      <c r="B43" s="44"/>
      <c r="C43" s="172" t="s">
        <v>73</v>
      </c>
      <c r="D43" s="420" t="s">
        <v>157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2557.5914749999997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2557.59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6.5" customHeight="1">
      <c r="C47" s="394"/>
      <c r="D47" s="394"/>
      <c r="E47" s="394"/>
      <c r="F47" s="39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25">
      <selection activeCell="B12" sqref="B12"/>
    </sheetView>
  </sheetViews>
  <sheetFormatPr defaultColWidth="11.421875" defaultRowHeight="12.75"/>
  <cols>
    <col min="1" max="1" width="22.7109375" style="436" customWidth="1"/>
    <col min="2" max="2" width="15.7109375" style="436" customWidth="1"/>
    <col min="3" max="3" width="5.7109375" style="436" customWidth="1"/>
    <col min="4" max="4" width="56.421875" style="436" customWidth="1"/>
    <col min="5" max="5" width="10.421875" style="436" customWidth="1"/>
    <col min="6" max="6" width="14.140625" style="436" customWidth="1"/>
    <col min="7" max="7" width="11.7109375" style="436" customWidth="1"/>
    <col min="8" max="8" width="12.57421875" style="436" customWidth="1"/>
    <col min="9" max="10" width="10.7109375" style="436" customWidth="1"/>
    <col min="11" max="11" width="14.28125" style="436" customWidth="1"/>
    <col min="12" max="12" width="10.7109375" style="436" customWidth="1"/>
    <col min="13" max="13" width="11.421875" style="436" customWidth="1"/>
    <col min="14" max="19" width="10.7109375" style="436" customWidth="1"/>
    <col min="20" max="20" width="15.7109375" style="436" customWidth="1"/>
    <col min="21" max="16384" width="11.421875" style="436" customWidth="1"/>
  </cols>
  <sheetData>
    <row r="1" ht="38.25" customHeight="1">
      <c r="T1" s="437"/>
    </row>
    <row r="2" spans="2:20" s="438" customFormat="1" ht="40.5" customHeight="1">
      <c r="B2" s="439" t="str">
        <f>'TOT-0714'!B2</f>
        <v>ANEXO II al Memorandum D.T.E.E. N°     306   / 2015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</row>
    <row r="3" spans="1:2" s="442" customFormat="1" ht="11.25" customHeight="1">
      <c r="A3" s="440" t="s">
        <v>3</v>
      </c>
      <c r="B3" s="441"/>
    </row>
    <row r="4" spans="1:4" s="442" customFormat="1" ht="11.25" customHeight="1">
      <c r="A4" s="440" t="s">
        <v>4</v>
      </c>
      <c r="B4" s="441"/>
      <c r="D4" s="443"/>
    </row>
    <row r="5" spans="1:4" ht="10.5" customHeight="1">
      <c r="A5" s="444"/>
      <c r="D5" s="445"/>
    </row>
    <row r="6" spans="1:20" ht="26.25">
      <c r="A6" s="444"/>
      <c r="B6" s="446" t="s">
        <v>162</v>
      </c>
      <c r="C6" s="447"/>
      <c r="D6" s="445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</row>
    <row r="7" spans="1:4" ht="18.75" customHeight="1">
      <c r="A7" s="444"/>
      <c r="D7" s="445"/>
    </row>
    <row r="8" spans="1:20" ht="26.25">
      <c r="A8" s="444"/>
      <c r="B8" s="448" t="s">
        <v>1</v>
      </c>
      <c r="C8" s="447"/>
      <c r="D8" s="445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</row>
    <row r="9" spans="1:4" ht="18.75" customHeight="1">
      <c r="A9" s="444"/>
      <c r="D9" s="445"/>
    </row>
    <row r="10" spans="1:20" ht="26.25">
      <c r="A10" s="444"/>
      <c r="B10" s="448" t="s">
        <v>163</v>
      </c>
      <c r="C10" s="447"/>
      <c r="D10" s="445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</row>
    <row r="11" ht="18.75" customHeight="1" thickBot="1"/>
    <row r="12" spans="2:20" ht="18.75" customHeight="1" thickTop="1">
      <c r="B12" s="449"/>
      <c r="C12" s="450"/>
      <c r="D12" s="451"/>
      <c r="E12" s="451"/>
      <c r="F12" s="451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2"/>
    </row>
    <row r="13" spans="2:20" ht="30" customHeight="1">
      <c r="B13" s="453" t="s">
        <v>171</v>
      </c>
      <c r="C13" s="447"/>
      <c r="D13" s="454"/>
      <c r="E13" s="454"/>
      <c r="F13" s="454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6"/>
    </row>
    <row r="14" spans="2:20" ht="18.75" customHeight="1" thickBot="1">
      <c r="B14" s="457"/>
      <c r="C14" s="458"/>
      <c r="D14" s="459"/>
      <c r="E14" s="459"/>
      <c r="F14" s="460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2"/>
    </row>
    <row r="15" spans="1:20" s="470" customFormat="1" ht="34.5" customHeight="1" thickBot="1" thickTop="1">
      <c r="A15" s="463"/>
      <c r="B15" s="464"/>
      <c r="C15" s="465"/>
      <c r="D15" s="465" t="s">
        <v>164</v>
      </c>
      <c r="E15" s="466" t="s">
        <v>21</v>
      </c>
      <c r="F15" s="467" t="s">
        <v>22</v>
      </c>
      <c r="G15" s="468">
        <f>'[1]Tasa de Falla'!HO15</f>
        <v>41456</v>
      </c>
      <c r="H15" s="468">
        <f>'[1]Tasa de Falla'!HP15</f>
        <v>41487</v>
      </c>
      <c r="I15" s="468">
        <f>'[1]Tasa de Falla'!HQ15</f>
        <v>41518</v>
      </c>
      <c r="J15" s="468">
        <f>'[1]Tasa de Falla'!HR15</f>
        <v>41548</v>
      </c>
      <c r="K15" s="468">
        <f>'[1]Tasa de Falla'!HS15</f>
        <v>41579</v>
      </c>
      <c r="L15" s="468">
        <f>'[1]Tasa de Falla'!HT15</f>
        <v>41609</v>
      </c>
      <c r="M15" s="468">
        <f>'[1]Tasa de Falla'!HU15</f>
        <v>41640</v>
      </c>
      <c r="N15" s="468">
        <f>'[1]Tasa de Falla'!HV15</f>
        <v>41671</v>
      </c>
      <c r="O15" s="468">
        <f>'[1]Tasa de Falla'!HW15</f>
        <v>41699</v>
      </c>
      <c r="P15" s="468">
        <f>'[1]Tasa de Falla'!HX15</f>
        <v>41730</v>
      </c>
      <c r="Q15" s="468">
        <f>'[1]Tasa de Falla'!HY15</f>
        <v>41760</v>
      </c>
      <c r="R15" s="468">
        <f>'[1]Tasa de Falla'!HZ15</f>
        <v>41791</v>
      </c>
      <c r="S15" s="468">
        <f>'[1]Tasa de Falla'!IA15</f>
        <v>41821</v>
      </c>
      <c r="T15" s="469"/>
    </row>
    <row r="16" spans="2:20" s="470" customFormat="1" ht="24.75" customHeight="1" thickTop="1">
      <c r="B16" s="471"/>
      <c r="C16" s="472"/>
      <c r="D16" s="473"/>
      <c r="E16" s="473"/>
      <c r="F16" s="474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5"/>
      <c r="T16" s="469"/>
    </row>
    <row r="17" spans="2:20" s="470" customFormat="1" ht="24.75" customHeight="1">
      <c r="B17" s="471"/>
      <c r="C17" s="476">
        <f>'[1]Tasa de Falla'!C17</f>
        <v>1</v>
      </c>
      <c r="D17" s="477" t="str">
        <f>'[1]Tasa de Falla'!D17</f>
        <v>AGUA DEL TORO - CRUZ DE PIEDRA</v>
      </c>
      <c r="E17" s="477">
        <f>'[1]Tasa de Falla'!E17</f>
        <v>220</v>
      </c>
      <c r="F17" s="478">
        <f>'[1]Tasa de Falla'!F17</f>
        <v>177.9</v>
      </c>
      <c r="G17" s="477">
        <f>IF('[1]Tasa de Falla'!HO17="","",'[1]Tasa de Falla'!HO17)</f>
      </c>
      <c r="H17" s="477">
        <f>IF('[1]Tasa de Falla'!HP17="","",'[1]Tasa de Falla'!HP17)</f>
      </c>
      <c r="I17" s="477">
        <f>IF('[1]Tasa de Falla'!HQ17="","",'[1]Tasa de Falla'!HQ17)</f>
      </c>
      <c r="J17" s="477">
        <f>IF('[1]Tasa de Falla'!HR17="","",'[1]Tasa de Falla'!HR17)</f>
      </c>
      <c r="K17" s="477">
        <f>IF('[1]Tasa de Falla'!HS17="","",'[1]Tasa de Falla'!HS17)</f>
      </c>
      <c r="L17" s="477">
        <f>IF('[1]Tasa de Falla'!HT17="","",'[1]Tasa de Falla'!HT17)</f>
      </c>
      <c r="M17" s="477">
        <f>IF('[1]Tasa de Falla'!HU17="","",'[1]Tasa de Falla'!HU17)</f>
      </c>
      <c r="N17" s="477">
        <f>IF('[1]Tasa de Falla'!HV17="","",'[1]Tasa de Falla'!HV17)</f>
        <v>1</v>
      </c>
      <c r="O17" s="477">
        <f>IF('[1]Tasa de Falla'!HW17="","",'[1]Tasa de Falla'!HW17)</f>
      </c>
      <c r="P17" s="477">
        <f>IF('[1]Tasa de Falla'!HX17="","",'[1]Tasa de Falla'!HX17)</f>
      </c>
      <c r="Q17" s="477">
        <f>IF('[1]Tasa de Falla'!HY17="","",'[1]Tasa de Falla'!HY17)</f>
      </c>
      <c r="R17" s="477">
        <f>IF('[1]Tasa de Falla'!HZ17="","",'[1]Tasa de Falla'!HZ17)</f>
      </c>
      <c r="S17" s="474"/>
      <c r="T17" s="469"/>
    </row>
    <row r="18" spans="2:20" s="470" customFormat="1" ht="24.75" customHeight="1">
      <c r="B18" s="471"/>
      <c r="C18" s="479">
        <f>'[1]Tasa de Falla'!C18</f>
        <v>2</v>
      </c>
      <c r="D18" s="480" t="str">
        <f>'[1]Tasa de Falla'!D18</f>
        <v>AGUA DEL TORO - LOS REYUNOS</v>
      </c>
      <c r="E18" s="480">
        <f>'[1]Tasa de Falla'!E18</f>
        <v>220</v>
      </c>
      <c r="F18" s="481">
        <f>'[1]Tasa de Falla'!F18</f>
        <v>43</v>
      </c>
      <c r="G18" s="477">
        <f>IF('[1]Tasa de Falla'!HO18="","",'[1]Tasa de Falla'!HO18)</f>
      </c>
      <c r="H18" s="477">
        <f>IF('[1]Tasa de Falla'!HP18="","",'[1]Tasa de Falla'!HP18)</f>
      </c>
      <c r="I18" s="477">
        <f>IF('[1]Tasa de Falla'!HQ18="","",'[1]Tasa de Falla'!HQ18)</f>
      </c>
      <c r="J18" s="477">
        <f>IF('[1]Tasa de Falla'!HR18="","",'[1]Tasa de Falla'!HR18)</f>
      </c>
      <c r="K18" s="477">
        <f>IF('[1]Tasa de Falla'!HS18="","",'[1]Tasa de Falla'!HS18)</f>
      </c>
      <c r="L18" s="477">
        <f>IF('[1]Tasa de Falla'!HT18="","",'[1]Tasa de Falla'!HT18)</f>
      </c>
      <c r="M18" s="477">
        <f>IF('[1]Tasa de Falla'!HU18="","",'[1]Tasa de Falla'!HU18)</f>
      </c>
      <c r="N18" s="477">
        <f>IF('[1]Tasa de Falla'!HV18="","",'[1]Tasa de Falla'!HV18)</f>
        <v>1</v>
      </c>
      <c r="O18" s="477">
        <f>IF('[1]Tasa de Falla'!HW18="","",'[1]Tasa de Falla'!HW18)</f>
      </c>
      <c r="P18" s="477">
        <f>IF('[1]Tasa de Falla'!HX18="","",'[1]Tasa de Falla'!HX18)</f>
      </c>
      <c r="Q18" s="477">
        <f>IF('[1]Tasa de Falla'!HY18="","",'[1]Tasa de Falla'!HY18)</f>
      </c>
      <c r="R18" s="477">
        <f>IF('[1]Tasa de Falla'!HZ18="","",'[1]Tasa de Falla'!HZ18)</f>
      </c>
      <c r="S18" s="474"/>
      <c r="T18" s="469"/>
    </row>
    <row r="19" spans="2:20" s="470" customFormat="1" ht="24.75" customHeight="1">
      <c r="B19" s="471"/>
      <c r="C19" s="476">
        <f>'[1]Tasa de Falla'!C19</f>
        <v>3</v>
      </c>
      <c r="D19" s="477" t="str">
        <f>'[1]Tasa de Falla'!D19</f>
        <v>AGUA DEL TORO - NIHUIL II</v>
      </c>
      <c r="E19" s="477">
        <f>'[1]Tasa de Falla'!E19</f>
        <v>220</v>
      </c>
      <c r="F19" s="478">
        <f>'[1]Tasa de Falla'!F19</f>
        <v>53.5</v>
      </c>
      <c r="G19" s="477">
        <f>IF('[1]Tasa de Falla'!HO19="","",'[1]Tasa de Falla'!HO19)</f>
      </c>
      <c r="H19" s="477">
        <f>IF('[1]Tasa de Falla'!HP19="","",'[1]Tasa de Falla'!HP19)</f>
      </c>
      <c r="I19" s="477">
        <f>IF('[1]Tasa de Falla'!HQ19="","",'[1]Tasa de Falla'!HQ19)</f>
      </c>
      <c r="J19" s="477">
        <f>IF('[1]Tasa de Falla'!HR19="","",'[1]Tasa de Falla'!HR19)</f>
      </c>
      <c r="K19" s="477">
        <f>IF('[1]Tasa de Falla'!HS19="","",'[1]Tasa de Falla'!HS19)</f>
      </c>
      <c r="L19" s="477">
        <f>IF('[1]Tasa de Falla'!HT19="","",'[1]Tasa de Falla'!HT19)</f>
        <v>1</v>
      </c>
      <c r="M19" s="477">
        <f>IF('[1]Tasa de Falla'!HU19="","",'[1]Tasa de Falla'!HU19)</f>
      </c>
      <c r="N19" s="477">
        <f>IF('[1]Tasa de Falla'!HV19="","",'[1]Tasa de Falla'!HV19)</f>
        <v>1</v>
      </c>
      <c r="O19" s="477">
        <f>IF('[1]Tasa de Falla'!HW19="","",'[1]Tasa de Falla'!HW19)</f>
      </c>
      <c r="P19" s="477">
        <f>IF('[1]Tasa de Falla'!HX19="","",'[1]Tasa de Falla'!HX19)</f>
      </c>
      <c r="Q19" s="477">
        <f>IF('[1]Tasa de Falla'!HY19="","",'[1]Tasa de Falla'!HY19)</f>
      </c>
      <c r="R19" s="477">
        <f>IF('[1]Tasa de Falla'!HZ19="","",'[1]Tasa de Falla'!HZ19)</f>
      </c>
      <c r="S19" s="474"/>
      <c r="T19" s="469"/>
    </row>
    <row r="20" spans="2:20" s="470" customFormat="1" ht="24.75" customHeight="1">
      <c r="B20" s="471"/>
      <c r="C20" s="479">
        <f>'[1]Tasa de Falla'!C20</f>
        <v>4</v>
      </c>
      <c r="D20" s="480" t="str">
        <f>'[1]Tasa de Falla'!D20</f>
        <v>CRUZ DE PIEDRA - SAN JUAN</v>
      </c>
      <c r="E20" s="480">
        <f>'[1]Tasa de Falla'!E20</f>
        <v>220</v>
      </c>
      <c r="F20" s="481">
        <f>'[1]Tasa de Falla'!F20</f>
        <v>171.6</v>
      </c>
      <c r="G20" s="477">
        <f>IF('[1]Tasa de Falla'!HO20="","",'[1]Tasa de Falla'!HO20)</f>
      </c>
      <c r="H20" s="477">
        <f>IF('[1]Tasa de Falla'!HP20="","",'[1]Tasa de Falla'!HP20)</f>
      </c>
      <c r="I20" s="477">
        <f>IF('[1]Tasa de Falla'!HQ20="","",'[1]Tasa de Falla'!HQ20)</f>
      </c>
      <c r="J20" s="477">
        <f>IF('[1]Tasa de Falla'!HR20="","",'[1]Tasa de Falla'!HR20)</f>
        <v>1</v>
      </c>
      <c r="K20" s="477">
        <f>IF('[1]Tasa de Falla'!HS20="","",'[1]Tasa de Falla'!HS20)</f>
      </c>
      <c r="L20" s="477">
        <f>IF('[1]Tasa de Falla'!HT20="","",'[1]Tasa de Falla'!HT20)</f>
      </c>
      <c r="M20" s="477">
        <f>IF('[1]Tasa de Falla'!HU20="","",'[1]Tasa de Falla'!HU20)</f>
      </c>
      <c r="N20" s="477">
        <f>IF('[1]Tasa de Falla'!HV20="","",'[1]Tasa de Falla'!HV20)</f>
      </c>
      <c r="O20" s="477">
        <f>IF('[1]Tasa de Falla'!HW20="","",'[1]Tasa de Falla'!HW20)</f>
      </c>
      <c r="P20" s="477">
        <f>IF('[1]Tasa de Falla'!HX20="","",'[1]Tasa de Falla'!HX20)</f>
      </c>
      <c r="Q20" s="477">
        <f>IF('[1]Tasa de Falla'!HY20="","",'[1]Tasa de Falla'!HY20)</f>
      </c>
      <c r="R20" s="477">
        <f>IF('[1]Tasa de Falla'!HZ20="","",'[1]Tasa de Falla'!HZ20)</f>
      </c>
      <c r="S20" s="474"/>
      <c r="T20" s="469"/>
    </row>
    <row r="21" spans="2:20" s="470" customFormat="1" ht="24.75" customHeight="1">
      <c r="B21" s="471"/>
      <c r="C21" s="476">
        <f>'[1]Tasa de Falla'!C21</f>
        <v>5</v>
      </c>
      <c r="D21" s="477" t="str">
        <f>'[1]Tasa de Falla'!D21</f>
        <v>LOS REYUNOS - GRAN MENDOZA</v>
      </c>
      <c r="E21" s="477">
        <f>'[1]Tasa de Falla'!E21</f>
        <v>220</v>
      </c>
      <c r="F21" s="478">
        <f>'[1]Tasa de Falla'!F21</f>
        <v>188.3</v>
      </c>
      <c r="G21" s="477">
        <f>IF('[1]Tasa de Falla'!HO21="","",'[1]Tasa de Falla'!HO21)</f>
      </c>
      <c r="H21" s="477">
        <f>IF('[1]Tasa de Falla'!HP21="","",'[1]Tasa de Falla'!HP21)</f>
      </c>
      <c r="I21" s="477">
        <f>IF('[1]Tasa de Falla'!HQ21="","",'[1]Tasa de Falla'!HQ21)</f>
      </c>
      <c r="J21" s="477">
        <f>IF('[1]Tasa de Falla'!HR21="","",'[1]Tasa de Falla'!HR21)</f>
      </c>
      <c r="K21" s="477">
        <f>IF('[1]Tasa de Falla'!HS21="","",'[1]Tasa de Falla'!HS21)</f>
      </c>
      <c r="L21" s="477">
        <f>IF('[1]Tasa de Falla'!HT21="","",'[1]Tasa de Falla'!HT21)</f>
      </c>
      <c r="M21" s="477">
        <f>IF('[1]Tasa de Falla'!HU21="","",'[1]Tasa de Falla'!HU21)</f>
      </c>
      <c r="N21" s="477">
        <f>IF('[1]Tasa de Falla'!HV21="","",'[1]Tasa de Falla'!HV21)</f>
      </c>
      <c r="O21" s="477">
        <f>IF('[1]Tasa de Falla'!HW21="","",'[1]Tasa de Falla'!HW21)</f>
      </c>
      <c r="P21" s="477">
        <f>IF('[1]Tasa de Falla'!HX21="","",'[1]Tasa de Falla'!HX21)</f>
      </c>
      <c r="Q21" s="477">
        <f>IF('[1]Tasa de Falla'!HY21="","",'[1]Tasa de Falla'!HY21)</f>
      </c>
      <c r="R21" s="477">
        <f>IF('[1]Tasa de Falla'!HZ21="","",'[1]Tasa de Falla'!HZ21)</f>
      </c>
      <c r="S21" s="474"/>
      <c r="T21" s="469"/>
    </row>
    <row r="22" spans="2:20" s="470" customFormat="1" ht="24.75" customHeight="1">
      <c r="B22" s="471"/>
      <c r="C22" s="476">
        <f>'[1]Tasa de Falla'!C22</f>
        <v>6</v>
      </c>
      <c r="D22" s="477" t="str">
        <f>'[1]Tasa de Falla'!D22</f>
        <v>CRUZ DE PIEDRA - CAÑADA HONDA</v>
      </c>
      <c r="E22" s="477">
        <f>'[1]Tasa de Falla'!E22</f>
        <v>132</v>
      </c>
      <c r="F22" s="478">
        <f>'[1]Tasa de Falla'!F22</f>
        <v>125.8</v>
      </c>
      <c r="G22" s="477">
        <f>IF('[1]Tasa de Falla'!HO22="","",'[1]Tasa de Falla'!HO22)</f>
      </c>
      <c r="H22" s="477">
        <f>IF('[1]Tasa de Falla'!HP22="","",'[1]Tasa de Falla'!HP22)</f>
        <v>1</v>
      </c>
      <c r="I22" s="477">
        <f>IF('[1]Tasa de Falla'!HQ22="","",'[1]Tasa de Falla'!HQ22)</f>
      </c>
      <c r="J22" s="477">
        <f>IF('[1]Tasa de Falla'!HR22="","",'[1]Tasa de Falla'!HR22)</f>
        <v>1</v>
      </c>
      <c r="K22" s="477">
        <f>IF('[1]Tasa de Falla'!HS22="","",'[1]Tasa de Falla'!HS22)</f>
      </c>
      <c r="L22" s="477">
        <f>IF('[1]Tasa de Falla'!HT22="","",'[1]Tasa de Falla'!HT22)</f>
      </c>
      <c r="M22" s="477">
        <f>IF('[1]Tasa de Falla'!HU22="","",'[1]Tasa de Falla'!HU22)</f>
      </c>
      <c r="N22" s="477">
        <f>IF('[1]Tasa de Falla'!HV22="","",'[1]Tasa de Falla'!HV22)</f>
      </c>
      <c r="O22" s="477">
        <f>IF('[1]Tasa de Falla'!HW22="","",'[1]Tasa de Falla'!HW22)</f>
        <v>1</v>
      </c>
      <c r="P22" s="477">
        <f>IF('[1]Tasa de Falla'!HX22="","",'[1]Tasa de Falla'!HX22)</f>
      </c>
      <c r="Q22" s="477">
        <f>IF('[1]Tasa de Falla'!HY22="","",'[1]Tasa de Falla'!HY22)</f>
      </c>
      <c r="R22" s="477">
        <f>IF('[1]Tasa de Falla'!HZ22="","",'[1]Tasa de Falla'!HZ22)</f>
      </c>
      <c r="S22" s="474"/>
      <c r="T22" s="469"/>
    </row>
    <row r="23" spans="2:20" s="470" customFormat="1" ht="24.75" customHeight="1">
      <c r="B23" s="471"/>
      <c r="C23" s="479">
        <f>'[1]Tasa de Falla'!C23</f>
        <v>7</v>
      </c>
      <c r="D23" s="480" t="str">
        <f>'[1]Tasa de Falla'!D23</f>
        <v>ANCHORIS - CAPIZ</v>
      </c>
      <c r="E23" s="480">
        <f>'[1]Tasa de Falla'!E23</f>
        <v>132</v>
      </c>
      <c r="F23" s="481">
        <f>'[1]Tasa de Falla'!F23</f>
        <v>42</v>
      </c>
      <c r="G23" s="477">
        <f>IF('[1]Tasa de Falla'!HO23="","",'[1]Tasa de Falla'!HO23)</f>
      </c>
      <c r="H23" s="477">
        <f>IF('[1]Tasa de Falla'!HP23="","",'[1]Tasa de Falla'!HP23)</f>
      </c>
      <c r="I23" s="477">
        <f>IF('[1]Tasa de Falla'!HQ23="","",'[1]Tasa de Falla'!HQ23)</f>
      </c>
      <c r="J23" s="477">
        <f>IF('[1]Tasa de Falla'!HR23="","",'[1]Tasa de Falla'!HR23)</f>
      </c>
      <c r="K23" s="477">
        <f>IF('[1]Tasa de Falla'!HS23="","",'[1]Tasa de Falla'!HS23)</f>
      </c>
      <c r="L23" s="477">
        <f>IF('[1]Tasa de Falla'!HT23="","",'[1]Tasa de Falla'!HT23)</f>
      </c>
      <c r="M23" s="477">
        <f>IF('[1]Tasa de Falla'!HU23="","",'[1]Tasa de Falla'!HU23)</f>
      </c>
      <c r="N23" s="477">
        <f>IF('[1]Tasa de Falla'!HV23="","",'[1]Tasa de Falla'!HV23)</f>
      </c>
      <c r="O23" s="477">
        <f>IF('[1]Tasa de Falla'!HW23="","",'[1]Tasa de Falla'!HW23)</f>
      </c>
      <c r="P23" s="477">
        <f>IF('[1]Tasa de Falla'!HX23="","",'[1]Tasa de Falla'!HX23)</f>
      </c>
      <c r="Q23" s="477">
        <f>IF('[1]Tasa de Falla'!HY23="","",'[1]Tasa de Falla'!HY23)</f>
      </c>
      <c r="R23" s="477">
        <f>IF('[1]Tasa de Falla'!HZ23="","",'[1]Tasa de Falla'!HZ23)</f>
      </c>
      <c r="S23" s="474"/>
      <c r="T23" s="469"/>
    </row>
    <row r="24" spans="2:20" s="470" customFormat="1" ht="24.75" customHeight="1">
      <c r="B24" s="471"/>
      <c r="C24" s="476">
        <f>'[1]Tasa de Falla'!C24</f>
        <v>8</v>
      </c>
      <c r="D24" s="477" t="str">
        <f>'[1]Tasa de Falla'!D24</f>
        <v>ANCHORIS - CRUZ DE PIEDRA</v>
      </c>
      <c r="E24" s="477">
        <f>'[1]Tasa de Falla'!E24</f>
        <v>132</v>
      </c>
      <c r="F24" s="478">
        <f>'[1]Tasa de Falla'!F24</f>
        <v>33.5</v>
      </c>
      <c r="G24" s="477">
        <f>IF('[1]Tasa de Falla'!HO24="","",'[1]Tasa de Falla'!HO24)</f>
      </c>
      <c r="H24" s="477">
        <f>IF('[1]Tasa de Falla'!HP24="","",'[1]Tasa de Falla'!HP24)</f>
      </c>
      <c r="I24" s="477">
        <f>IF('[1]Tasa de Falla'!HQ24="","",'[1]Tasa de Falla'!HQ24)</f>
      </c>
      <c r="J24" s="477">
        <f>IF('[1]Tasa de Falla'!HR24="","",'[1]Tasa de Falla'!HR24)</f>
      </c>
      <c r="K24" s="477">
        <f>IF('[1]Tasa de Falla'!HS24="","",'[1]Tasa de Falla'!HS24)</f>
      </c>
      <c r="L24" s="477">
        <f>IF('[1]Tasa de Falla'!HT24="","",'[1]Tasa de Falla'!HT24)</f>
      </c>
      <c r="M24" s="477">
        <f>IF('[1]Tasa de Falla'!HU24="","",'[1]Tasa de Falla'!HU24)</f>
      </c>
      <c r="N24" s="477">
        <f>IF('[1]Tasa de Falla'!HV24="","",'[1]Tasa de Falla'!HV24)</f>
      </c>
      <c r="O24" s="477">
        <f>IF('[1]Tasa de Falla'!HW24="","",'[1]Tasa de Falla'!HW24)</f>
      </c>
      <c r="P24" s="477">
        <f>IF('[1]Tasa de Falla'!HX24="","",'[1]Tasa de Falla'!HX24)</f>
      </c>
      <c r="Q24" s="477">
        <f>IF('[1]Tasa de Falla'!HY24="","",'[1]Tasa de Falla'!HY24)</f>
      </c>
      <c r="R24" s="477">
        <f>IF('[1]Tasa de Falla'!HZ24="","",'[1]Tasa de Falla'!HZ24)</f>
      </c>
      <c r="S24" s="474"/>
      <c r="T24" s="469"/>
    </row>
    <row r="25" spans="2:20" s="470" customFormat="1" ht="24.75" customHeight="1">
      <c r="B25" s="471"/>
      <c r="C25" s="479">
        <f>'[1]Tasa de Falla'!C25</f>
        <v>9</v>
      </c>
      <c r="D25" s="480" t="str">
        <f>'[1]Tasa de Falla'!D25</f>
        <v>ANCHORIZ -Deriv."T" a LC 35-B.R.Tunuyan</v>
      </c>
      <c r="E25" s="480">
        <f>'[1]Tasa de Falla'!E25</f>
        <v>132</v>
      </c>
      <c r="F25" s="481">
        <f>'[1]Tasa de Falla'!F25</f>
        <v>52.9</v>
      </c>
      <c r="G25" s="477">
        <f>IF('[1]Tasa de Falla'!HO25="","",'[1]Tasa de Falla'!HO25)</f>
      </c>
      <c r="H25" s="477">
        <f>IF('[1]Tasa de Falla'!HP25="","",'[1]Tasa de Falla'!HP25)</f>
      </c>
      <c r="I25" s="477">
        <f>IF('[1]Tasa de Falla'!HQ25="","",'[1]Tasa de Falla'!HQ25)</f>
      </c>
      <c r="J25" s="477">
        <f>IF('[1]Tasa de Falla'!HR25="","",'[1]Tasa de Falla'!HR25)</f>
      </c>
      <c r="K25" s="477">
        <f>IF('[1]Tasa de Falla'!HS25="","",'[1]Tasa de Falla'!HS25)</f>
      </c>
      <c r="L25" s="477">
        <f>IF('[1]Tasa de Falla'!HT25="","",'[1]Tasa de Falla'!HT25)</f>
      </c>
      <c r="M25" s="477">
        <f>IF('[1]Tasa de Falla'!HU25="","",'[1]Tasa de Falla'!HU25)</f>
      </c>
      <c r="N25" s="477">
        <f>IF('[1]Tasa de Falla'!HV25="","",'[1]Tasa de Falla'!HV25)</f>
        <v>1</v>
      </c>
      <c r="O25" s="477">
        <f>IF('[1]Tasa de Falla'!HW25="","",'[1]Tasa de Falla'!HW25)</f>
      </c>
      <c r="P25" s="477">
        <f>IF('[1]Tasa de Falla'!HX25="","",'[1]Tasa de Falla'!HX25)</f>
      </c>
      <c r="Q25" s="477">
        <f>IF('[1]Tasa de Falla'!HY25="","",'[1]Tasa de Falla'!HY25)</f>
      </c>
      <c r="R25" s="477">
        <f>IF('[1]Tasa de Falla'!HZ25="","",'[1]Tasa de Falla'!HZ25)</f>
      </c>
      <c r="S25" s="474"/>
      <c r="T25" s="469"/>
    </row>
    <row r="26" spans="2:20" s="470" customFormat="1" ht="24.75" customHeight="1">
      <c r="B26" s="471"/>
      <c r="C26" s="476">
        <f>'[1]Tasa de Falla'!C26</f>
        <v>10</v>
      </c>
      <c r="D26" s="477" t="str">
        <f>'[1]Tasa de Falla'!D26</f>
        <v>CAPIZ - PEDRO VARGAS</v>
      </c>
      <c r="E26" s="477">
        <f>'[1]Tasa de Falla'!E26</f>
        <v>132</v>
      </c>
      <c r="F26" s="478">
        <f>'[1]Tasa de Falla'!F26</f>
        <v>122.1</v>
      </c>
      <c r="G26" s="477">
        <f>IF('[1]Tasa de Falla'!HO26="","",'[1]Tasa de Falla'!HO26)</f>
      </c>
      <c r="H26" s="477">
        <f>IF('[1]Tasa de Falla'!HP26="","",'[1]Tasa de Falla'!HP26)</f>
      </c>
      <c r="I26" s="477">
        <f>IF('[1]Tasa de Falla'!HQ26="","",'[1]Tasa de Falla'!HQ26)</f>
      </c>
      <c r="J26" s="477">
        <f>IF('[1]Tasa de Falla'!HR26="","",'[1]Tasa de Falla'!HR26)</f>
      </c>
      <c r="K26" s="477">
        <f>IF('[1]Tasa de Falla'!HS26="","",'[1]Tasa de Falla'!HS26)</f>
        <v>1</v>
      </c>
      <c r="L26" s="477">
        <f>IF('[1]Tasa de Falla'!HT26="","",'[1]Tasa de Falla'!HT26)</f>
      </c>
      <c r="M26" s="477">
        <f>IF('[1]Tasa de Falla'!HU26="","",'[1]Tasa de Falla'!HU26)</f>
      </c>
      <c r="N26" s="477">
        <f>IF('[1]Tasa de Falla'!HV26="","",'[1]Tasa de Falla'!HV26)</f>
      </c>
      <c r="O26" s="477">
        <f>IF('[1]Tasa de Falla'!HW26="","",'[1]Tasa de Falla'!HW26)</f>
      </c>
      <c r="P26" s="477">
        <f>IF('[1]Tasa de Falla'!HX26="","",'[1]Tasa de Falla'!HX26)</f>
      </c>
      <c r="Q26" s="477">
        <f>IF('[1]Tasa de Falla'!HY26="","",'[1]Tasa de Falla'!HY26)</f>
      </c>
      <c r="R26" s="477">
        <f>IF('[1]Tasa de Falla'!HZ26="","",'[1]Tasa de Falla'!HZ26)</f>
      </c>
      <c r="S26" s="474"/>
      <c r="T26" s="469"/>
    </row>
    <row r="27" spans="2:20" s="470" customFormat="1" ht="24.75" customHeight="1">
      <c r="B27" s="471"/>
      <c r="C27" s="479">
        <f>'[1]Tasa de Falla'!C27</f>
        <v>11</v>
      </c>
      <c r="D27" s="480" t="str">
        <f>'[1]Tasa de Falla'!D27</f>
        <v>SAN RAFAEL - PEDRO VARGAS</v>
      </c>
      <c r="E27" s="480">
        <f>'[1]Tasa de Falla'!E27</f>
        <v>132</v>
      </c>
      <c r="F27" s="481">
        <f>'[1]Tasa de Falla'!F27</f>
        <v>15.6</v>
      </c>
      <c r="G27" s="477">
        <f>IF('[1]Tasa de Falla'!HO27="","",'[1]Tasa de Falla'!HO27)</f>
      </c>
      <c r="H27" s="477">
        <f>IF('[1]Tasa de Falla'!HP27="","",'[1]Tasa de Falla'!HP27)</f>
      </c>
      <c r="I27" s="477">
        <f>IF('[1]Tasa de Falla'!HQ27="","",'[1]Tasa de Falla'!HQ27)</f>
      </c>
      <c r="J27" s="477">
        <f>IF('[1]Tasa de Falla'!HR27="","",'[1]Tasa de Falla'!HR27)</f>
      </c>
      <c r="K27" s="477">
        <f>IF('[1]Tasa de Falla'!HS27="","",'[1]Tasa de Falla'!HS27)</f>
      </c>
      <c r="L27" s="477">
        <f>IF('[1]Tasa de Falla'!HT27="","",'[1]Tasa de Falla'!HT27)</f>
      </c>
      <c r="M27" s="477">
        <f>IF('[1]Tasa de Falla'!HU27="","",'[1]Tasa de Falla'!HU27)</f>
      </c>
      <c r="N27" s="477">
        <f>IF('[1]Tasa de Falla'!HV27="","",'[1]Tasa de Falla'!HV27)</f>
      </c>
      <c r="O27" s="477">
        <f>IF('[1]Tasa de Falla'!HW27="","",'[1]Tasa de Falla'!HW27)</f>
      </c>
      <c r="P27" s="477">
        <f>IF('[1]Tasa de Falla'!HX27="","",'[1]Tasa de Falla'!HX27)</f>
      </c>
      <c r="Q27" s="477">
        <f>IF('[1]Tasa de Falla'!HY27="","",'[1]Tasa de Falla'!HY27)</f>
      </c>
      <c r="R27" s="477">
        <f>IF('[1]Tasa de Falla'!HZ27="","",'[1]Tasa de Falla'!HZ27)</f>
      </c>
      <c r="S27" s="474"/>
      <c r="T27" s="469"/>
    </row>
    <row r="28" spans="2:20" s="470" customFormat="1" ht="24.75" customHeight="1">
      <c r="B28" s="471"/>
      <c r="C28" s="476">
        <f>'[1]Tasa de Falla'!C28</f>
        <v>12</v>
      </c>
      <c r="D28" s="477" t="str">
        <f>'[1]Tasa de Falla'!D28</f>
        <v>GRAN MENDOZA - MONTE CASEROS 1</v>
      </c>
      <c r="E28" s="477">
        <f>'[1]Tasa de Falla'!E28</f>
        <v>132</v>
      </c>
      <c r="F28" s="478">
        <f>'[1]Tasa de Falla'!F28</f>
        <v>19.1</v>
      </c>
      <c r="G28" s="477">
        <f>IF('[1]Tasa de Falla'!HO28="","",'[1]Tasa de Falla'!HO28)</f>
      </c>
      <c r="H28" s="477">
        <f>IF('[1]Tasa de Falla'!HP28="","",'[1]Tasa de Falla'!HP28)</f>
      </c>
      <c r="I28" s="477">
        <f>IF('[1]Tasa de Falla'!HQ28="","",'[1]Tasa de Falla'!HQ28)</f>
      </c>
      <c r="J28" s="477">
        <f>IF('[1]Tasa de Falla'!HR28="","",'[1]Tasa de Falla'!HR28)</f>
      </c>
      <c r="K28" s="477">
        <f>IF('[1]Tasa de Falla'!HS28="","",'[1]Tasa de Falla'!HS28)</f>
        <v>1</v>
      </c>
      <c r="L28" s="477">
        <f>IF('[1]Tasa de Falla'!HT28="","",'[1]Tasa de Falla'!HT28)</f>
      </c>
      <c r="M28" s="477">
        <f>IF('[1]Tasa de Falla'!HU28="","",'[1]Tasa de Falla'!HU28)</f>
      </c>
      <c r="N28" s="477">
        <f>IF('[1]Tasa de Falla'!HV28="","",'[1]Tasa de Falla'!HV28)</f>
      </c>
      <c r="O28" s="477">
        <f>IF('[1]Tasa de Falla'!HW28="","",'[1]Tasa de Falla'!HW28)</f>
      </c>
      <c r="P28" s="477">
        <f>IF('[1]Tasa de Falla'!HX28="","",'[1]Tasa de Falla'!HX28)</f>
      </c>
      <c r="Q28" s="477">
        <f>IF('[1]Tasa de Falla'!HY28="","",'[1]Tasa de Falla'!HY28)</f>
      </c>
      <c r="R28" s="477">
        <f>IF('[1]Tasa de Falla'!HZ28="","",'[1]Tasa de Falla'!HZ28)</f>
      </c>
      <c r="S28" s="474"/>
      <c r="T28" s="469"/>
    </row>
    <row r="29" spans="2:20" s="470" customFormat="1" ht="24.75" customHeight="1">
      <c r="B29" s="471"/>
      <c r="C29" s="479">
        <f>'[1]Tasa de Falla'!C29</f>
        <v>13</v>
      </c>
      <c r="D29" s="480" t="str">
        <f>'[1]Tasa de Falla'!D29</f>
        <v>GRAN MENDOZA - MONTE CASEROS 2</v>
      </c>
      <c r="E29" s="480">
        <f>'[1]Tasa de Falla'!E29</f>
        <v>132</v>
      </c>
      <c r="F29" s="481">
        <f>'[1]Tasa de Falla'!F29</f>
        <v>19.1</v>
      </c>
      <c r="G29" s="477">
        <f>IF('[1]Tasa de Falla'!HO29="","",'[1]Tasa de Falla'!HO29)</f>
      </c>
      <c r="H29" s="477">
        <f>IF('[1]Tasa de Falla'!HP29="","",'[1]Tasa de Falla'!HP29)</f>
      </c>
      <c r="I29" s="477">
        <f>IF('[1]Tasa de Falla'!HQ29="","",'[1]Tasa de Falla'!HQ29)</f>
      </c>
      <c r="J29" s="477">
        <f>IF('[1]Tasa de Falla'!HR29="","",'[1]Tasa de Falla'!HR29)</f>
      </c>
      <c r="K29" s="477">
        <f>IF('[1]Tasa de Falla'!HS29="","",'[1]Tasa de Falla'!HS29)</f>
      </c>
      <c r="L29" s="477">
        <f>IF('[1]Tasa de Falla'!HT29="","",'[1]Tasa de Falla'!HT29)</f>
      </c>
      <c r="M29" s="477">
        <f>IF('[1]Tasa de Falla'!HU29="","",'[1]Tasa de Falla'!HU29)</f>
      </c>
      <c r="N29" s="477">
        <f>IF('[1]Tasa de Falla'!HV29="","",'[1]Tasa de Falla'!HV29)</f>
      </c>
      <c r="O29" s="477">
        <f>IF('[1]Tasa de Falla'!HW29="","",'[1]Tasa de Falla'!HW29)</f>
      </c>
      <c r="P29" s="477">
        <f>IF('[1]Tasa de Falla'!HX29="","",'[1]Tasa de Falla'!HX29)</f>
      </c>
      <c r="Q29" s="477">
        <f>IF('[1]Tasa de Falla'!HY29="","",'[1]Tasa de Falla'!HY29)</f>
      </c>
      <c r="R29" s="477">
        <f>IF('[1]Tasa de Falla'!HZ29="","",'[1]Tasa de Falla'!HZ29)</f>
      </c>
      <c r="S29" s="474"/>
      <c r="T29" s="469"/>
    </row>
    <row r="30" spans="2:20" s="470" customFormat="1" ht="24.75" customHeight="1">
      <c r="B30" s="471"/>
      <c r="C30" s="476">
        <f>'[1]Tasa de Falla'!C30</f>
        <v>14</v>
      </c>
      <c r="D30" s="477" t="str">
        <f>'[1]Tasa de Falla'!D30</f>
        <v>CRUZ DE PIEDRA - GRAN MENDOZA 1</v>
      </c>
      <c r="E30" s="477">
        <f>'[1]Tasa de Falla'!E30</f>
        <v>132</v>
      </c>
      <c r="F30" s="478">
        <f>'[1]Tasa de Falla'!F30</f>
        <v>22</v>
      </c>
      <c r="G30" s="477">
        <f>IF('[1]Tasa de Falla'!HO30="","",'[1]Tasa de Falla'!HO30)</f>
      </c>
      <c r="H30" s="477">
        <f>IF('[1]Tasa de Falla'!HP30="","",'[1]Tasa de Falla'!HP30)</f>
      </c>
      <c r="I30" s="477">
        <f>IF('[1]Tasa de Falla'!HQ30="","",'[1]Tasa de Falla'!HQ30)</f>
      </c>
      <c r="J30" s="477">
        <f>IF('[1]Tasa de Falla'!HR30="","",'[1]Tasa de Falla'!HR30)</f>
      </c>
      <c r="K30" s="477">
        <f>IF('[1]Tasa de Falla'!HS30="","",'[1]Tasa de Falla'!HS30)</f>
      </c>
      <c r="L30" s="477">
        <f>IF('[1]Tasa de Falla'!HT30="","",'[1]Tasa de Falla'!HT30)</f>
      </c>
      <c r="M30" s="477">
        <f>IF('[1]Tasa de Falla'!HU30="","",'[1]Tasa de Falla'!HU30)</f>
      </c>
      <c r="N30" s="477">
        <f>IF('[1]Tasa de Falla'!HV30="","",'[1]Tasa de Falla'!HV30)</f>
      </c>
      <c r="O30" s="477">
        <f>IF('[1]Tasa de Falla'!HW30="","",'[1]Tasa de Falla'!HW30)</f>
      </c>
      <c r="P30" s="477">
        <f>IF('[1]Tasa de Falla'!HX30="","",'[1]Tasa de Falla'!HX30)</f>
      </c>
      <c r="Q30" s="477">
        <f>IF('[1]Tasa de Falla'!HY30="","",'[1]Tasa de Falla'!HY30)</f>
      </c>
      <c r="R30" s="477">
        <f>IF('[1]Tasa de Falla'!HZ30="","",'[1]Tasa de Falla'!HZ30)</f>
      </c>
      <c r="S30" s="474"/>
      <c r="T30" s="469"/>
    </row>
    <row r="31" spans="2:20" s="470" customFormat="1" ht="24.75" customHeight="1">
      <c r="B31" s="471"/>
      <c r="C31" s="479">
        <f>'[1]Tasa de Falla'!C31</f>
        <v>15</v>
      </c>
      <c r="D31" s="480" t="str">
        <f>'[1]Tasa de Falla'!D31</f>
        <v>CRUZ DE PIEDRA - GRAN MENDOZA 2</v>
      </c>
      <c r="E31" s="480">
        <f>'[1]Tasa de Falla'!E31</f>
        <v>132</v>
      </c>
      <c r="F31" s="481">
        <f>'[1]Tasa de Falla'!F31</f>
        <v>22</v>
      </c>
      <c r="G31" s="477">
        <f>IF('[1]Tasa de Falla'!HO31="","",'[1]Tasa de Falla'!HO31)</f>
      </c>
      <c r="H31" s="477">
        <f>IF('[1]Tasa de Falla'!HP31="","",'[1]Tasa de Falla'!HP31)</f>
      </c>
      <c r="I31" s="477">
        <f>IF('[1]Tasa de Falla'!HQ31="","",'[1]Tasa de Falla'!HQ31)</f>
      </c>
      <c r="J31" s="477">
        <f>IF('[1]Tasa de Falla'!HR31="","",'[1]Tasa de Falla'!HR31)</f>
      </c>
      <c r="K31" s="477">
        <f>IF('[1]Tasa de Falla'!HS31="","",'[1]Tasa de Falla'!HS31)</f>
      </c>
      <c r="L31" s="477">
        <f>IF('[1]Tasa de Falla'!HT31="","",'[1]Tasa de Falla'!HT31)</f>
      </c>
      <c r="M31" s="477">
        <f>IF('[1]Tasa de Falla'!HU31="","",'[1]Tasa de Falla'!HU31)</f>
      </c>
      <c r="N31" s="477">
        <f>IF('[1]Tasa de Falla'!HV31="","",'[1]Tasa de Falla'!HV31)</f>
      </c>
      <c r="O31" s="477">
        <f>IF('[1]Tasa de Falla'!HW31="","",'[1]Tasa de Falla'!HW31)</f>
      </c>
      <c r="P31" s="477">
        <f>IF('[1]Tasa de Falla'!HX31="","",'[1]Tasa de Falla'!HX31)</f>
      </c>
      <c r="Q31" s="477">
        <f>IF('[1]Tasa de Falla'!HY31="","",'[1]Tasa de Falla'!HY31)</f>
      </c>
      <c r="R31" s="477">
        <f>IF('[1]Tasa de Falla'!HZ31="","",'[1]Tasa de Falla'!HZ31)</f>
      </c>
      <c r="S31" s="474"/>
      <c r="T31" s="469"/>
    </row>
    <row r="32" spans="2:20" s="470" customFormat="1" ht="24.75" customHeight="1">
      <c r="B32" s="471"/>
      <c r="C32" s="476">
        <f>'[1]Tasa de Falla'!C32</f>
        <v>16</v>
      </c>
      <c r="D32" s="477" t="str">
        <f>'[1]Tasa de Falla'!D32</f>
        <v>CRUZ DE PIEDRA - SAN JUAN</v>
      </c>
      <c r="E32" s="477">
        <f>'[1]Tasa de Falla'!E32</f>
        <v>132</v>
      </c>
      <c r="F32" s="478">
        <f>'[1]Tasa de Falla'!F32</f>
        <v>180.18</v>
      </c>
      <c r="G32" s="477" t="str">
        <f>IF('[1]Tasa de Falla'!HO32="","",'[1]Tasa de Falla'!HO32)</f>
        <v>XXXX</v>
      </c>
      <c r="H32" s="477" t="str">
        <f>IF('[1]Tasa de Falla'!HP32="","",'[1]Tasa de Falla'!HP32)</f>
        <v>XXXX</v>
      </c>
      <c r="I32" s="477" t="str">
        <f>IF('[1]Tasa de Falla'!HQ32="","",'[1]Tasa de Falla'!HQ32)</f>
        <v>XXXX</v>
      </c>
      <c r="J32" s="477" t="str">
        <f>IF('[1]Tasa de Falla'!HR32="","",'[1]Tasa de Falla'!HR32)</f>
        <v>XXXX</v>
      </c>
      <c r="K32" s="477" t="str">
        <f>IF('[1]Tasa de Falla'!HS32="","",'[1]Tasa de Falla'!HS32)</f>
        <v>XXXX</v>
      </c>
      <c r="L32" s="477" t="str">
        <f>IF('[1]Tasa de Falla'!HT32="","",'[1]Tasa de Falla'!HT32)</f>
        <v>XXXX</v>
      </c>
      <c r="M32" s="477" t="str">
        <f>IF('[1]Tasa de Falla'!HU32="","",'[1]Tasa de Falla'!HU32)</f>
        <v>XXXX</v>
      </c>
      <c r="N32" s="477" t="str">
        <f>IF('[1]Tasa de Falla'!HV32="","",'[1]Tasa de Falla'!HV32)</f>
        <v>XXXX</v>
      </c>
      <c r="O32" s="477" t="str">
        <f>IF('[1]Tasa de Falla'!HW32="","",'[1]Tasa de Falla'!HW32)</f>
        <v>XXXX</v>
      </c>
      <c r="P32" s="477" t="str">
        <f>IF('[1]Tasa de Falla'!HX32="","",'[1]Tasa de Falla'!HX32)</f>
        <v>XXXX</v>
      </c>
      <c r="Q32" s="477" t="str">
        <f>IF('[1]Tasa de Falla'!HY32="","",'[1]Tasa de Falla'!HY32)</f>
        <v>XXXX</v>
      </c>
      <c r="R32" s="477" t="str">
        <f>IF('[1]Tasa de Falla'!HZ32="","",'[1]Tasa de Falla'!HZ32)</f>
        <v>XXXX</v>
      </c>
      <c r="S32" s="474"/>
      <c r="T32" s="469"/>
    </row>
    <row r="33" spans="2:20" s="470" customFormat="1" ht="24.75" customHeight="1">
      <c r="B33" s="471"/>
      <c r="C33" s="479">
        <f>'[1]Tasa de Falla'!C33</f>
        <v>17</v>
      </c>
      <c r="D33" s="480" t="str">
        <f>'[1]Tasa de Falla'!D33</f>
        <v>CRUZ DE PIEDRA - LUJAN DE CUYO 1</v>
      </c>
      <c r="E33" s="480">
        <f>'[1]Tasa de Falla'!E33</f>
        <v>132</v>
      </c>
      <c r="F33" s="481">
        <f>'[1]Tasa de Falla'!F33</f>
        <v>18.1</v>
      </c>
      <c r="G33" s="477">
        <f>IF('[1]Tasa de Falla'!HO33="","",'[1]Tasa de Falla'!HO33)</f>
      </c>
      <c r="H33" s="477">
        <f>IF('[1]Tasa de Falla'!HP33="","",'[1]Tasa de Falla'!HP33)</f>
      </c>
      <c r="I33" s="477">
        <f>IF('[1]Tasa de Falla'!HQ33="","",'[1]Tasa de Falla'!HQ33)</f>
      </c>
      <c r="J33" s="477">
        <f>IF('[1]Tasa de Falla'!HR33="","",'[1]Tasa de Falla'!HR33)</f>
      </c>
      <c r="K33" s="477">
        <f>IF('[1]Tasa de Falla'!HS33="","",'[1]Tasa de Falla'!HS33)</f>
      </c>
      <c r="L33" s="477">
        <f>IF('[1]Tasa de Falla'!HT33="","",'[1]Tasa de Falla'!HT33)</f>
      </c>
      <c r="M33" s="477">
        <f>IF('[1]Tasa de Falla'!HU33="","",'[1]Tasa de Falla'!HU33)</f>
      </c>
      <c r="N33" s="477">
        <f>IF('[1]Tasa de Falla'!HV33="","",'[1]Tasa de Falla'!HV33)</f>
      </c>
      <c r="O33" s="477">
        <f>IF('[1]Tasa de Falla'!HW33="","",'[1]Tasa de Falla'!HW33)</f>
      </c>
      <c r="P33" s="477">
        <f>IF('[1]Tasa de Falla'!HX33="","",'[1]Tasa de Falla'!HX33)</f>
      </c>
      <c r="Q33" s="477">
        <f>IF('[1]Tasa de Falla'!HY33="","",'[1]Tasa de Falla'!HY33)</f>
      </c>
      <c r="R33" s="477">
        <f>IF('[1]Tasa de Falla'!HZ33="","",'[1]Tasa de Falla'!HZ33)</f>
      </c>
      <c r="S33" s="474"/>
      <c r="T33" s="469"/>
    </row>
    <row r="34" spans="2:20" s="470" customFormat="1" ht="24.75" customHeight="1">
      <c r="B34" s="471"/>
      <c r="C34" s="476">
        <f>'[1]Tasa de Falla'!C34</f>
        <v>18</v>
      </c>
      <c r="D34" s="477" t="str">
        <f>'[1]Tasa de Falla'!D34</f>
        <v>CRUZ DE PIEDRA - LUJAN DE CUYO 2</v>
      </c>
      <c r="E34" s="477">
        <f>'[1]Tasa de Falla'!E34</f>
        <v>132</v>
      </c>
      <c r="F34" s="478">
        <f>'[1]Tasa de Falla'!F34</f>
        <v>18.1</v>
      </c>
      <c r="G34" s="477">
        <f>IF('[1]Tasa de Falla'!HO34="","",'[1]Tasa de Falla'!HO34)</f>
      </c>
      <c r="H34" s="477">
        <f>IF('[1]Tasa de Falla'!HP34="","",'[1]Tasa de Falla'!HP34)</f>
      </c>
      <c r="I34" s="477">
        <f>IF('[1]Tasa de Falla'!HQ34="","",'[1]Tasa de Falla'!HQ34)</f>
      </c>
      <c r="J34" s="477">
        <f>IF('[1]Tasa de Falla'!HR34="","",'[1]Tasa de Falla'!HR34)</f>
      </c>
      <c r="K34" s="477">
        <f>IF('[1]Tasa de Falla'!HS34="","",'[1]Tasa de Falla'!HS34)</f>
      </c>
      <c r="L34" s="477">
        <f>IF('[1]Tasa de Falla'!HT34="","",'[1]Tasa de Falla'!HT34)</f>
      </c>
      <c r="M34" s="477">
        <f>IF('[1]Tasa de Falla'!HU34="","",'[1]Tasa de Falla'!HU34)</f>
      </c>
      <c r="N34" s="477">
        <f>IF('[1]Tasa de Falla'!HV34="","",'[1]Tasa de Falla'!HV34)</f>
      </c>
      <c r="O34" s="477">
        <f>IF('[1]Tasa de Falla'!HW34="","",'[1]Tasa de Falla'!HW34)</f>
      </c>
      <c r="P34" s="477">
        <f>IF('[1]Tasa de Falla'!HX34="","",'[1]Tasa de Falla'!HX34)</f>
      </c>
      <c r="Q34" s="477">
        <f>IF('[1]Tasa de Falla'!HY34="","",'[1]Tasa de Falla'!HY34)</f>
      </c>
      <c r="R34" s="477">
        <f>IF('[1]Tasa de Falla'!HZ34="","",'[1]Tasa de Falla'!HZ34)</f>
      </c>
      <c r="S34" s="474"/>
      <c r="T34" s="469"/>
    </row>
    <row r="35" spans="2:20" s="470" customFormat="1" ht="24.75" customHeight="1">
      <c r="B35" s="471"/>
      <c r="C35" s="482">
        <f>'[1]Tasa de Falla'!C35</f>
        <v>19</v>
      </c>
      <c r="D35" s="483" t="str">
        <f>'[1]Tasa de Falla'!D35</f>
        <v>C.H. NIHUIL I - PEDRO VARGAS</v>
      </c>
      <c r="E35" s="483">
        <f>'[1]Tasa de Falla'!E35</f>
        <v>132</v>
      </c>
      <c r="F35" s="484">
        <f>'[1]Tasa de Falla'!F35</f>
        <v>46.5</v>
      </c>
      <c r="G35" s="477">
        <f>IF('[1]Tasa de Falla'!HO35="","",'[1]Tasa de Falla'!HO35)</f>
      </c>
      <c r="H35" s="477">
        <f>IF('[1]Tasa de Falla'!HP35="","",'[1]Tasa de Falla'!HP35)</f>
      </c>
      <c r="I35" s="477">
        <f>IF('[1]Tasa de Falla'!HQ35="","",'[1]Tasa de Falla'!HQ35)</f>
      </c>
      <c r="J35" s="477">
        <f>IF('[1]Tasa de Falla'!HR35="","",'[1]Tasa de Falla'!HR35)</f>
      </c>
      <c r="K35" s="477">
        <f>IF('[1]Tasa de Falla'!HS35="","",'[1]Tasa de Falla'!HS35)</f>
      </c>
      <c r="L35" s="477">
        <f>IF('[1]Tasa de Falla'!HT35="","",'[1]Tasa de Falla'!HT35)</f>
      </c>
      <c r="M35" s="477">
        <f>IF('[1]Tasa de Falla'!HU35="","",'[1]Tasa de Falla'!HU35)</f>
      </c>
      <c r="N35" s="477">
        <f>IF('[1]Tasa de Falla'!HV35="","",'[1]Tasa de Falla'!HV35)</f>
      </c>
      <c r="O35" s="477">
        <f>IF('[1]Tasa de Falla'!HW35="","",'[1]Tasa de Falla'!HW35)</f>
      </c>
      <c r="P35" s="477">
        <f>IF('[1]Tasa de Falla'!HX35="","",'[1]Tasa de Falla'!HX35)</f>
      </c>
      <c r="Q35" s="477">
        <f>IF('[1]Tasa de Falla'!HY35="","",'[1]Tasa de Falla'!HY35)</f>
      </c>
      <c r="R35" s="477">
        <f>IF('[1]Tasa de Falla'!HZ35="","",'[1]Tasa de Falla'!HZ35)</f>
      </c>
      <c r="S35" s="474"/>
      <c r="T35" s="469"/>
    </row>
    <row r="36" spans="2:20" s="470" customFormat="1" ht="24.75" customHeight="1">
      <c r="B36" s="471"/>
      <c r="C36" s="476">
        <f>'[1]Tasa de Falla'!C36</f>
        <v>20</v>
      </c>
      <c r="D36" s="477" t="str">
        <f>'[1]Tasa de Falla'!D36</f>
        <v>N AN JUAN - SAN JUAN</v>
      </c>
      <c r="E36" s="477">
        <f>'[1]Tasa de Falla'!E36</f>
        <v>220</v>
      </c>
      <c r="F36" s="478">
        <f>'[1]Tasa de Falla'!F36</f>
        <v>4.5</v>
      </c>
      <c r="G36" s="477">
        <f>IF('[1]Tasa de Falla'!HO36="","",'[1]Tasa de Falla'!HO36)</f>
      </c>
      <c r="H36" s="477">
        <f>IF('[1]Tasa de Falla'!HP36="","",'[1]Tasa de Falla'!HP36)</f>
      </c>
      <c r="I36" s="477">
        <f>IF('[1]Tasa de Falla'!HQ36="","",'[1]Tasa de Falla'!HQ36)</f>
      </c>
      <c r="J36" s="477">
        <f>IF('[1]Tasa de Falla'!HR36="","",'[1]Tasa de Falla'!HR36)</f>
      </c>
      <c r="K36" s="477">
        <f>IF('[1]Tasa de Falla'!HS36="","",'[1]Tasa de Falla'!HS36)</f>
      </c>
      <c r="L36" s="477">
        <f>IF('[1]Tasa de Falla'!HT36="","",'[1]Tasa de Falla'!HT36)</f>
      </c>
      <c r="M36" s="477">
        <f>IF('[1]Tasa de Falla'!HU36="","",'[1]Tasa de Falla'!HU36)</f>
      </c>
      <c r="N36" s="477">
        <f>IF('[1]Tasa de Falla'!HV36="","",'[1]Tasa de Falla'!HV36)</f>
      </c>
      <c r="O36" s="477">
        <f>IF('[1]Tasa de Falla'!HW36="","",'[1]Tasa de Falla'!HW36)</f>
      </c>
      <c r="P36" s="477">
        <f>IF('[1]Tasa de Falla'!HX36="","",'[1]Tasa de Falla'!HX36)</f>
      </c>
      <c r="Q36" s="477">
        <f>IF('[1]Tasa de Falla'!HY36="","",'[1]Tasa de Falla'!HY36)</f>
      </c>
      <c r="R36" s="477">
        <f>IF('[1]Tasa de Falla'!HZ36="","",'[1]Tasa de Falla'!HZ36)</f>
      </c>
      <c r="S36" s="474"/>
      <c r="T36" s="469"/>
    </row>
    <row r="37" spans="2:20" s="470" customFormat="1" ht="24.75" customHeight="1">
      <c r="B37" s="471"/>
      <c r="C37" s="482">
        <f>'[1]Tasa de Falla'!C37</f>
        <v>21</v>
      </c>
      <c r="D37" s="483" t="str">
        <f>'[1]Tasa de Falla'!D37</f>
        <v>SAN JUAN - CAÑADA HONDA</v>
      </c>
      <c r="E37" s="483">
        <f>'[1]Tasa de Falla'!E37</f>
        <v>132</v>
      </c>
      <c r="F37" s="484">
        <f>'[1]Tasa de Falla'!F37</f>
        <v>54.4</v>
      </c>
      <c r="G37" s="477">
        <f>IF('[1]Tasa de Falla'!HO37="","",'[1]Tasa de Falla'!HO37)</f>
      </c>
      <c r="H37" s="477">
        <f>IF('[1]Tasa de Falla'!HP37="","",'[1]Tasa de Falla'!HP37)</f>
      </c>
      <c r="I37" s="477">
        <f>IF('[1]Tasa de Falla'!HQ37="","",'[1]Tasa de Falla'!HQ37)</f>
      </c>
      <c r="J37" s="477">
        <f>IF('[1]Tasa de Falla'!HR37="","",'[1]Tasa de Falla'!HR37)</f>
      </c>
      <c r="K37" s="477">
        <f>IF('[1]Tasa de Falla'!HS37="","",'[1]Tasa de Falla'!HS37)</f>
      </c>
      <c r="L37" s="477">
        <f>IF('[1]Tasa de Falla'!HT37="","",'[1]Tasa de Falla'!HT37)</f>
      </c>
      <c r="M37" s="477">
        <f>IF('[1]Tasa de Falla'!HU37="","",'[1]Tasa de Falla'!HU37)</f>
      </c>
      <c r="N37" s="477">
        <f>IF('[1]Tasa de Falla'!HV37="","",'[1]Tasa de Falla'!HV37)</f>
      </c>
      <c r="O37" s="477">
        <f>IF('[1]Tasa de Falla'!HW37="","",'[1]Tasa de Falla'!HW37)</f>
        <v>1</v>
      </c>
      <c r="P37" s="477">
        <f>IF('[1]Tasa de Falla'!HX37="","",'[1]Tasa de Falla'!HX37)</f>
      </c>
      <c r="Q37" s="477">
        <f>IF('[1]Tasa de Falla'!HY37="","",'[1]Tasa de Falla'!HY37)</f>
      </c>
      <c r="R37" s="477">
        <f>IF('[1]Tasa de Falla'!HZ37="","",'[1]Tasa de Falla'!HZ37)</f>
      </c>
      <c r="S37" s="474"/>
      <c r="T37" s="469"/>
    </row>
    <row r="38" spans="2:20" s="470" customFormat="1" ht="24.75" customHeight="1" thickBot="1">
      <c r="B38" s="471"/>
      <c r="C38" s="485">
        <f>IF('[2]Tasa de Falla'!C36=0,"",'[2]Tasa de Falla'!C36)</f>
      </c>
      <c r="D38" s="486">
        <f>IF('[2]Tasa de Falla'!D36=0,"",'[2]Tasa de Falla'!D36)</f>
      </c>
      <c r="E38" s="487">
        <f>IF('[2]Tasa de Falla'!E36=0,"",'[2]Tasa de Falla'!E36)</f>
      </c>
      <c r="F38" s="488">
        <f>IF('[2]Tasa de Falla'!F36=0,"",'[2]Tasa de Falla'!F36)</f>
      </c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74"/>
      <c r="T38" s="469"/>
    </row>
    <row r="39" spans="2:20" s="470" customFormat="1" ht="24.75" customHeight="1" thickBot="1" thickTop="1">
      <c r="B39" s="471"/>
      <c r="C39" s="489"/>
      <c r="D39" s="490"/>
      <c r="E39" s="491" t="s">
        <v>165</v>
      </c>
      <c r="F39" s="492">
        <f>ROUND(SUM($F$17:$F$38)-SUMIF($R17:$R38,"XXXX",$F$17:$F$38),2)</f>
        <v>1250</v>
      </c>
      <c r="G39" s="493"/>
      <c r="H39" s="494"/>
      <c r="I39" s="493"/>
      <c r="J39" s="494"/>
      <c r="K39" s="493"/>
      <c r="L39" s="494"/>
      <c r="M39" s="493"/>
      <c r="N39" s="494"/>
      <c r="O39" s="493"/>
      <c r="P39" s="494"/>
      <c r="Q39" s="493"/>
      <c r="R39" s="494"/>
      <c r="S39" s="474"/>
      <c r="T39" s="469"/>
    </row>
    <row r="40" spans="2:20" s="470" customFormat="1" ht="24.75" customHeight="1" thickBot="1" thickTop="1">
      <c r="B40" s="471"/>
      <c r="C40" s="495"/>
      <c r="D40" s="496"/>
      <c r="F40" s="497" t="s">
        <v>166</v>
      </c>
      <c r="G40" s="498">
        <f aca="true" t="shared" si="0" ref="G40:R40">SUM(G17:G38)</f>
        <v>0</v>
      </c>
      <c r="H40" s="498">
        <f t="shared" si="0"/>
        <v>1</v>
      </c>
      <c r="I40" s="498">
        <f t="shared" si="0"/>
        <v>0</v>
      </c>
      <c r="J40" s="498">
        <f t="shared" si="0"/>
        <v>2</v>
      </c>
      <c r="K40" s="498">
        <f t="shared" si="0"/>
        <v>2</v>
      </c>
      <c r="L40" s="498">
        <f t="shared" si="0"/>
        <v>1</v>
      </c>
      <c r="M40" s="498">
        <f t="shared" si="0"/>
        <v>0</v>
      </c>
      <c r="N40" s="498">
        <f t="shared" si="0"/>
        <v>4</v>
      </c>
      <c r="O40" s="498">
        <f t="shared" si="0"/>
        <v>2</v>
      </c>
      <c r="P40" s="498">
        <f t="shared" si="0"/>
        <v>0</v>
      </c>
      <c r="Q40" s="498">
        <f t="shared" si="0"/>
        <v>0</v>
      </c>
      <c r="R40" s="498">
        <f t="shared" si="0"/>
        <v>0</v>
      </c>
      <c r="S40" s="474"/>
      <c r="T40" s="469"/>
    </row>
    <row r="41" spans="2:20" s="470" customFormat="1" ht="24.75" customHeight="1" thickBot="1" thickTop="1">
      <c r="B41" s="471"/>
      <c r="C41" s="495"/>
      <c r="D41" s="495"/>
      <c r="E41" s="495"/>
      <c r="F41" s="499" t="s">
        <v>167</v>
      </c>
      <c r="G41" s="500">
        <f>'[1]Tasa de Falla'!HO42</f>
        <v>0.88</v>
      </c>
      <c r="H41" s="500">
        <f>'[1]Tasa de Falla'!HP42</f>
        <v>0.8</v>
      </c>
      <c r="I41" s="500">
        <f>'[1]Tasa de Falla'!HQ42</f>
        <v>0.8</v>
      </c>
      <c r="J41" s="500">
        <f>'[1]Tasa de Falla'!HR42</f>
        <v>0.72</v>
      </c>
      <c r="K41" s="500">
        <f>'[1]Tasa de Falla'!HS42</f>
        <v>0.72</v>
      </c>
      <c r="L41" s="500">
        <f>'[1]Tasa de Falla'!HT42</f>
        <v>0.8</v>
      </c>
      <c r="M41" s="500">
        <f>'[1]Tasa de Falla'!HU42</f>
        <v>0.88</v>
      </c>
      <c r="N41" s="500">
        <f>'[1]Tasa de Falla'!HV42</f>
        <v>0.72</v>
      </c>
      <c r="O41" s="500">
        <f>'[1]Tasa de Falla'!HW42</f>
        <v>1.04</v>
      </c>
      <c r="P41" s="500">
        <f>'[1]Tasa de Falla'!HX42</f>
        <v>1.2</v>
      </c>
      <c r="Q41" s="500">
        <f>'[1]Tasa de Falla'!HY42</f>
        <v>1.2</v>
      </c>
      <c r="R41" s="500">
        <f>'[1]Tasa de Falla'!HZ42</f>
        <v>1.04</v>
      </c>
      <c r="S41" s="500">
        <f>'[1]Tasa de Falla'!IA42</f>
        <v>0.96</v>
      </c>
      <c r="T41" s="469"/>
    </row>
    <row r="42" spans="2:20" ht="18.75" customHeight="1" thickBot="1" thickTop="1">
      <c r="B42" s="457"/>
      <c r="C42" s="501"/>
      <c r="D42" s="502" t="s">
        <v>168</v>
      </c>
      <c r="E42" s="503"/>
      <c r="F42" s="504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6"/>
    </row>
    <row r="43" spans="2:20" ht="17.25" thickBot="1" thickTop="1">
      <c r="B43" s="507"/>
      <c r="C43" s="461"/>
      <c r="D43" s="461"/>
      <c r="H43" s="508" t="s">
        <v>169</v>
      </c>
      <c r="I43" s="509"/>
      <c r="J43" s="510">
        <f>S41</f>
        <v>0.96</v>
      </c>
      <c r="K43" s="511" t="s">
        <v>170</v>
      </c>
      <c r="L43" s="512"/>
      <c r="M43" s="513"/>
      <c r="N43" s="514"/>
      <c r="O43" s="514"/>
      <c r="P43" s="514"/>
      <c r="Q43" s="514"/>
      <c r="R43" s="461"/>
      <c r="S43" s="461"/>
      <c r="T43" s="462"/>
    </row>
    <row r="44" spans="2:20" ht="18.75" customHeight="1" thickBot="1" thickTop="1">
      <c r="B44" s="515"/>
      <c r="C44" s="516"/>
      <c r="D44" s="517"/>
      <c r="E44" s="517"/>
      <c r="F44" s="518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20"/>
    </row>
    <row r="45" ht="13.5" thickTop="1">
      <c r="AA45" s="436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>IF(MOD(E14,4)=0,29,28)</f>
        <v>28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/>
    </row>
    <row r="12" spans="1:4" ht="12.75">
      <c r="A12" s="403" t="s">
        <v>70</v>
      </c>
      <c r="B12" s="404" t="s">
        <v>89</v>
      </c>
      <c r="C12" s="403">
        <v>30</v>
      </c>
      <c r="D12" s="403"/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9</v>
      </c>
      <c r="B14" s="407">
        <v>7</v>
      </c>
      <c r="C14" s="406" t="str">
        <f ca="1">CELL("CONTENIDO",OFFSET(A1,B14,0))</f>
        <v>julio</v>
      </c>
      <c r="D14" s="406">
        <f ca="1">CELL("CONTENIDO",OFFSET(C1,B14,0))</f>
        <v>31</v>
      </c>
      <c r="E14" s="406">
        <f ca="1">CELL("CONTENIDO",OFFSET(D1,A14,0))</f>
        <v>2014</v>
      </c>
      <c r="F14" s="406" t="str">
        <f>"Desde el 01 al "&amp;D14&amp;" de "&amp;C14&amp;" de "&amp;E14</f>
        <v>Desde el 01 al 31 de julio de 2014</v>
      </c>
      <c r="G14" s="406" t="str">
        <f ca="1">CELL("CONTENIDO",OFFSET(B1,B14,0))</f>
        <v>07</v>
      </c>
      <c r="H14" s="406" t="str">
        <f>RIGHT(E14,2)</f>
        <v>14</v>
      </c>
      <c r="I14" s="408" t="s">
        <v>92</v>
      </c>
    </row>
    <row r="15" spans="1:8" ht="12.75">
      <c r="A15" s="406"/>
      <c r="B15" s="409" t="str">
        <f>"\\rugor\files\Transporte\Transporte\AA PROCESO AUT ARCHIVOS J\DISTROCUYO\"&amp;E14</f>
        <v>\\rugor\files\Transporte\Transporte\AA PROCESO AUT ARCHIVOS J\DISTROCUYO\2014</v>
      </c>
      <c r="C15" s="406"/>
      <c r="D15" s="406"/>
      <c r="E15" s="406"/>
      <c r="F15" s="406"/>
      <c r="G15" s="406" t="str">
        <f>"J"&amp;G14&amp;H14&amp;"CUY"</f>
        <v>J0714CUY</v>
      </c>
      <c r="H15" s="406"/>
    </row>
    <row r="16" spans="1:8" ht="12.75">
      <c r="A16" s="406"/>
      <c r="B16" s="409" t="str">
        <f>"\\rugor\files\Transporte\transporte\AA PROCESO AUT\INTERCAMBIO\"&amp;H14&amp;G14</f>
        <v>\\rugor\files\Transporte\transporte\AA PROCESO AUT\INTERCAMBIO\1407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>"LI-"&amp;$G$14</f>
        <v>LI-07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>"T-"&amp;$G$14</f>
        <v>T-07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>"SA-"&amp;$G$14</f>
        <v>SA-07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>"CAUSAS-VST-"&amp;$G$14</f>
        <v>CAUSAS-VST-07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2015-04-22T14:51:07Z</cp:lastPrinted>
  <dcterms:created xsi:type="dcterms:W3CDTF">1998-09-02T21:31:22Z</dcterms:created>
  <dcterms:modified xsi:type="dcterms:W3CDTF">2015-05-06T13:42:20Z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