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activeTab="0"/>
  </bookViews>
  <sheets>
    <sheet name="TOT-0614" sheetId="1" r:id="rId1"/>
    <sheet name="T-06 (1)" sheetId="2" r:id="rId2"/>
    <sheet name="SA-06 (1)" sheetId="3" r:id="rId3"/>
    <sheet name="TASA FALLA" sheetId="4" r:id="rId4"/>
    <sheet name="DATO" sheetId="5" r:id="rId5"/>
  </sheets>
  <externalReferences>
    <externalReference r:id="rId8"/>
    <externalReference r:id="rId9"/>
  </externalReferences>
  <definedNames>
    <definedName name="_xlnm.Print_Area" localSheetId="3">'TASA FALLA'!$A$1:$T$44</definedName>
    <definedName name="DD" localSheetId="3">'TASA FALLA'!DD</definedName>
    <definedName name="DD">[0]!DD</definedName>
    <definedName name="DDD" localSheetId="3">'TASA FALLA'!DDD</definedName>
    <definedName name="DDD">[0]!DDD</definedName>
    <definedName name="DISTROCUYO" localSheetId="3">'TASA FALLA'!DISTROCUYO</definedName>
    <definedName name="DISTROCUYO">[0]!DISTROCUYO</definedName>
    <definedName name="INICIO" localSheetId="3">'TASA FALLA'!INICIO</definedName>
    <definedName name="INICIO">[0]!INICIO</definedName>
    <definedName name="INICIOTI" localSheetId="3">'TASA FALLA'!INICIOTI</definedName>
    <definedName name="INICIOTI">[0]!INICIOTI</definedName>
    <definedName name="LINEAS" localSheetId="3">'TASA FALLA'!LINEAS</definedName>
    <definedName name="LINEAS">[0]!LINEAS</definedName>
    <definedName name="LINEASTI" localSheetId="3">'TASA FALLA'!LINEASTI</definedName>
    <definedName name="LINEASTI">[0]!LINEASTI</definedName>
    <definedName name="NAME_L" localSheetId="3">'TASA FALLA'!NAME_L</definedName>
    <definedName name="NAME_L">[0]!NAME_L</definedName>
    <definedName name="NAME_L_TI" localSheetId="3">'TASA FALLA'!NAME_L_TI</definedName>
    <definedName name="NAME_L_TI">[0]!NAME_L_TI</definedName>
    <definedName name="TRAN" localSheetId="3">'TASA FALLA'!TRAN</definedName>
    <definedName name="TRAN">[0]!TRAN</definedName>
    <definedName name="TRANSNOA" localSheetId="3">'TASA FALLA'!TRANSNOA</definedName>
    <definedName name="TRANSNOA">[0]!TRANSNOA</definedName>
    <definedName name="TRANSPA" localSheetId="3">'TASA FALLA'!TRANSPA</definedName>
    <definedName name="TRANSPA">[0]!TRANSPA</definedName>
    <definedName name="x" localSheetId="3">'TASA FALLA'!x</definedName>
    <definedName name="x">[0]!x</definedName>
    <definedName name="XX" localSheetId="3">'TASA FALLA'!XX</definedName>
    <definedName name="XX">[0]!XX</definedName>
    <definedName name="Z_CED65634_EC76_48B7_BCDE_CE4F22E2E6C4_.wvu.PrintArea" localSheetId="3" hidden="1">'TASA FALLA'!$A$1:$T$44</definedName>
    <definedName name="Z_CED65634_EC76_48B7_BCDE_CE4F22E2E6C4_.wvu.Rows" localSheetId="3" hidden="1">'TASA FALLA'!$16:$16</definedName>
  </definedNames>
  <calcPr fullCalcOnLoad="1"/>
</workbook>
</file>

<file path=xl/sharedStrings.xml><?xml version="1.0" encoding="utf-8"?>
<sst xmlns="http://schemas.openxmlformats.org/spreadsheetml/2006/main" count="210" uniqueCount="154">
  <si>
    <t>SISTEMA DE TRANSPORTE DE ENERGÍA ELÉCTRICA POR DISTRIBUCIÓN TRONCAL</t>
  </si>
  <si>
    <t>DISTROCUYO S.A.</t>
  </si>
  <si>
    <t xml:space="preserve">ENTE NACIONAL REGULADOR </t>
  </si>
  <si>
    <t>DE LA ELECTRICIDAD</t>
  </si>
  <si>
    <t>Sanciones duplicadas por tasa de falla &gt; 4 Sal. x año/100km.</t>
  </si>
  <si>
    <t>1.-</t>
  </si>
  <si>
    <t>CONEXIÓN</t>
  </si>
  <si>
    <t>Transformación</t>
  </si>
  <si>
    <t>Salidas</t>
  </si>
  <si>
    <t xml:space="preserve">TOTAL </t>
  </si>
  <si>
    <t>SISTEMA DE TRANSPORTE DE ENERGÍA ELÉCTRICA POR DISTRIBUCIÓN TRONCAL - DISTROCUYO S.A.</t>
  </si>
  <si>
    <t>N°</t>
  </si>
  <si>
    <t>U
[kV]</t>
  </si>
  <si>
    <t>$/h</t>
  </si>
  <si>
    <t>Salida</t>
  </si>
  <si>
    <t>Entrada</t>
  </si>
  <si>
    <t>C.R.
%</t>
  </si>
  <si>
    <t>PENALIZ.
PROGRAM.</t>
  </si>
  <si>
    <t>REDUCC.
PROGRAM.</t>
  </si>
  <si>
    <t>RESTANTE
FORZADA</t>
  </si>
  <si>
    <t>REDUCC.
RESTANTE</t>
  </si>
  <si>
    <t>Informó
en Térm.</t>
  </si>
  <si>
    <t>TOTAL
PENALIZAC.</t>
  </si>
  <si>
    <t>2.- CONEXIÓN</t>
  </si>
  <si>
    <t>Por Transformador por MVA    $ =</t>
  </si>
  <si>
    <t>Coeficiente de penalización por salida forzada   =</t>
  </si>
  <si>
    <t>ESTACIÓN 
TRANSFORMADORA</t>
  </si>
  <si>
    <t>EQUIPO</t>
  </si>
  <si>
    <t>POT.
[MVA]</t>
  </si>
  <si>
    <t>Hs
Indisp.</t>
  </si>
  <si>
    <t>Minutos.
Indisp.</t>
  </si>
  <si>
    <t>AUT.</t>
  </si>
  <si>
    <t>E.N.S.</t>
  </si>
  <si>
    <t>K (P y ENS)</t>
  </si>
  <si>
    <t>PENALIZACIÓN FORZADA
Por Salida   hs. Restantes</t>
  </si>
  <si>
    <t>REDUCC. FORZADA
Por Salida   hs. Restantes</t>
  </si>
  <si>
    <t>Informó 
en Térm.</t>
  </si>
  <si>
    <t>SISTEMA DE TRANSPORTE DE ENERGÍA ELÉCTRICA POR DISTRIBUCIÓN TRONCAL -  DISTROCUYO S.A.</t>
  </si>
  <si>
    <t>Salida en 220 kV</t>
  </si>
  <si>
    <t xml:space="preserve">Salida en 132 kV o 66 kV = </t>
  </si>
  <si>
    <t xml:space="preserve">Salida en 33 kV </t>
  </si>
  <si>
    <t>Salida en 13,2 kV =</t>
  </si>
  <si>
    <t>K (U)</t>
  </si>
  <si>
    <t>PENALIZAC.
PROGRAM.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</si>
  <si>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</si>
  <si>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</si>
  <si>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</si>
  <si>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</si>
  <si>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</si>
  <si>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</si>
  <si>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</si>
  <si>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</si>
  <si>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</si>
  <si>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</si>
  <si>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</si>
  <si>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</si>
  <si>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</si>
  <si>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</si>
  <si>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INDISP</t>
  </si>
  <si>
    <t>ID EQUIPO</t>
  </si>
  <si>
    <t>Mes</t>
  </si>
  <si>
    <t>Dia</t>
  </si>
  <si>
    <t>Año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</si>
  <si>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</si>
  <si>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</si>
  <si>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</si>
  <si>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</si>
  <si>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</si>
  <si>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</si>
  <si>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</si>
  <si>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</si>
  <si>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</si>
  <si>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</si>
  <si>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</si>
  <si>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</si>
  <si>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Total</t>
  </si>
  <si>
    <t>B14</t>
  </si>
  <si>
    <t>Hoja</t>
  </si>
  <si>
    <t>FilaInicio</t>
  </si>
  <si>
    <t>FilasPlantilla</t>
  </si>
  <si>
    <t>Columnas</t>
  </si>
  <si>
    <t>NombreHoja</t>
  </si>
  <si>
    <t>OrigenDeDatos</t>
  </si>
  <si>
    <t>Col01</t>
  </si>
  <si>
    <t>Col02</t>
  </si>
  <si>
    <t>Col03</t>
  </si>
  <si>
    <t>Col04</t>
  </si>
  <si>
    <t>Col05</t>
  </si>
  <si>
    <t>Col06</t>
  </si>
  <si>
    <t>Col07</t>
  </si>
  <si>
    <t>Col08</t>
  </si>
  <si>
    <t>Col09</t>
  </si>
  <si>
    <t>Col10</t>
  </si>
  <si>
    <t>Col11</t>
  </si>
  <si>
    <t>Col12</t>
  </si>
  <si>
    <t>Col13</t>
  </si>
  <si>
    <t>Col14</t>
  </si>
  <si>
    <t>Col15</t>
  </si>
  <si>
    <t>FILHTOTAL</t>
  </si>
  <si>
    <t>COLHTOTAL</t>
  </si>
  <si>
    <t>FILHCALC</t>
  </si>
  <si>
    <t>COLHCALC</t>
  </si>
  <si>
    <t>FILTRANSP</t>
  </si>
  <si>
    <t>COLTRANSP</t>
  </si>
  <si>
    <t>COL TSAL</t>
  </si>
  <si>
    <t>MODELO L</t>
  </si>
  <si>
    <t>MODELO T</t>
  </si>
  <si>
    <t>MODELO S</t>
  </si>
  <si>
    <t>MODELO VST</t>
  </si>
  <si>
    <t>DISTROCUYO_CAUSAS_VST.XLS</t>
  </si>
  <si>
    <t>ID</t>
  </si>
  <si>
    <t>DISTROCUYO_INDISPONIBILIDADES_LINEAS_DISTROCUYO.XLS</t>
  </si>
  <si>
    <t>DISTROCUYO_INDISPONIBILIDADES_TRAFOS_DISTROCUYO.XLS</t>
  </si>
  <si>
    <t>DISTROCUYO_INDISPONIBILIDADES_SALIDAS_DISTROCUYO.XLS</t>
  </si>
  <si>
    <t>Desde el 01 al 30 de junio de 2014</t>
  </si>
  <si>
    <t>P</t>
  </si>
  <si>
    <t>SI</t>
  </si>
  <si>
    <t>0,000</t>
  </si>
  <si>
    <t>AUTOTRAFO 1</t>
  </si>
  <si>
    <t>220/132/13,2</t>
  </si>
  <si>
    <t>LUJAN DE CUYO</t>
  </si>
  <si>
    <t>TRAFO 19</t>
  </si>
  <si>
    <t>132/13,2</t>
  </si>
  <si>
    <t>SAN JUAN</t>
  </si>
  <si>
    <t>TRAFO 2</t>
  </si>
  <si>
    <t>132/33/13,2</t>
  </si>
  <si>
    <t>F</t>
  </si>
  <si>
    <t>LOS REYUNOS</t>
  </si>
  <si>
    <t>LINEA A C.H. EL TIGRE</t>
  </si>
  <si>
    <t>132/66/13,2</t>
  </si>
  <si>
    <t>Res.SE 1/03</t>
  </si>
  <si>
    <t>CRUZ DE PIEDRA</t>
  </si>
  <si>
    <t>CAPIZ</t>
  </si>
  <si>
    <t>TRAFO 1</t>
  </si>
  <si>
    <t>13,2/13,2</t>
  </si>
  <si>
    <t>1.1.-</t>
  </si>
  <si>
    <t>1.2.-</t>
  </si>
  <si>
    <t>1.1.- Transformación</t>
  </si>
  <si>
    <t>1.2.- Salidas</t>
  </si>
  <si>
    <t>P -PROGRAMADA  ; F - FORZADA</t>
  </si>
  <si>
    <t>P - PROGRAMADA</t>
  </si>
  <si>
    <t>TOTAL DE PENALIZACIONES</t>
  </si>
  <si>
    <t xml:space="preserve">SISTEMA DE TRANSPORTE DE ENERGÍA ELÉCTRICA POR DISTRIBUCIÓN TRONCAL </t>
  </si>
  <si>
    <t>INDISPONIBILIDADES FORZADAS DE LÍNEAS - TASA DE FALLA</t>
  </si>
  <si>
    <t>LINEAS</t>
  </si>
  <si>
    <t>Long.
[km]</t>
  </si>
  <si>
    <t xml:space="preserve">Longitud Total </t>
  </si>
  <si>
    <t xml:space="preserve">Indisponibilidades Forzadas </t>
  </si>
  <si>
    <t xml:space="preserve">TASA DE FALLA </t>
  </si>
  <si>
    <t>VALOR PROVISORIO</t>
  </si>
  <si>
    <t>TASA DE FALLA</t>
  </si>
  <si>
    <t>SALIDAS x AÑO/ 100 km</t>
  </si>
  <si>
    <t xml:space="preserve">Tasa de falla Correspondiente al mes de Junio de 2014 </t>
  </si>
  <si>
    <t>Valores remuneratorios según el Convenio de Renovación. Nota ENRE Nº 113602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</si>
</sst>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0.0"/>
    <numFmt numFmtId="174" formatCode="&quot;$&quot;\ #,##0.000;&quot;$&quot;\ \-#,##0.000"/>
    <numFmt numFmtId="175" formatCode="#,##0.0"/>
    <numFmt numFmtId="176" formatCode="0.000"/>
    <numFmt numFmtId="177" formatCode="0.0\ \k\V"/>
    <numFmt numFmtId="178" formatCode="0.00\ &quot;km&quot;"/>
    <numFmt numFmtId="179" formatCode="0.00\ &quot;MVA&quot;"/>
    <numFmt numFmtId="180" formatCode="d/m/yy\ h:mm"/>
    <numFmt numFmtId="181" formatCode="mmm\-yyyy"/>
    <numFmt numFmtId="182" formatCode="0#"/>
    <numFmt numFmtId="183" formatCode="d\ &quot;días&quot;\ \ h:mm\ &quot;horas&quot;"/>
    <numFmt numFmtId="184" formatCode="dd/mm/yy"/>
    <numFmt numFmtId="185" formatCode="#,##0.00000"/>
    <numFmt numFmtId="186" formatCode="0.000_)"/>
    <numFmt numFmtId="187" formatCode="#,##0;[Red]#,##0"/>
    <numFmt numFmtId="188" formatCode="#,##0.000000"/>
    <numFmt numFmtId="189" formatCode="#&quot;.&quot;#&quot;.-&quot;"/>
    <numFmt numFmtId="190" formatCode="#&quot;.&quot;#&quot;.&quot;#&quot;.-&quot;"/>
    <numFmt numFmtId="191" formatCode="&quot;$&quot;#,##0.00;&quot;$&quot;\-#,##0.00"/>
    <numFmt numFmtId="192" formatCode="&quot;$&quot;#,##0.00"/>
    <numFmt numFmtId="193" formatCode="#,##0.00;[Red]#,##0.00"/>
    <numFmt numFmtId="194" formatCode="&quot;$&quot;\ #,##0.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&quot;$&quot;\ #,##0.0;&quot;$&quot;\ \-#,##0.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d\-m"/>
    <numFmt numFmtId="210" formatCode="dd/mm/\a\a\a\a\ hh:\n\n"/>
    <numFmt numFmtId="211" formatCode="d\-m\-yy\ h:mm"/>
    <numFmt numFmtId="212" formatCode="#,##0\ &quot;€&quot;;\-#,##0\ &quot;€&quot;"/>
    <numFmt numFmtId="213" formatCode="#,##0\ &quot;€&quot;;[Red]\-#,##0\ &quot;€&quot;"/>
    <numFmt numFmtId="214" formatCode="#,##0.00\ &quot;€&quot;;\-#,##0.00\ &quot;€&quot;"/>
    <numFmt numFmtId="215" formatCode="#,##0.00\ &quot;€&quot;;[Red]\-#,##0.00\ &quot;€&quot;"/>
    <numFmt numFmtId="216" formatCode="_-* #,##0\ &quot;€&quot;_-;\-* #,##0\ &quot;€&quot;_-;_-* &quot;-&quot;\ &quot;€&quot;_-;_-@_-"/>
    <numFmt numFmtId="217" formatCode="_-* #,##0\ _€_-;\-* #,##0\ _€_-;_-* &quot;-&quot;\ _€_-;_-@_-"/>
    <numFmt numFmtId="218" formatCode="_-* #,##0.00\ &quot;€&quot;_-;\-* #,##0.00\ &quot;€&quot;_-;_-* &quot;-&quot;??\ &quot;€&quot;_-;_-@_-"/>
    <numFmt numFmtId="219" formatCode="_-* #,##0.00\ _€_-;\-* #,##0.00\ _€_-;_-* &quot;-&quot;??\ _€_-;_-@_-"/>
    <numFmt numFmtId="220" formatCode="#,##0.000_);[Red]\(#,##0.000\)"/>
    <numFmt numFmtId="221" formatCode="#,##0.0000_);[Red]\(#,##0.0000\)"/>
    <numFmt numFmtId="222" formatCode="#,##0.00000_);[Red]\(#,##0.00000\)"/>
    <numFmt numFmtId="223" formatCode="#,##0.000000_);[Red]\(#,##0.000000\)"/>
    <numFmt numFmtId="224" formatCode="0.0000"/>
    <numFmt numFmtId="225" formatCode="[$€-2]\ #,##0.00_);[Red]\([$€-2]\ #,##0.00\)"/>
    <numFmt numFmtId="226" formatCode="[$-2C0A]dddd\,\ dd&quot; de &quot;mmmm&quot; de &quot;yyyy"/>
    <numFmt numFmtId="227" formatCode="[$-2C0A]hh:mm:ss\ AM/PM"/>
  </numFmts>
  <fonts count="105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0"/>
      <color indexed="10"/>
      <name val="MS Sans Serif"/>
      <family val="2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4"/>
      <name val="MS Sans Serif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sz val="11"/>
      <name val="MS Sans Serif"/>
      <family val="2"/>
    </font>
    <font>
      <sz val="11"/>
      <color indexed="48"/>
      <name val="MS Sans Serif"/>
      <family val="2"/>
    </font>
    <font>
      <sz val="10"/>
      <name val="Wingdings"/>
      <family val="0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sz val="11"/>
      <color indexed="47"/>
      <name val="MS Sans Serif"/>
      <family val="2"/>
    </font>
    <font>
      <sz val="10"/>
      <color indexed="48"/>
      <name val="Times New Roman"/>
      <family val="1"/>
    </font>
    <font>
      <b/>
      <sz val="10"/>
      <color indexed="56"/>
      <name val="Times New Roman"/>
      <family val="0"/>
    </font>
    <font>
      <b/>
      <sz val="10"/>
      <color indexed="58"/>
      <name val="Times New Roman"/>
      <family val="0"/>
    </font>
    <font>
      <b/>
      <sz val="10"/>
      <color indexed="47"/>
      <name val="Times New Roman"/>
      <family val="0"/>
    </font>
    <font>
      <sz val="11"/>
      <name val="Times New Roman"/>
      <family val="1"/>
    </font>
    <font>
      <sz val="7"/>
      <name val="Wingdings"/>
      <family val="0"/>
    </font>
    <font>
      <sz val="7"/>
      <name val="Times New Roman"/>
      <family val="1"/>
    </font>
    <font>
      <sz val="7"/>
      <name val="Courier New"/>
      <family val="3"/>
    </font>
    <font>
      <b/>
      <sz val="7"/>
      <name val="Times New Roman"/>
      <family val="1"/>
    </font>
    <font>
      <sz val="11"/>
      <color indexed="9"/>
      <name val="MS Sans Serif"/>
      <family val="2"/>
    </font>
    <font>
      <sz val="11"/>
      <color indexed="26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9"/>
      <name val="Times New Roman"/>
      <family val="0"/>
    </font>
    <font>
      <b/>
      <sz val="10"/>
      <color indexed="26"/>
      <name val="Times New Roman"/>
      <family val="0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color indexed="50"/>
      <name val="MS Sans Serif"/>
      <family val="2"/>
    </font>
    <font>
      <sz val="10"/>
      <color indexed="9"/>
      <name val="Times New Roman"/>
      <family val="1"/>
    </font>
    <font>
      <b/>
      <sz val="10"/>
      <color indexed="50"/>
      <name val="Times New Roman"/>
      <family val="1"/>
    </font>
    <font>
      <sz val="10"/>
      <color indexed="18"/>
      <name val="Times New Roman"/>
      <family val="1"/>
    </font>
    <font>
      <b/>
      <i/>
      <sz val="10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0"/>
    </font>
    <font>
      <sz val="8"/>
      <name val="MS Sans Serif"/>
      <family val="2"/>
    </font>
    <font>
      <sz val="10"/>
      <color indexed="50"/>
      <name val="MS Sans Serif"/>
      <family val="2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u val="single"/>
      <sz val="8"/>
      <name val="Arial"/>
      <family val="2"/>
    </font>
    <font>
      <b/>
      <sz val="10"/>
      <name val="Arial"/>
      <family val="2"/>
    </font>
    <font>
      <b/>
      <u val="single"/>
      <sz val="2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2"/>
    </font>
    <font>
      <sz val="14"/>
      <name val="Arial Narrow"/>
      <family val="2"/>
    </font>
    <font>
      <b/>
      <sz val="14"/>
      <name val="Arial Narrow"/>
      <family val="2"/>
    </font>
    <font>
      <b/>
      <u val="single"/>
      <sz val="12"/>
      <name val="Arial"/>
      <family val="2"/>
    </font>
    <font>
      <b/>
      <i/>
      <sz val="12"/>
      <name val="MS Sans Serif"/>
      <family val="2"/>
    </font>
    <font>
      <b/>
      <sz val="12"/>
      <name val="MS Sans Serif"/>
      <family val="2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47"/>
        <bgColor indexed="47"/>
      </patternFill>
    </fill>
    <fill>
      <patternFill patternType="gray125">
        <fgColor indexed="8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 style="thick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90" fillId="20" borderId="0" applyNumberFormat="0" applyBorder="0" applyAlignment="0" applyProtection="0"/>
    <xf numFmtId="0" fontId="91" fillId="21" borderId="1" applyNumberFormat="0" applyAlignment="0" applyProtection="0"/>
    <xf numFmtId="0" fontId="92" fillId="22" borderId="2" applyNumberFormat="0" applyAlignment="0" applyProtection="0"/>
    <xf numFmtId="0" fontId="93" fillId="0" borderId="3" applyNumberFormat="0" applyFill="0" applyAlignment="0" applyProtection="0"/>
    <xf numFmtId="0" fontId="94" fillId="0" borderId="4" applyNumberFormat="0" applyFill="0" applyAlignment="0" applyProtection="0"/>
    <xf numFmtId="0" fontId="95" fillId="0" borderId="0" applyNumberFormat="0" applyFill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89" fillId="27" borderId="0" applyNumberFormat="0" applyBorder="0" applyAlignment="0" applyProtection="0"/>
    <xf numFmtId="0" fontId="89" fillId="28" borderId="0" applyNumberFormat="0" applyBorder="0" applyAlignment="0" applyProtection="0"/>
    <xf numFmtId="0" fontId="96" fillId="29" borderId="1" applyNumberFormat="0" applyAlignment="0" applyProtection="0"/>
    <xf numFmtId="0" fontId="5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97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8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99" fillId="21" borderId="6" applyNumberFormat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7" applyNumberFormat="0" applyFill="0" applyAlignment="0" applyProtection="0"/>
    <xf numFmtId="0" fontId="95" fillId="0" borderId="8" applyNumberFormat="0" applyFill="0" applyAlignment="0" applyProtection="0"/>
    <xf numFmtId="0" fontId="104" fillId="0" borderId="9" applyNumberFormat="0" applyFill="0" applyAlignment="0" applyProtection="0"/>
  </cellStyleXfs>
  <cellXfs count="404">
    <xf numFmtId="0" fontId="0" fillId="0" borderId="0" xfId="0" applyAlignment="1">
      <alignment/>
    </xf>
    <xf numFmtId="0" fontId="1" fillId="0" borderId="0" xfId="55">
      <alignment/>
      <protection/>
    </xf>
    <xf numFmtId="0" fontId="1" fillId="0" borderId="0" xfId="55" applyFill="1" applyBorder="1">
      <alignment/>
      <protection/>
    </xf>
    <xf numFmtId="0" fontId="6" fillId="0" borderId="0" xfId="55" applyFont="1" applyBorder="1" applyAlignment="1">
      <alignment horizontal="center"/>
      <protection/>
    </xf>
    <xf numFmtId="0" fontId="8" fillId="0" borderId="0" xfId="55" applyFont="1">
      <alignment/>
      <protection/>
    </xf>
    <xf numFmtId="0" fontId="9" fillId="0" borderId="0" xfId="55" applyFont="1" applyAlignment="1">
      <alignment horizontal="centerContinuous"/>
      <protection/>
    </xf>
    <xf numFmtId="0" fontId="10" fillId="0" borderId="0" xfId="55" applyFont="1" applyAlignment="1">
      <alignment horizontal="centerContinuous"/>
      <protection/>
    </xf>
    <xf numFmtId="0" fontId="8" fillId="0" borderId="0" xfId="55" applyFont="1" applyAlignment="1">
      <alignment horizontal="centerContinuous"/>
      <protection/>
    </xf>
    <xf numFmtId="0" fontId="6" fillId="0" borderId="0" xfId="55" applyFont="1">
      <alignment/>
      <protection/>
    </xf>
    <xf numFmtId="0" fontId="6" fillId="0" borderId="0" xfId="55" applyFont="1" applyAlignment="1">
      <alignment horizontal="centerContinuous"/>
      <protection/>
    </xf>
    <xf numFmtId="0" fontId="6" fillId="0" borderId="0" xfId="55" applyFont="1" applyBorder="1">
      <alignment/>
      <protection/>
    </xf>
    <xf numFmtId="0" fontId="11" fillId="0" borderId="0" xfId="55" applyFont="1">
      <alignment/>
      <protection/>
    </xf>
    <xf numFmtId="0" fontId="11" fillId="0" borderId="0" xfId="55" applyFont="1" applyBorder="1">
      <alignment/>
      <protection/>
    </xf>
    <xf numFmtId="0" fontId="12" fillId="0" borderId="0" xfId="55" applyFont="1" applyFill="1" applyBorder="1" applyAlignment="1" applyProtection="1">
      <alignment horizontal="left"/>
      <protection/>
    </xf>
    <xf numFmtId="0" fontId="8" fillId="0" borderId="0" xfId="55" applyFont="1" applyBorder="1">
      <alignment/>
      <protection/>
    </xf>
    <xf numFmtId="0" fontId="13" fillId="0" borderId="0" xfId="55" applyFont="1">
      <alignment/>
      <protection/>
    </xf>
    <xf numFmtId="0" fontId="14" fillId="0" borderId="0" xfId="55" applyFont="1" applyBorder="1" applyAlignment="1">
      <alignment horizontal="centerContinuous"/>
      <protection/>
    </xf>
    <xf numFmtId="0" fontId="15" fillId="0" borderId="0" xfId="55" applyFont="1" applyAlignment="1">
      <alignment horizontal="centerContinuous"/>
      <protection/>
    </xf>
    <xf numFmtId="0" fontId="13" fillId="0" borderId="0" xfId="55" applyFont="1" applyAlignment="1">
      <alignment horizontal="centerContinuous"/>
      <protection/>
    </xf>
    <xf numFmtId="0" fontId="13" fillId="0" borderId="0" xfId="55" applyFont="1" applyBorder="1" applyAlignment="1">
      <alignment horizontal="centerContinuous"/>
      <protection/>
    </xf>
    <xf numFmtId="0" fontId="13" fillId="0" borderId="0" xfId="55" applyFont="1" applyBorder="1">
      <alignment/>
      <protection/>
    </xf>
    <xf numFmtId="0" fontId="16" fillId="0" borderId="0" xfId="55" applyFont="1">
      <alignment/>
      <protection/>
    </xf>
    <xf numFmtId="0" fontId="17" fillId="0" borderId="0" xfId="55" applyFont="1">
      <alignment/>
      <protection/>
    </xf>
    <xf numFmtId="0" fontId="18" fillId="0" borderId="0" xfId="55" applyFont="1" applyBorder="1">
      <alignment/>
      <protection/>
    </xf>
    <xf numFmtId="0" fontId="17" fillId="0" borderId="0" xfId="55" applyFont="1" applyBorder="1">
      <alignment/>
      <protection/>
    </xf>
    <xf numFmtId="0" fontId="19" fillId="0" borderId="10" xfId="55" applyFont="1" applyBorder="1">
      <alignment/>
      <protection/>
    </xf>
    <xf numFmtId="0" fontId="19" fillId="0" borderId="11" xfId="55" applyFont="1" applyBorder="1">
      <alignment/>
      <protection/>
    </xf>
    <xf numFmtId="0" fontId="17" fillId="0" borderId="11" xfId="55" applyFont="1" applyBorder="1">
      <alignment/>
      <protection/>
    </xf>
    <xf numFmtId="0" fontId="17" fillId="0" borderId="12" xfId="55" applyFont="1" applyBorder="1">
      <alignment/>
      <protection/>
    </xf>
    <xf numFmtId="0" fontId="20" fillId="0" borderId="13" xfId="55" applyFont="1" applyBorder="1" applyAlignment="1">
      <alignment horizontal="centerContinuous"/>
      <protection/>
    </xf>
    <xf numFmtId="0" fontId="1" fillId="0" borderId="0" xfId="55" applyNumberFormat="1" applyAlignment="1">
      <alignment horizontal="centerContinuous"/>
      <protection/>
    </xf>
    <xf numFmtId="0" fontId="13" fillId="0" borderId="0" xfId="55" applyNumberFormat="1" applyFont="1" applyAlignment="1">
      <alignment horizontal="centerContinuous"/>
      <protection/>
    </xf>
    <xf numFmtId="0" fontId="20" fillId="0" borderId="0" xfId="55" applyFont="1" applyBorder="1" applyAlignment="1">
      <alignment horizontal="centerContinuous"/>
      <protection/>
    </xf>
    <xf numFmtId="0" fontId="13" fillId="0" borderId="14" xfId="55" applyFont="1" applyBorder="1" applyAlignment="1">
      <alignment horizontal="centerContinuous"/>
      <protection/>
    </xf>
    <xf numFmtId="0" fontId="13" fillId="0" borderId="13" xfId="55" applyFont="1" applyBorder="1">
      <alignment/>
      <protection/>
    </xf>
    <xf numFmtId="0" fontId="21" fillId="0" borderId="0" xfId="55" applyNumberFormat="1" applyFont="1" applyBorder="1" applyAlignment="1">
      <alignment horizontal="right"/>
      <protection/>
    </xf>
    <xf numFmtId="0" fontId="20" fillId="0" borderId="0" xfId="55" applyFont="1" applyBorder="1">
      <alignment/>
      <protection/>
    </xf>
    <xf numFmtId="0" fontId="13" fillId="0" borderId="14" xfId="55" applyFont="1" applyBorder="1">
      <alignment/>
      <protection/>
    </xf>
    <xf numFmtId="0" fontId="21" fillId="0" borderId="0" xfId="55" applyNumberFormat="1" applyFont="1" applyBorder="1" applyAlignment="1">
      <alignment horizontal="centerContinuous"/>
      <protection/>
    </xf>
    <xf numFmtId="0" fontId="21" fillId="0" borderId="0" xfId="55" applyNumberFormat="1" applyFont="1" applyBorder="1" applyAlignment="1">
      <alignment horizontal="right"/>
      <protection/>
    </xf>
    <xf numFmtId="0" fontId="21" fillId="0" borderId="0" xfId="55" applyNumberFormat="1" applyFont="1" applyBorder="1" applyAlignment="1">
      <alignment/>
      <protection/>
    </xf>
    <xf numFmtId="7" fontId="21" fillId="0" borderId="0" xfId="55" applyNumberFormat="1" applyFont="1" applyBorder="1" applyAlignment="1">
      <alignment horizontal="right"/>
      <protection/>
    </xf>
    <xf numFmtId="0" fontId="6" fillId="0" borderId="13" xfId="55" applyFont="1" applyBorder="1">
      <alignment/>
      <protection/>
    </xf>
    <xf numFmtId="0" fontId="3" fillId="0" borderId="0" xfId="55" applyNumberFormat="1" applyFont="1" applyBorder="1" applyAlignment="1">
      <alignment horizontal="right"/>
      <protection/>
    </xf>
    <xf numFmtId="0" fontId="3" fillId="0" borderId="0" xfId="55" applyNumberFormat="1" applyFont="1" applyBorder="1" applyAlignment="1">
      <alignment/>
      <protection/>
    </xf>
    <xf numFmtId="0" fontId="22" fillId="0" borderId="0" xfId="55" applyFont="1" applyBorder="1">
      <alignment/>
      <protection/>
    </xf>
    <xf numFmtId="7" fontId="3" fillId="0" borderId="0" xfId="55" applyNumberFormat="1" applyFont="1" applyBorder="1" applyAlignment="1">
      <alignment horizontal="right"/>
      <protection/>
    </xf>
    <xf numFmtId="0" fontId="6" fillId="0" borderId="14" xfId="55" applyFont="1" applyBorder="1">
      <alignment/>
      <protection/>
    </xf>
    <xf numFmtId="0" fontId="6" fillId="0" borderId="0" xfId="55" applyFont="1" applyBorder="1" applyAlignment="1">
      <alignment horizontal="right"/>
      <protection/>
    </xf>
    <xf numFmtId="0" fontId="21" fillId="0" borderId="0" xfId="55" applyFont="1" applyBorder="1">
      <alignment/>
      <protection/>
    </xf>
    <xf numFmtId="0" fontId="13" fillId="0" borderId="0" xfId="55" applyFont="1" applyBorder="1" applyAlignment="1">
      <alignment horizontal="right"/>
      <protection/>
    </xf>
    <xf numFmtId="0" fontId="21" fillId="0" borderId="15" xfId="55" applyFont="1" applyBorder="1" applyAlignment="1">
      <alignment horizontal="center"/>
      <protection/>
    </xf>
    <xf numFmtId="7" fontId="21" fillId="0" borderId="16" xfId="55" applyNumberFormat="1" applyFont="1" applyBorder="1" applyAlignment="1">
      <alignment horizontal="center"/>
      <protection/>
    </xf>
    <xf numFmtId="7" fontId="21" fillId="0" borderId="0" xfId="55" applyNumberFormat="1" applyFont="1" applyBorder="1" applyAlignment="1">
      <alignment horizontal="center"/>
      <protection/>
    </xf>
    <xf numFmtId="0" fontId="17" fillId="0" borderId="17" xfId="55" applyFont="1" applyBorder="1">
      <alignment/>
      <protection/>
    </xf>
    <xf numFmtId="0" fontId="17" fillId="0" borderId="18" xfId="55" applyNumberFormat="1" applyFont="1" applyBorder="1">
      <alignment/>
      <protection/>
    </xf>
    <xf numFmtId="0" fontId="17" fillId="0" borderId="18" xfId="55" applyFont="1" applyBorder="1">
      <alignment/>
      <protection/>
    </xf>
    <xf numFmtId="0" fontId="17" fillId="0" borderId="19" xfId="55" applyFont="1" applyBorder="1">
      <alignment/>
      <protection/>
    </xf>
    <xf numFmtId="0" fontId="17" fillId="0" borderId="0" xfId="55" applyFont="1" applyFill="1" applyBorder="1">
      <alignment/>
      <protection/>
    </xf>
    <xf numFmtId="4" fontId="17" fillId="0" borderId="0" xfId="55" applyNumberFormat="1" applyFont="1" applyFill="1" applyBorder="1">
      <alignment/>
      <protection/>
    </xf>
    <xf numFmtId="7" fontId="17" fillId="0" borderId="0" xfId="55" applyNumberFormat="1" applyFont="1" applyBorder="1">
      <alignment/>
      <protection/>
    </xf>
    <xf numFmtId="172" fontId="17" fillId="0" borderId="0" xfId="55" applyNumberFormat="1" applyFont="1" applyBorder="1" applyAlignment="1">
      <alignment horizontal="center"/>
      <protection/>
    </xf>
    <xf numFmtId="0" fontId="6" fillId="0" borderId="0" xfId="55" applyFont="1" applyFill="1" applyBorder="1">
      <alignment/>
      <protection/>
    </xf>
    <xf numFmtId="4" fontId="6" fillId="0" borderId="0" xfId="55" applyNumberFormat="1" applyFont="1" applyFill="1" applyBorder="1">
      <alignment/>
      <protection/>
    </xf>
    <xf numFmtId="4" fontId="6" fillId="0" borderId="0" xfId="55" applyNumberFormat="1" applyFont="1" applyBorder="1">
      <alignment/>
      <protection/>
    </xf>
    <xf numFmtId="4" fontId="3" fillId="0" borderId="0" xfId="55" applyNumberFormat="1" applyFont="1" applyBorder="1" applyAlignment="1">
      <alignment horizontal="center"/>
      <protection/>
    </xf>
    <xf numFmtId="0" fontId="9" fillId="0" borderId="0" xfId="55" applyFont="1" applyAlignment="1" applyProtection="1">
      <alignment horizontal="centerContinuous"/>
      <protection locked="0"/>
    </xf>
    <xf numFmtId="0" fontId="16" fillId="0" borderId="0" xfId="55" applyFont="1" applyAlignment="1" applyProtection="1">
      <alignment horizontal="centerContinuous"/>
      <protection locked="0"/>
    </xf>
    <xf numFmtId="0" fontId="6" fillId="0" borderId="10" xfId="55" applyFont="1" applyBorder="1">
      <alignment/>
      <protection/>
    </xf>
    <xf numFmtId="0" fontId="6" fillId="0" borderId="11" xfId="55" applyFont="1" applyBorder="1">
      <alignment/>
      <protection/>
    </xf>
    <xf numFmtId="0" fontId="6" fillId="0" borderId="12" xfId="55" applyFont="1" applyBorder="1">
      <alignment/>
      <protection/>
    </xf>
    <xf numFmtId="0" fontId="23" fillId="0" borderId="0" xfId="55" applyFont="1">
      <alignment/>
      <protection/>
    </xf>
    <xf numFmtId="0" fontId="23" fillId="0" borderId="13" xfId="55" applyFont="1" applyBorder="1">
      <alignment/>
      <protection/>
    </xf>
    <xf numFmtId="0" fontId="24" fillId="0" borderId="0" xfId="55" applyFont="1" applyBorder="1">
      <alignment/>
      <protection/>
    </xf>
    <xf numFmtId="0" fontId="23" fillId="0" borderId="0" xfId="55" applyFont="1" applyBorder="1">
      <alignment/>
      <protection/>
    </xf>
    <xf numFmtId="0" fontId="23" fillId="0" borderId="14" xfId="55" applyFont="1" applyBorder="1">
      <alignment/>
      <protection/>
    </xf>
    <xf numFmtId="0" fontId="20" fillId="0" borderId="0" xfId="55" applyFont="1" applyFill="1" applyBorder="1" applyAlignment="1" applyProtection="1">
      <alignment horizontal="centerContinuous"/>
      <protection locked="0"/>
    </xf>
    <xf numFmtId="0" fontId="20" fillId="0" borderId="0" xfId="55" applyFont="1" applyAlignment="1">
      <alignment horizontal="centerContinuous"/>
      <protection/>
    </xf>
    <xf numFmtId="0" fontId="20" fillId="0" borderId="14" xfId="55" applyFont="1" applyBorder="1" applyAlignment="1">
      <alignment horizontal="centerContinuous"/>
      <protection/>
    </xf>
    <xf numFmtId="0" fontId="16" fillId="0" borderId="0" xfId="55" applyFont="1" applyBorder="1">
      <alignment/>
      <protection/>
    </xf>
    <xf numFmtId="0" fontId="6" fillId="0" borderId="0" xfId="55" applyFont="1" applyBorder="1" applyProtection="1">
      <alignment/>
      <protection/>
    </xf>
    <xf numFmtId="0" fontId="6" fillId="0" borderId="0" xfId="55" applyFont="1" applyBorder="1" applyAlignment="1">
      <alignment horizontal="left"/>
      <protection/>
    </xf>
    <xf numFmtId="0" fontId="25" fillId="0" borderId="20" xfId="55" applyFont="1" applyBorder="1" applyAlignment="1" applyProtection="1">
      <alignment horizontal="center" vertical="center" wrapText="1"/>
      <protection/>
    </xf>
    <xf numFmtId="0" fontId="26" fillId="33" borderId="20" xfId="55" applyFont="1" applyFill="1" applyBorder="1" applyAlignment="1" applyProtection="1">
      <alignment horizontal="center" vertical="center"/>
      <protection/>
    </xf>
    <xf numFmtId="0" fontId="32" fillId="34" borderId="21" xfId="55" applyFont="1" applyFill="1" applyBorder="1" applyProtection="1">
      <alignment/>
      <protection locked="0"/>
    </xf>
    <xf numFmtId="0" fontId="34" fillId="35" borderId="21" xfId="55" applyFont="1" applyFill="1" applyBorder="1" applyProtection="1">
      <alignment/>
      <protection locked="0"/>
    </xf>
    <xf numFmtId="0" fontId="6" fillId="0" borderId="22" xfId="55" applyFont="1" applyBorder="1" applyAlignment="1" applyProtection="1">
      <alignment horizontal="center"/>
      <protection locked="0"/>
    </xf>
    <xf numFmtId="0" fontId="6" fillId="0" borderId="23" xfId="55" applyFont="1" applyBorder="1" applyAlignment="1" applyProtection="1">
      <alignment horizontal="center"/>
      <protection locked="0"/>
    </xf>
    <xf numFmtId="0" fontId="32" fillId="34" borderId="23" xfId="55" applyFont="1" applyFill="1" applyBorder="1" applyProtection="1">
      <alignment/>
      <protection locked="0"/>
    </xf>
    <xf numFmtId="0" fontId="34" fillId="35" borderId="23" xfId="55" applyFont="1" applyFill="1" applyBorder="1" applyProtection="1">
      <alignment/>
      <protection locked="0"/>
    </xf>
    <xf numFmtId="2" fontId="6" fillId="0" borderId="22" xfId="55" applyNumberFormat="1" applyFont="1" applyBorder="1" applyAlignment="1" applyProtection="1">
      <alignment horizontal="center"/>
      <protection locked="0"/>
    </xf>
    <xf numFmtId="4" fontId="34" fillId="35" borderId="23" xfId="55" applyNumberFormat="1" applyFont="1" applyFill="1" applyBorder="1" applyAlignment="1" applyProtection="1">
      <alignment horizontal="center"/>
      <protection locked="0"/>
    </xf>
    <xf numFmtId="0" fontId="37" fillId="0" borderId="24" xfId="55" applyFont="1" applyBorder="1" applyAlignment="1">
      <alignment horizontal="center"/>
      <protection/>
    </xf>
    <xf numFmtId="0" fontId="38" fillId="0" borderId="0" xfId="55" applyFont="1" applyBorder="1" applyAlignment="1" applyProtection="1">
      <alignment horizontal="left"/>
      <protection/>
    </xf>
    <xf numFmtId="0" fontId="37" fillId="0" borderId="0" xfId="55" applyFont="1">
      <alignment/>
      <protection/>
    </xf>
    <xf numFmtId="0" fontId="37" fillId="0" borderId="13" xfId="55" applyFont="1" applyBorder="1">
      <alignment/>
      <protection/>
    </xf>
    <xf numFmtId="0" fontId="37" fillId="0" borderId="0" xfId="55" applyFont="1" applyBorder="1" applyAlignment="1">
      <alignment horizontal="center"/>
      <protection/>
    </xf>
    <xf numFmtId="0" fontId="38" fillId="0" borderId="0" xfId="55" applyFont="1" applyBorder="1" applyAlignment="1" applyProtection="1">
      <alignment horizontal="left" vertical="top"/>
      <protection/>
    </xf>
    <xf numFmtId="0" fontId="6" fillId="0" borderId="17" xfId="55" applyFont="1" applyBorder="1">
      <alignment/>
      <protection/>
    </xf>
    <xf numFmtId="0" fontId="8" fillId="0" borderId="0" xfId="55" applyFont="1" applyFill="1">
      <alignment/>
      <protection/>
    </xf>
    <xf numFmtId="0" fontId="8" fillId="0" borderId="0" xfId="55" applyFont="1" applyFill="1" applyAlignment="1">
      <alignment horizontal="centerContinuous"/>
      <protection/>
    </xf>
    <xf numFmtId="0" fontId="6" fillId="0" borderId="0" xfId="55" applyFont="1" applyFill="1" applyAlignment="1">
      <alignment horizontal="centerContinuous"/>
      <protection/>
    </xf>
    <xf numFmtId="0" fontId="4" fillId="0" borderId="0" xfId="55" applyFont="1" applyFill="1" applyBorder="1" applyAlignment="1" applyProtection="1">
      <alignment horizontal="centerContinuous"/>
      <protection/>
    </xf>
    <xf numFmtId="0" fontId="11" fillId="0" borderId="0" xfId="55" applyFont="1" applyFill="1" applyAlignment="1">
      <alignment horizontal="centerContinuous"/>
      <protection/>
    </xf>
    <xf numFmtId="0" fontId="11" fillId="0" borderId="0" xfId="55" applyFont="1" applyFill="1">
      <alignment/>
      <protection/>
    </xf>
    <xf numFmtId="0" fontId="6" fillId="0" borderId="0" xfId="55" applyFont="1" applyFill="1">
      <alignment/>
      <protection/>
    </xf>
    <xf numFmtId="0" fontId="6" fillId="0" borderId="10" xfId="55" applyFont="1" applyFill="1" applyBorder="1">
      <alignment/>
      <protection/>
    </xf>
    <xf numFmtId="0" fontId="6" fillId="0" borderId="11" xfId="55" applyFont="1" applyFill="1" applyBorder="1">
      <alignment/>
      <protection/>
    </xf>
    <xf numFmtId="0" fontId="6" fillId="0" borderId="12" xfId="55" applyFont="1" applyFill="1" applyBorder="1">
      <alignment/>
      <protection/>
    </xf>
    <xf numFmtId="0" fontId="23" fillId="0" borderId="13" xfId="55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4" fillId="0" borderId="0" xfId="55" applyFont="1" applyFill="1" applyBorder="1">
      <alignment/>
      <protection/>
    </xf>
    <xf numFmtId="0" fontId="23" fillId="0" borderId="0" xfId="55" applyFont="1" applyFill="1">
      <alignment/>
      <protection/>
    </xf>
    <xf numFmtId="0" fontId="23" fillId="0" borderId="14" xfId="55" applyFont="1" applyFill="1" applyBorder="1">
      <alignment/>
      <protection/>
    </xf>
    <xf numFmtId="0" fontId="6" fillId="0" borderId="13" xfId="55" applyFont="1" applyFill="1" applyBorder="1">
      <alignment/>
      <protection/>
    </xf>
    <xf numFmtId="0" fontId="6" fillId="0" borderId="14" xfId="55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24" fillId="0" borderId="0" xfId="55" applyFont="1" applyFill="1">
      <alignment/>
      <protection/>
    </xf>
    <xf numFmtId="0" fontId="23" fillId="0" borderId="0" xfId="55" applyFont="1" applyFill="1" applyBorder="1" applyProtection="1">
      <alignment/>
      <protection/>
    </xf>
    <xf numFmtId="0" fontId="6" fillId="0" borderId="0" xfId="55" applyFont="1" applyFill="1" applyBorder="1" applyAlignment="1" applyProtection="1">
      <alignment horizontal="left"/>
      <protection/>
    </xf>
    <xf numFmtId="168" fontId="6" fillId="0" borderId="0" xfId="55" applyNumberFormat="1" applyFont="1" applyFill="1" applyBorder="1" applyProtection="1">
      <alignment/>
      <protection/>
    </xf>
    <xf numFmtId="0" fontId="6" fillId="0" borderId="0" xfId="55" applyFont="1" applyFill="1" applyBorder="1" applyProtection="1">
      <alignment/>
      <protection/>
    </xf>
    <xf numFmtId="0" fontId="20" fillId="0" borderId="13" xfId="55" applyFont="1" applyFill="1" applyBorder="1" applyAlignment="1">
      <alignment horizontal="centerContinuous"/>
      <protection/>
    </xf>
    <xf numFmtId="0" fontId="20" fillId="0" borderId="0" xfId="55" applyFont="1" applyFill="1" applyBorder="1" applyAlignment="1">
      <alignment horizontal="centerContinuous"/>
      <protection/>
    </xf>
    <xf numFmtId="0" fontId="20" fillId="0" borderId="14" xfId="55" applyFont="1" applyFill="1" applyBorder="1" applyAlignment="1">
      <alignment horizontal="centerContinuous"/>
      <protection/>
    </xf>
    <xf numFmtId="0" fontId="6" fillId="0" borderId="0" xfId="55" applyFont="1" applyFill="1" applyBorder="1" applyAlignment="1">
      <alignment horizontal="center"/>
      <protection/>
    </xf>
    <xf numFmtId="0" fontId="22" fillId="0" borderId="0" xfId="55" applyFont="1" applyFill="1" applyBorder="1" applyAlignment="1">
      <alignment horizontal="left"/>
      <protection/>
    </xf>
    <xf numFmtId="0" fontId="1" fillId="0" borderId="15" xfId="55" applyFont="1" applyFill="1" applyBorder="1" applyAlignment="1" applyProtection="1">
      <alignment horizontal="left"/>
      <protection/>
    </xf>
    <xf numFmtId="0" fontId="1" fillId="0" borderId="24" xfId="55" applyFont="1" applyFill="1" applyBorder="1" applyAlignment="1" applyProtection="1">
      <alignment horizontal="center"/>
      <protection/>
    </xf>
    <xf numFmtId="0" fontId="1" fillId="0" borderId="24" xfId="55" applyFont="1" applyFill="1" applyBorder="1">
      <alignment/>
      <protection/>
    </xf>
    <xf numFmtId="0" fontId="1" fillId="0" borderId="20" xfId="55" applyFont="1" applyFill="1" applyBorder="1" applyAlignment="1">
      <alignment horizontal="center"/>
      <protection/>
    </xf>
    <xf numFmtId="0" fontId="1" fillId="0" borderId="15" xfId="55" applyFont="1" applyFill="1" applyBorder="1" applyAlignment="1" applyProtection="1" quotePrefix="1">
      <alignment horizontal="left"/>
      <protection/>
    </xf>
    <xf numFmtId="0" fontId="1" fillId="0" borderId="25" xfId="55" applyFont="1" applyFill="1" applyBorder="1" applyAlignment="1" applyProtection="1">
      <alignment horizontal="center"/>
      <protection/>
    </xf>
    <xf numFmtId="168" fontId="1" fillId="0" borderId="20" xfId="55" applyNumberFormat="1" applyFont="1" applyFill="1" applyBorder="1" applyAlignment="1" applyProtection="1">
      <alignment horizontal="center"/>
      <protection/>
    </xf>
    <xf numFmtId="0" fontId="6" fillId="0" borderId="0" xfId="55" applyFont="1" applyAlignment="1" applyProtection="1">
      <alignment/>
      <protection/>
    </xf>
    <xf numFmtId="22" fontId="6" fillId="0" borderId="0" xfId="55" applyNumberFormat="1" applyFont="1" applyFill="1" applyBorder="1">
      <alignment/>
      <protection/>
    </xf>
    <xf numFmtId="0" fontId="6" fillId="0" borderId="0" xfId="55" applyFont="1" applyAlignment="1">
      <alignment vertical="center"/>
      <protection/>
    </xf>
    <xf numFmtId="0" fontId="6" fillId="0" borderId="13" xfId="55" applyFont="1" applyFill="1" applyBorder="1" applyAlignment="1">
      <alignment vertical="center"/>
      <protection/>
    </xf>
    <xf numFmtId="0" fontId="25" fillId="0" borderId="20" xfId="55" applyFont="1" applyFill="1" applyBorder="1" applyAlignment="1" applyProtection="1">
      <alignment horizontal="center" vertical="center" wrapText="1"/>
      <protection/>
    </xf>
    <xf numFmtId="0" fontId="25" fillId="0" borderId="20" xfId="55" applyFont="1" applyFill="1" applyBorder="1" applyAlignment="1" applyProtection="1">
      <alignment horizontal="center" vertical="center"/>
      <protection/>
    </xf>
    <xf numFmtId="0" fontId="25" fillId="0" borderId="20" xfId="55" applyFont="1" applyFill="1" applyBorder="1" applyAlignment="1" applyProtection="1" quotePrefix="1">
      <alignment horizontal="center" vertical="center" wrapText="1"/>
      <protection/>
    </xf>
    <xf numFmtId="0" fontId="25" fillId="0" borderId="20" xfId="55" applyFont="1" applyFill="1" applyBorder="1" applyAlignment="1">
      <alignment horizontal="center" vertical="center" wrapText="1"/>
      <protection/>
    </xf>
    <xf numFmtId="0" fontId="26" fillId="33" borderId="20" xfId="55" applyFont="1" applyFill="1" applyBorder="1" applyAlignment="1" applyProtection="1">
      <alignment horizontal="center" vertical="center"/>
      <protection/>
    </xf>
    <xf numFmtId="0" fontId="30" fillId="35" borderId="20" xfId="55" applyFont="1" applyFill="1" applyBorder="1" applyAlignment="1" applyProtection="1">
      <alignment horizontal="center" vertical="center"/>
      <protection/>
    </xf>
    <xf numFmtId="0" fontId="28" fillId="34" borderId="20" xfId="55" applyFont="1" applyFill="1" applyBorder="1" applyAlignment="1">
      <alignment horizontal="center" vertical="center" wrapText="1"/>
      <protection/>
    </xf>
    <xf numFmtId="0" fontId="40" fillId="36" borderId="20" xfId="55" applyFont="1" applyFill="1" applyBorder="1" applyAlignment="1">
      <alignment horizontal="center" vertical="center" wrapText="1"/>
      <protection/>
    </xf>
    <xf numFmtId="0" fontId="40" fillId="37" borderId="15" xfId="55" applyFont="1" applyFill="1" applyBorder="1" applyAlignment="1" applyProtection="1">
      <alignment horizontal="centerContinuous" vertical="center" wrapText="1"/>
      <protection/>
    </xf>
    <xf numFmtId="0" fontId="40" fillId="37" borderId="16" xfId="55" applyFont="1" applyFill="1" applyBorder="1" applyAlignment="1">
      <alignment horizontal="centerContinuous" vertical="center"/>
      <protection/>
    </xf>
    <xf numFmtId="0" fontId="41" fillId="38" borderId="15" xfId="55" applyFont="1" applyFill="1" applyBorder="1" applyAlignment="1" applyProtection="1">
      <alignment horizontal="centerContinuous" vertical="center" wrapText="1"/>
      <protection/>
    </xf>
    <xf numFmtId="0" fontId="41" fillId="38" borderId="16" xfId="55" applyFont="1" applyFill="1" applyBorder="1" applyAlignment="1">
      <alignment horizontal="centerContinuous" vertical="center"/>
      <protection/>
    </xf>
    <xf numFmtId="0" fontId="29" fillId="39" borderId="20" xfId="55" applyFont="1" applyFill="1" applyBorder="1" applyAlignment="1">
      <alignment horizontal="center" vertical="center" wrapText="1"/>
      <protection/>
    </xf>
    <xf numFmtId="0" fontId="40" fillId="40" borderId="20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vertical="center"/>
      <protection/>
    </xf>
    <xf numFmtId="0" fontId="6" fillId="0" borderId="26" xfId="55" applyFont="1" applyFill="1" applyBorder="1" applyAlignment="1" applyProtection="1">
      <alignment horizontal="center"/>
      <protection locked="0"/>
    </xf>
    <xf numFmtId="0" fontId="6" fillId="0" borderId="21" xfId="55" applyFont="1" applyFill="1" applyBorder="1" applyAlignment="1" applyProtection="1">
      <alignment horizontal="center"/>
      <protection locked="0"/>
    </xf>
    <xf numFmtId="0" fontId="6" fillId="0" borderId="21" xfId="55" applyFont="1" applyFill="1" applyBorder="1" applyProtection="1">
      <alignment/>
      <protection locked="0"/>
    </xf>
    <xf numFmtId="0" fontId="42" fillId="33" borderId="21" xfId="55" applyFont="1" applyFill="1" applyBorder="1" applyProtection="1">
      <alignment/>
      <protection locked="0"/>
    </xf>
    <xf numFmtId="0" fontId="6" fillId="0" borderId="21" xfId="55" applyFont="1" applyFill="1" applyBorder="1" applyAlignment="1">
      <alignment horizontal="center"/>
      <protection/>
    </xf>
    <xf numFmtId="0" fontId="43" fillId="36" borderId="21" xfId="55" applyFont="1" applyFill="1" applyBorder="1" applyProtection="1">
      <alignment/>
      <protection locked="0"/>
    </xf>
    <xf numFmtId="0" fontId="43" fillId="37" borderId="27" xfId="55" applyFont="1" applyFill="1" applyBorder="1" applyAlignment="1" applyProtection="1">
      <alignment horizontal="center"/>
      <protection locked="0"/>
    </xf>
    <xf numFmtId="0" fontId="43" fillId="37" borderId="28" xfId="55" applyFont="1" applyFill="1" applyBorder="1" applyProtection="1">
      <alignment/>
      <protection locked="0"/>
    </xf>
    <xf numFmtId="0" fontId="44" fillId="38" borderId="27" xfId="55" applyFont="1" applyFill="1" applyBorder="1" applyAlignment="1" applyProtection="1">
      <alignment horizontal="center"/>
      <protection locked="0"/>
    </xf>
    <xf numFmtId="0" fontId="44" fillId="38" borderId="28" xfId="55" applyFont="1" applyFill="1" applyBorder="1" applyProtection="1">
      <alignment/>
      <protection locked="0"/>
    </xf>
    <xf numFmtId="0" fontId="33" fillId="39" borderId="21" xfId="55" applyFont="1" applyFill="1" applyBorder="1" applyProtection="1">
      <alignment/>
      <protection locked="0"/>
    </xf>
    <xf numFmtId="0" fontId="43" fillId="40" borderId="21" xfId="55" applyFont="1" applyFill="1" applyBorder="1" applyProtection="1">
      <alignment/>
      <protection locked="0"/>
    </xf>
    <xf numFmtId="0" fontId="35" fillId="0" borderId="21" xfId="55" applyFont="1" applyFill="1" applyBorder="1" applyAlignment="1">
      <alignment horizontal="right"/>
      <protection/>
    </xf>
    <xf numFmtId="0" fontId="6" fillId="0" borderId="29" xfId="55" applyFont="1" applyFill="1" applyBorder="1" applyAlignment="1" applyProtection="1">
      <alignment horizontal="center"/>
      <protection locked="0"/>
    </xf>
    <xf numFmtId="0" fontId="6" fillId="0" borderId="23" xfId="55" applyFont="1" applyFill="1" applyBorder="1" applyProtection="1">
      <alignment/>
      <protection locked="0"/>
    </xf>
    <xf numFmtId="0" fontId="42" fillId="33" borderId="23" xfId="55" applyFont="1" applyFill="1" applyBorder="1" applyProtection="1">
      <alignment/>
      <protection locked="0"/>
    </xf>
    <xf numFmtId="0" fontId="6" fillId="0" borderId="23" xfId="55" applyFont="1" applyFill="1" applyBorder="1" applyAlignment="1" applyProtection="1">
      <alignment horizontal="center"/>
      <protection locked="0"/>
    </xf>
    <xf numFmtId="0" fontId="6" fillId="0" borderId="23" xfId="55" applyFont="1" applyFill="1" applyBorder="1" applyAlignment="1">
      <alignment horizontal="center"/>
      <protection/>
    </xf>
    <xf numFmtId="0" fontId="43" fillId="36" borderId="23" xfId="55" applyFont="1" applyFill="1" applyBorder="1" applyProtection="1">
      <alignment/>
      <protection locked="0"/>
    </xf>
    <xf numFmtId="0" fontId="43" fillId="37" borderId="30" xfId="55" applyFont="1" applyFill="1" applyBorder="1" applyAlignment="1" applyProtection="1">
      <alignment horizontal="center"/>
      <protection locked="0"/>
    </xf>
    <xf numFmtId="0" fontId="43" fillId="37" borderId="31" xfId="55" applyFont="1" applyFill="1" applyBorder="1" applyProtection="1">
      <alignment/>
      <protection locked="0"/>
    </xf>
    <xf numFmtId="0" fontId="44" fillId="38" borderId="30" xfId="55" applyFont="1" applyFill="1" applyBorder="1" applyAlignment="1" applyProtection="1">
      <alignment horizontal="center"/>
      <protection locked="0"/>
    </xf>
    <xf numFmtId="0" fontId="44" fillId="38" borderId="31" xfId="55" applyFont="1" applyFill="1" applyBorder="1" applyProtection="1">
      <alignment/>
      <protection locked="0"/>
    </xf>
    <xf numFmtId="0" fontId="33" fillId="39" borderId="23" xfId="55" applyFont="1" applyFill="1" applyBorder="1" applyProtection="1">
      <alignment/>
      <protection locked="0"/>
    </xf>
    <xf numFmtId="0" fontId="43" fillId="40" borderId="23" xfId="55" applyFont="1" applyFill="1" applyBorder="1" applyProtection="1">
      <alignment/>
      <protection locked="0"/>
    </xf>
    <xf numFmtId="0" fontId="35" fillId="0" borderId="31" xfId="55" applyFont="1" applyFill="1" applyBorder="1" applyAlignment="1">
      <alignment horizontal="right"/>
      <protection/>
    </xf>
    <xf numFmtId="169" fontId="6" fillId="0" borderId="22" xfId="55" applyNumberFormat="1" applyFont="1" applyBorder="1" applyAlignment="1" applyProtection="1" quotePrefix="1">
      <alignment horizontal="center"/>
      <protection locked="0"/>
    </xf>
    <xf numFmtId="2" fontId="6" fillId="0" borderId="22" xfId="55" applyNumberFormat="1" applyFont="1" applyBorder="1" applyAlignment="1" applyProtection="1" quotePrefix="1">
      <alignment horizontal="center"/>
      <protection locked="0"/>
    </xf>
    <xf numFmtId="172" fontId="42" fillId="33" borderId="23" xfId="55" applyNumberFormat="1" applyFont="1" applyFill="1" applyBorder="1" applyAlignment="1" applyProtection="1">
      <alignment horizontal="center"/>
      <protection locked="0"/>
    </xf>
    <xf numFmtId="22" fontId="6" fillId="0" borderId="23" xfId="55" applyNumberFormat="1" applyFont="1" applyFill="1" applyBorder="1" applyAlignment="1" applyProtection="1">
      <alignment horizontal="center"/>
      <protection locked="0"/>
    </xf>
    <xf numFmtId="2" fontId="6" fillId="0" borderId="23" xfId="55" applyNumberFormat="1" applyFont="1" applyFill="1" applyBorder="1" applyAlignment="1" applyProtection="1">
      <alignment horizontal="center"/>
      <protection/>
    </xf>
    <xf numFmtId="3" fontId="6" fillId="0" borderId="23" xfId="55" applyNumberFormat="1" applyFont="1" applyFill="1" applyBorder="1" applyAlignment="1" applyProtection="1">
      <alignment horizontal="center"/>
      <protection/>
    </xf>
    <xf numFmtId="172" fontId="6" fillId="0" borderId="23" xfId="55" applyNumberFormat="1" applyFont="1" applyFill="1" applyBorder="1" applyAlignment="1" applyProtection="1">
      <alignment horizontal="center"/>
      <protection locked="0"/>
    </xf>
    <xf numFmtId="172" fontId="6" fillId="0" borderId="23" xfId="55" applyNumberFormat="1" applyFont="1" applyFill="1" applyBorder="1" applyAlignment="1" applyProtection="1" quotePrefix="1">
      <alignment horizontal="center"/>
      <protection locked="0"/>
    </xf>
    <xf numFmtId="2" fontId="32" fillId="34" borderId="23" xfId="55" applyNumberFormat="1" applyFont="1" applyFill="1" applyBorder="1" applyAlignment="1" applyProtection="1">
      <alignment horizontal="center"/>
      <protection locked="0"/>
    </xf>
    <xf numFmtId="2" fontId="43" fillId="36" borderId="23" xfId="55" applyNumberFormat="1" applyFont="1" applyFill="1" applyBorder="1" applyAlignment="1" applyProtection="1">
      <alignment horizontal="center"/>
      <protection locked="0"/>
    </xf>
    <xf numFmtId="172" fontId="43" fillId="37" borderId="30" xfId="55" applyNumberFormat="1" applyFont="1" applyFill="1" applyBorder="1" applyAlignment="1" applyProtection="1" quotePrefix="1">
      <alignment horizontal="center"/>
      <protection locked="0"/>
    </xf>
    <xf numFmtId="172" fontId="43" fillId="37" borderId="32" xfId="55" applyNumberFormat="1" applyFont="1" applyFill="1" applyBorder="1" applyAlignment="1" applyProtection="1" quotePrefix="1">
      <alignment horizontal="center"/>
      <protection locked="0"/>
    </xf>
    <xf numFmtId="172" fontId="44" fillId="38" borderId="30" xfId="55" applyNumberFormat="1" applyFont="1" applyFill="1" applyBorder="1" applyAlignment="1" applyProtection="1" quotePrefix="1">
      <alignment horizontal="center"/>
      <protection locked="0"/>
    </xf>
    <xf numFmtId="172" fontId="44" fillId="38" borderId="32" xfId="55" applyNumberFormat="1" applyFont="1" applyFill="1" applyBorder="1" applyAlignment="1" applyProtection="1" quotePrefix="1">
      <alignment horizontal="center"/>
      <protection locked="0"/>
    </xf>
    <xf numFmtId="172" fontId="33" fillId="39" borderId="23" xfId="55" applyNumberFormat="1" applyFont="1" applyFill="1" applyBorder="1" applyAlignment="1" applyProtection="1" quotePrefix="1">
      <alignment horizontal="center"/>
      <protection locked="0"/>
    </xf>
    <xf numFmtId="172" fontId="43" fillId="40" borderId="22" xfId="55" applyNumberFormat="1" applyFont="1" applyFill="1" applyBorder="1" applyAlignment="1" applyProtection="1" quotePrefix="1">
      <alignment horizontal="center"/>
      <protection locked="0"/>
    </xf>
    <xf numFmtId="172" fontId="35" fillId="0" borderId="31" xfId="55" applyNumberFormat="1" applyFont="1" applyFill="1" applyBorder="1" applyAlignment="1">
      <alignment horizontal="right"/>
      <protection/>
    </xf>
    <xf numFmtId="2" fontId="6" fillId="0" borderId="14" xfId="55" applyNumberFormat="1" applyFont="1" applyFill="1" applyBorder="1">
      <alignment/>
      <protection/>
    </xf>
    <xf numFmtId="0" fontId="6" fillId="0" borderId="33" xfId="55" applyFont="1" applyFill="1" applyBorder="1">
      <alignment/>
      <protection/>
    </xf>
    <xf numFmtId="0" fontId="42" fillId="33" borderId="33" xfId="55" applyFont="1" applyFill="1" applyBorder="1">
      <alignment/>
      <protection/>
    </xf>
    <xf numFmtId="0" fontId="34" fillId="35" borderId="33" xfId="55" applyFont="1" applyFill="1" applyBorder="1">
      <alignment/>
      <protection/>
    </xf>
    <xf numFmtId="0" fontId="32" fillId="34" borderId="33" xfId="55" applyFont="1" applyFill="1" applyBorder="1">
      <alignment/>
      <protection/>
    </xf>
    <xf numFmtId="0" fontId="43" fillId="36" borderId="33" xfId="55" applyFont="1" applyFill="1" applyBorder="1">
      <alignment/>
      <protection/>
    </xf>
    <xf numFmtId="0" fontId="43" fillId="37" borderId="34" xfId="55" applyFont="1" applyFill="1" applyBorder="1">
      <alignment/>
      <protection/>
    </xf>
    <xf numFmtId="0" fontId="43" fillId="37" borderId="35" xfId="55" applyFont="1" applyFill="1" applyBorder="1">
      <alignment/>
      <protection/>
    </xf>
    <xf numFmtId="0" fontId="44" fillId="38" borderId="34" xfId="55" applyFont="1" applyFill="1" applyBorder="1">
      <alignment/>
      <protection/>
    </xf>
    <xf numFmtId="0" fontId="44" fillId="38" borderId="35" xfId="55" applyFont="1" applyFill="1" applyBorder="1">
      <alignment/>
      <protection/>
    </xf>
    <xf numFmtId="0" fontId="33" fillId="39" borderId="33" xfId="55" applyFont="1" applyFill="1" applyBorder="1">
      <alignment/>
      <protection/>
    </xf>
    <xf numFmtId="0" fontId="43" fillId="40" borderId="33" xfId="55" applyFont="1" applyFill="1" applyBorder="1">
      <alignment/>
      <protection/>
    </xf>
    <xf numFmtId="0" fontId="35" fillId="0" borderId="36" xfId="55" applyFont="1" applyFill="1" applyBorder="1" applyAlignment="1">
      <alignment horizontal="right"/>
      <protection/>
    </xf>
    <xf numFmtId="7" fontId="32" fillId="34" borderId="20" xfId="55" applyNumberFormat="1" applyFont="1" applyFill="1" applyBorder="1" applyAlignment="1">
      <alignment horizontal="center"/>
      <protection/>
    </xf>
    <xf numFmtId="7" fontId="43" fillId="36" borderId="20" xfId="55" applyNumberFormat="1" applyFont="1" applyFill="1" applyBorder="1" applyAlignment="1">
      <alignment horizontal="center"/>
      <protection/>
    </xf>
    <xf numFmtId="7" fontId="43" fillId="37" borderId="20" xfId="55" applyNumberFormat="1" applyFont="1" applyFill="1" applyBorder="1" applyAlignment="1">
      <alignment horizontal="center"/>
      <protection/>
    </xf>
    <xf numFmtId="7" fontId="43" fillId="37" borderId="37" xfId="55" applyNumberFormat="1" applyFont="1" applyFill="1" applyBorder="1" applyAlignment="1">
      <alignment horizontal="center"/>
      <protection/>
    </xf>
    <xf numFmtId="7" fontId="44" fillId="38" borderId="20" xfId="55" applyNumberFormat="1" applyFont="1" applyFill="1" applyBorder="1" applyAlignment="1">
      <alignment horizontal="center"/>
      <protection/>
    </xf>
    <xf numFmtId="7" fontId="33" fillId="39" borderId="20" xfId="55" applyNumberFormat="1" applyFont="1" applyFill="1" applyBorder="1" applyAlignment="1">
      <alignment horizontal="center"/>
      <protection/>
    </xf>
    <xf numFmtId="7" fontId="43" fillId="40" borderId="20" xfId="55" applyNumberFormat="1" applyFont="1" applyFill="1" applyBorder="1" applyAlignment="1">
      <alignment horizontal="center"/>
      <protection/>
    </xf>
    <xf numFmtId="0" fontId="6" fillId="0" borderId="38" xfId="55" applyFont="1" applyFill="1" applyBorder="1">
      <alignment/>
      <protection/>
    </xf>
    <xf numFmtId="7" fontId="2" fillId="0" borderId="20" xfId="55" applyNumberFormat="1" applyFont="1" applyFill="1" applyBorder="1" applyAlignment="1" applyProtection="1">
      <alignment horizontal="right"/>
      <protection locked="0"/>
    </xf>
    <xf numFmtId="0" fontId="37" fillId="0" borderId="13" xfId="55" applyFont="1" applyFill="1" applyBorder="1">
      <alignment/>
      <protection/>
    </xf>
    <xf numFmtId="0" fontId="37" fillId="0" borderId="0" xfId="55" applyFont="1" applyFill="1" applyBorder="1">
      <alignment/>
      <protection/>
    </xf>
    <xf numFmtId="7" fontId="37" fillId="0" borderId="0" xfId="55" applyNumberFormat="1" applyFont="1" applyFill="1" applyBorder="1" applyAlignment="1">
      <alignment horizontal="center"/>
      <protection/>
    </xf>
    <xf numFmtId="7" fontId="37" fillId="0" borderId="0" xfId="55" applyNumberFormat="1" applyFont="1" applyFill="1" applyBorder="1" applyAlignment="1" applyProtection="1">
      <alignment horizontal="right"/>
      <protection locked="0"/>
    </xf>
    <xf numFmtId="0" fontId="37" fillId="0" borderId="14" xfId="55" applyFont="1" applyFill="1" applyBorder="1">
      <alignment/>
      <protection/>
    </xf>
    <xf numFmtId="0" fontId="6" fillId="0" borderId="17" xfId="55" applyFont="1" applyFill="1" applyBorder="1">
      <alignment/>
      <protection/>
    </xf>
    <xf numFmtId="0" fontId="6" fillId="0" borderId="18" xfId="55" applyFont="1" applyFill="1" applyBorder="1">
      <alignment/>
      <protection/>
    </xf>
    <xf numFmtId="0" fontId="6" fillId="0" borderId="19" xfId="55" applyFont="1" applyFill="1" applyBorder="1">
      <alignment/>
      <protection/>
    </xf>
    <xf numFmtId="0" fontId="0" fillId="0" borderId="0" xfId="55" applyFont="1" applyFill="1" applyBorder="1">
      <alignment/>
      <protection/>
    </xf>
    <xf numFmtId="0" fontId="8" fillId="0" borderId="0" xfId="55" applyFont="1" applyAlignment="1">
      <alignment horizontal="centerContinuous" vertical="center"/>
      <protection/>
    </xf>
    <xf numFmtId="0" fontId="6" fillId="0" borderId="0" xfId="55" applyFont="1" applyAlignment="1">
      <alignment horizontal="centerContinuous" vertical="center"/>
      <protection/>
    </xf>
    <xf numFmtId="0" fontId="11" fillId="0" borderId="0" xfId="55" applyFont="1" applyAlignment="1">
      <alignment horizontal="centerContinuous"/>
      <protection/>
    </xf>
    <xf numFmtId="0" fontId="45" fillId="0" borderId="0" xfId="55" applyFont="1" applyBorder="1">
      <alignment/>
      <protection/>
    </xf>
    <xf numFmtId="0" fontId="20" fillId="0" borderId="0" xfId="55" applyFont="1" applyFill="1" applyBorder="1" applyAlignment="1" applyProtection="1" quotePrefix="1">
      <alignment horizontal="centerContinuous"/>
      <protection locked="0"/>
    </xf>
    <xf numFmtId="0" fontId="1" fillId="0" borderId="15" xfId="55" applyFont="1" applyBorder="1" applyAlignment="1" applyProtection="1">
      <alignment horizontal="left"/>
      <protection/>
    </xf>
    <xf numFmtId="174" fontId="1" fillId="0" borderId="37" xfId="55" applyNumberFormat="1" applyFont="1" applyBorder="1" applyAlignment="1" applyProtection="1">
      <alignment horizontal="center"/>
      <protection/>
    </xf>
    <xf numFmtId="0" fontId="1" fillId="0" borderId="20" xfId="55" applyFont="1" applyBorder="1" applyAlignment="1">
      <alignment horizontal="center"/>
      <protection/>
    </xf>
    <xf numFmtId="22" fontId="6" fillId="0" borderId="0" xfId="55" applyNumberFormat="1" applyFont="1" applyBorder="1">
      <alignment/>
      <protection/>
    </xf>
    <xf numFmtId="0" fontId="1" fillId="0" borderId="15" xfId="55" applyFont="1" applyBorder="1">
      <alignment/>
      <protection/>
    </xf>
    <xf numFmtId="174" fontId="46" fillId="0" borderId="37" xfId="55" applyNumberFormat="1" applyFont="1" applyBorder="1" applyAlignment="1">
      <alignment horizontal="center"/>
      <protection/>
    </xf>
    <xf numFmtId="0" fontId="1" fillId="0" borderId="33" xfId="55" applyFont="1" applyBorder="1" applyAlignment="1">
      <alignment horizontal="center"/>
      <protection/>
    </xf>
    <xf numFmtId="174" fontId="6" fillId="0" borderId="0" xfId="55" applyNumberFormat="1" applyFont="1" applyBorder="1">
      <alignment/>
      <protection/>
    </xf>
    <xf numFmtId="0" fontId="6" fillId="0" borderId="0" xfId="55" applyFont="1" applyBorder="1" applyAlignment="1" quotePrefix="1">
      <alignment horizontal="center"/>
      <protection/>
    </xf>
    <xf numFmtId="0" fontId="1" fillId="0" borderId="15" xfId="55" applyFont="1" applyBorder="1" applyAlignment="1">
      <alignment horizontal="left"/>
      <protection/>
    </xf>
    <xf numFmtId="1" fontId="1" fillId="0" borderId="33" xfId="55" applyNumberFormat="1" applyFont="1" applyBorder="1" applyAlignment="1">
      <alignment horizontal="center"/>
      <protection/>
    </xf>
    <xf numFmtId="0" fontId="25" fillId="0" borderId="0" xfId="55" applyFont="1">
      <alignment/>
      <protection/>
    </xf>
    <xf numFmtId="0" fontId="25" fillId="0" borderId="13" xfId="55" applyFont="1" applyBorder="1">
      <alignment/>
      <protection/>
    </xf>
    <xf numFmtId="0" fontId="25" fillId="0" borderId="16" xfId="55" applyFont="1" applyFill="1" applyBorder="1" applyAlignment="1" applyProtection="1">
      <alignment horizontal="center" vertical="center"/>
      <protection/>
    </xf>
    <xf numFmtId="0" fontId="25" fillId="0" borderId="25" xfId="55" applyFont="1" applyFill="1" applyBorder="1" applyAlignment="1">
      <alignment horizontal="center" vertical="center" wrapText="1"/>
      <protection/>
    </xf>
    <xf numFmtId="0" fontId="40" fillId="40" borderId="20" xfId="55" applyFont="1" applyFill="1" applyBorder="1" applyAlignment="1" applyProtection="1">
      <alignment horizontal="center" vertical="center"/>
      <protection/>
    </xf>
    <xf numFmtId="0" fontId="47" fillId="39" borderId="20" xfId="55" applyFont="1" applyFill="1" applyBorder="1" applyAlignment="1">
      <alignment horizontal="center" vertical="center" wrapText="1"/>
      <protection/>
    </xf>
    <xf numFmtId="0" fontId="40" fillId="38" borderId="15" xfId="55" applyFont="1" applyFill="1" applyBorder="1" applyAlignment="1" applyProtection="1">
      <alignment horizontal="centerContinuous" vertical="center" wrapText="1"/>
      <protection/>
    </xf>
    <xf numFmtId="0" fontId="40" fillId="38" borderId="16" xfId="55" applyFont="1" applyFill="1" applyBorder="1" applyAlignment="1">
      <alignment horizontal="centerContinuous" vertical="center"/>
      <protection/>
    </xf>
    <xf numFmtId="0" fontId="28" fillId="41" borderId="20" xfId="55" applyFont="1" applyFill="1" applyBorder="1" applyAlignment="1">
      <alignment horizontal="center" vertical="center" wrapText="1"/>
      <protection/>
    </xf>
    <xf numFmtId="0" fontId="25" fillId="0" borderId="14" xfId="55" applyFont="1" applyFill="1" applyBorder="1">
      <alignment/>
      <protection/>
    </xf>
    <xf numFmtId="168" fontId="6" fillId="0" borderId="23" xfId="55" applyNumberFormat="1" applyFont="1" applyFill="1" applyBorder="1" applyAlignment="1" applyProtection="1">
      <alignment horizontal="center"/>
      <protection locked="0"/>
    </xf>
    <xf numFmtId="0" fontId="31" fillId="33" borderId="21" xfId="55" applyFont="1" applyFill="1" applyBorder="1" applyAlignment="1" applyProtection="1">
      <alignment horizontal="center"/>
      <protection locked="0"/>
    </xf>
    <xf numFmtId="0" fontId="6" fillId="0" borderId="31" xfId="55" applyFont="1" applyFill="1" applyBorder="1" applyAlignment="1" applyProtection="1">
      <alignment horizontal="center"/>
      <protection locked="0"/>
    </xf>
    <xf numFmtId="0" fontId="48" fillId="40" borderId="21" xfId="55" applyFont="1" applyFill="1" applyBorder="1" applyAlignment="1" applyProtection="1">
      <alignment horizontal="center"/>
      <protection locked="0"/>
    </xf>
    <xf numFmtId="0" fontId="49" fillId="39" borderId="21" xfId="55" applyFont="1" applyFill="1" applyBorder="1" applyAlignment="1" applyProtection="1">
      <alignment horizontal="center"/>
      <protection locked="0"/>
    </xf>
    <xf numFmtId="172" fontId="43" fillId="38" borderId="27" xfId="55" applyNumberFormat="1" applyFont="1" applyFill="1" applyBorder="1" applyAlignment="1" applyProtection="1" quotePrefix="1">
      <alignment horizontal="center"/>
      <protection locked="0"/>
    </xf>
    <xf numFmtId="172" fontId="43" fillId="38" borderId="39" xfId="55" applyNumberFormat="1" applyFont="1" applyFill="1" applyBorder="1" applyAlignment="1" applyProtection="1" quotePrefix="1">
      <alignment horizontal="center"/>
      <protection locked="0"/>
    </xf>
    <xf numFmtId="172" fontId="32" fillId="41" borderId="21" xfId="55" applyNumberFormat="1" applyFont="1" applyFill="1" applyBorder="1" applyAlignment="1" applyProtection="1" quotePrefix="1">
      <alignment horizontal="center"/>
      <protection locked="0"/>
    </xf>
    <xf numFmtId="0" fontId="6" fillId="0" borderId="29" xfId="55" applyFont="1" applyFill="1" applyBorder="1" applyAlignment="1" applyProtection="1">
      <alignment horizontal="left"/>
      <protection locked="0"/>
    </xf>
    <xf numFmtId="0" fontId="35" fillId="0" borderId="23" xfId="55" applyFont="1" applyFill="1" applyBorder="1" applyAlignment="1">
      <alignment horizontal="center"/>
      <protection/>
    </xf>
    <xf numFmtId="0" fontId="50" fillId="0" borderId="29" xfId="55" applyFont="1" applyFill="1" applyBorder="1" applyAlignment="1" applyProtection="1">
      <alignment horizontal="center"/>
      <protection locked="0"/>
    </xf>
    <xf numFmtId="175" fontId="5" fillId="0" borderId="23" xfId="55" applyNumberFormat="1" applyFont="1" applyFill="1" applyBorder="1" applyAlignment="1" applyProtection="1">
      <alignment horizontal="center"/>
      <protection locked="0"/>
    </xf>
    <xf numFmtId="174" fontId="31" fillId="33" borderId="23" xfId="55" applyNumberFormat="1" applyFont="1" applyFill="1" applyBorder="1" applyAlignment="1" applyProtection="1">
      <alignment horizontal="center"/>
      <protection locked="0"/>
    </xf>
    <xf numFmtId="22" fontId="6" fillId="0" borderId="22" xfId="55" applyNumberFormat="1" applyFont="1" applyFill="1" applyBorder="1" applyAlignment="1" applyProtection="1">
      <alignment horizontal="center"/>
      <protection locked="0"/>
    </xf>
    <xf numFmtId="22" fontId="6" fillId="0" borderId="32" xfId="55" applyNumberFormat="1" applyFont="1" applyFill="1" applyBorder="1" applyAlignment="1" applyProtection="1">
      <alignment horizontal="center"/>
      <protection locked="0"/>
    </xf>
    <xf numFmtId="168" fontId="6" fillId="0" borderId="23" xfId="55" applyNumberFormat="1" applyFont="1" applyFill="1" applyBorder="1" applyAlignment="1" applyProtection="1" quotePrefix="1">
      <alignment horizontal="center"/>
      <protection/>
    </xf>
    <xf numFmtId="168" fontId="48" fillId="40" borderId="23" xfId="55" applyNumberFormat="1" applyFont="1" applyFill="1" applyBorder="1" applyAlignment="1" applyProtection="1">
      <alignment horizontal="center"/>
      <protection locked="0"/>
    </xf>
    <xf numFmtId="2" fontId="49" fillId="39" borderId="23" xfId="55" applyNumberFormat="1" applyFont="1" applyFill="1" applyBorder="1" applyAlignment="1" applyProtection="1">
      <alignment horizontal="center"/>
      <protection locked="0"/>
    </xf>
    <xf numFmtId="172" fontId="43" fillId="38" borderId="30" xfId="55" applyNumberFormat="1" applyFont="1" applyFill="1" applyBorder="1" applyAlignment="1" applyProtection="1" quotePrefix="1">
      <alignment horizontal="center"/>
      <protection locked="0"/>
    </xf>
    <xf numFmtId="172" fontId="43" fillId="38" borderId="32" xfId="55" applyNumberFormat="1" applyFont="1" applyFill="1" applyBorder="1" applyAlignment="1" applyProtection="1" quotePrefix="1">
      <alignment horizontal="center"/>
      <protection locked="0"/>
    </xf>
    <xf numFmtId="172" fontId="32" fillId="41" borderId="23" xfId="55" applyNumberFormat="1" applyFont="1" applyFill="1" applyBorder="1" applyAlignment="1" applyProtection="1" quotePrefix="1">
      <alignment horizontal="center"/>
      <protection locked="0"/>
    </xf>
    <xf numFmtId="172" fontId="6" fillId="0" borderId="29" xfId="55" applyNumberFormat="1" applyFont="1" applyFill="1" applyBorder="1" applyAlignment="1" applyProtection="1">
      <alignment horizontal="center"/>
      <protection locked="0"/>
    </xf>
    <xf numFmtId="172" fontId="35" fillId="0" borderId="23" xfId="55" applyNumberFormat="1" applyFont="1" applyFill="1" applyBorder="1" applyAlignment="1">
      <alignment horizontal="center"/>
      <protection/>
    </xf>
    <xf numFmtId="175" fontId="5" fillId="0" borderId="23" xfId="55" applyNumberFormat="1" applyFont="1" applyFill="1" applyBorder="1" applyAlignment="1" applyProtection="1" quotePrefix="1">
      <alignment horizontal="center"/>
      <protection locked="0"/>
    </xf>
    <xf numFmtId="172" fontId="35" fillId="0" borderId="23" xfId="55" applyNumberFormat="1" applyFont="1" applyFill="1" applyBorder="1" applyAlignment="1">
      <alignment horizontal="right"/>
      <protection/>
    </xf>
    <xf numFmtId="0" fontId="31" fillId="33" borderId="33" xfId="55" applyFont="1" applyFill="1" applyBorder="1">
      <alignment/>
      <protection/>
    </xf>
    <xf numFmtId="0" fontId="48" fillId="40" borderId="33" xfId="55" applyFont="1" applyFill="1" applyBorder="1">
      <alignment/>
      <protection/>
    </xf>
    <xf numFmtId="0" fontId="49" fillId="39" borderId="33" xfId="55" applyFont="1" applyFill="1" applyBorder="1">
      <alignment/>
      <protection/>
    </xf>
    <xf numFmtId="0" fontId="43" fillId="38" borderId="34" xfId="55" applyFont="1" applyFill="1" applyBorder="1">
      <alignment/>
      <protection/>
    </xf>
    <xf numFmtId="0" fontId="43" fillId="38" borderId="35" xfId="55" applyFont="1" applyFill="1" applyBorder="1">
      <alignment/>
      <protection/>
    </xf>
    <xf numFmtId="0" fontId="32" fillId="41" borderId="33" xfId="55" applyFont="1" applyFill="1" applyBorder="1">
      <alignment/>
      <protection/>
    </xf>
    <xf numFmtId="0" fontId="35" fillId="0" borderId="36" xfId="55" applyFont="1" applyFill="1" applyBorder="1">
      <alignment/>
      <protection/>
    </xf>
    <xf numFmtId="2" fontId="49" fillId="39" borderId="20" xfId="55" applyNumberFormat="1" applyFont="1" applyFill="1" applyBorder="1" applyAlignment="1">
      <alignment horizontal="center"/>
      <protection/>
    </xf>
    <xf numFmtId="2" fontId="43" fillId="38" borderId="20" xfId="55" applyNumberFormat="1" applyFont="1" applyFill="1" applyBorder="1" applyAlignment="1">
      <alignment horizontal="center"/>
      <protection/>
    </xf>
    <xf numFmtId="2" fontId="32" fillId="41" borderId="20" xfId="55" applyNumberFormat="1" applyFont="1" applyFill="1" applyBorder="1" applyAlignment="1">
      <alignment horizontal="center"/>
      <protection/>
    </xf>
    <xf numFmtId="7" fontId="6" fillId="0" borderId="0" xfId="55" applyNumberFormat="1" applyFont="1" applyFill="1" applyBorder="1" applyAlignment="1">
      <alignment horizontal="center"/>
      <protection/>
    </xf>
    <xf numFmtId="7" fontId="2" fillId="0" borderId="20" xfId="55" applyNumberFormat="1" applyFont="1" applyFill="1" applyBorder="1" applyAlignment="1" applyProtection="1">
      <alignment horizontal="right"/>
      <protection locked="0"/>
    </xf>
    <xf numFmtId="7" fontId="39" fillId="0" borderId="0" xfId="55" applyNumberFormat="1" applyFont="1" applyFill="1" applyBorder="1" applyAlignment="1" applyProtection="1">
      <alignment horizontal="center"/>
      <protection locked="0"/>
    </xf>
    <xf numFmtId="0" fontId="1" fillId="0" borderId="0" xfId="55" applyFont="1">
      <alignment/>
      <protection/>
    </xf>
    <xf numFmtId="0" fontId="51" fillId="0" borderId="0" xfId="55" applyFont="1" applyAlignment="1">
      <alignment horizontal="right" vertical="top"/>
      <protection/>
    </xf>
    <xf numFmtId="0" fontId="51" fillId="0" borderId="0" xfId="55" applyFont="1" applyFill="1" applyAlignment="1">
      <alignment horizontal="right" vertical="top"/>
      <protection/>
    </xf>
    <xf numFmtId="0" fontId="21" fillId="0" borderId="0" xfId="55" applyFont="1" applyBorder="1" applyAlignment="1">
      <alignment horizontal="center"/>
      <protection/>
    </xf>
    <xf numFmtId="0" fontId="52" fillId="0" borderId="0" xfId="55" applyNumberFormat="1" applyFont="1" applyBorder="1" applyAlignment="1">
      <alignment horizontal="left"/>
      <protection/>
    </xf>
    <xf numFmtId="0" fontId="6" fillId="0" borderId="29" xfId="55" applyFont="1" applyFill="1" applyBorder="1" applyProtection="1">
      <alignment/>
      <protection locked="0"/>
    </xf>
    <xf numFmtId="0" fontId="25" fillId="0" borderId="20" xfId="0" applyFont="1" applyBorder="1" applyAlignment="1">
      <alignment horizontal="center" vertical="center"/>
    </xf>
    <xf numFmtId="0" fontId="1" fillId="33" borderId="4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40" xfId="0" applyFont="1" applyBorder="1" applyAlignment="1">
      <alignment/>
    </xf>
    <xf numFmtId="0" fontId="1" fillId="0" borderId="40" xfId="0" applyFont="1" applyBorder="1" applyAlignment="1" quotePrefix="1">
      <alignment/>
    </xf>
    <xf numFmtId="0" fontId="54" fillId="33" borderId="40" xfId="0" applyFont="1" applyFill="1" applyBorder="1" applyAlignment="1">
      <alignment horizontal="center"/>
    </xf>
    <xf numFmtId="0" fontId="1" fillId="42" borderId="0" xfId="0" applyFont="1" applyFill="1" applyAlignment="1">
      <alignment/>
    </xf>
    <xf numFmtId="0" fontId="1" fillId="42" borderId="0" xfId="0" applyNumberFormat="1" applyFont="1" applyFill="1" applyAlignment="1">
      <alignment/>
    </xf>
    <xf numFmtId="0" fontId="54" fillId="0" borderId="40" xfId="0" applyFont="1" applyFill="1" applyBorder="1" applyAlignment="1">
      <alignment horizontal="center"/>
    </xf>
    <xf numFmtId="0" fontId="1" fillId="42" borderId="0" xfId="54" applyFont="1" applyFill="1" applyAlignment="1">
      <alignment/>
      <protection/>
    </xf>
    <xf numFmtId="0" fontId="1" fillId="0" borderId="0" xfId="0" applyFont="1" applyFill="1" applyAlignment="1">
      <alignment/>
    </xf>
    <xf numFmtId="0" fontId="7" fillId="0" borderId="40" xfId="0" applyFont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41" xfId="0" applyFont="1" applyBorder="1" applyAlignment="1">
      <alignment/>
    </xf>
    <xf numFmtId="0" fontId="55" fillId="0" borderId="40" xfId="0" applyFont="1" applyFill="1" applyBorder="1" applyAlignment="1">
      <alignment/>
    </xf>
    <xf numFmtId="0" fontId="55" fillId="0" borderId="41" xfId="0" applyFont="1" applyFill="1" applyBorder="1" applyAlignment="1">
      <alignment/>
    </xf>
    <xf numFmtId="174" fontId="1" fillId="0" borderId="37" xfId="55" applyNumberFormat="1" applyFont="1" applyBorder="1" applyAlignment="1">
      <alignment horizontal="center"/>
      <protection/>
    </xf>
    <xf numFmtId="0" fontId="48" fillId="0" borderId="0" xfId="55" applyFont="1" applyBorder="1">
      <alignment/>
      <protection/>
    </xf>
    <xf numFmtId="0" fontId="48" fillId="0" borderId="0" xfId="55" applyFont="1" applyFill="1" applyBorder="1">
      <alignment/>
      <protection/>
    </xf>
    <xf numFmtId="169" fontId="6" fillId="0" borderId="22" xfId="55" applyNumberFormat="1" applyFont="1" applyBorder="1" applyAlignment="1" applyProtection="1">
      <alignment horizontal="center"/>
      <protection locked="0"/>
    </xf>
    <xf numFmtId="0" fontId="57" fillId="0" borderId="0" xfId="55" applyFont="1" applyBorder="1" applyAlignment="1">
      <alignment horizontal="left"/>
      <protection/>
    </xf>
    <xf numFmtId="0" fontId="1" fillId="0" borderId="0" xfId="56">
      <alignment/>
      <protection/>
    </xf>
    <xf numFmtId="0" fontId="51" fillId="0" borderId="0" xfId="56" applyFont="1" applyAlignment="1">
      <alignment horizontal="right" vertical="top"/>
      <protection/>
    </xf>
    <xf numFmtId="0" fontId="58" fillId="0" borderId="0" xfId="56" applyFont="1">
      <alignment/>
      <protection/>
    </xf>
    <xf numFmtId="0" fontId="59" fillId="0" borderId="0" xfId="56" applyFont="1" applyAlignment="1">
      <alignment horizontal="centerContinuous"/>
      <protection/>
    </xf>
    <xf numFmtId="0" fontId="4" fillId="0" borderId="0" xfId="56" applyFont="1" applyBorder="1" applyAlignment="1" applyProtection="1">
      <alignment horizontal="centerContinuous" vertical="center"/>
      <protection/>
    </xf>
    <xf numFmtId="0" fontId="54" fillId="0" borderId="0" xfId="56" applyFont="1" applyAlignment="1">
      <alignment horizontal="centerContinuous" vertical="center"/>
      <protection/>
    </xf>
    <xf numFmtId="0" fontId="54" fillId="0" borderId="0" xfId="56" applyFont="1">
      <alignment/>
      <protection/>
    </xf>
    <xf numFmtId="0" fontId="60" fillId="0" borderId="0" xfId="56" applyFont="1" applyBorder="1" applyAlignment="1">
      <alignment horizontal="centerContinuous"/>
      <protection/>
    </xf>
    <xf numFmtId="0" fontId="61" fillId="0" borderId="0" xfId="56" applyFont="1" applyBorder="1" applyAlignment="1" applyProtection="1">
      <alignment horizontal="left"/>
      <protection/>
    </xf>
    <xf numFmtId="0" fontId="62" fillId="0" borderId="0" xfId="56" applyFont="1" applyBorder="1" applyAlignment="1">
      <alignment horizontal="centerContinuous"/>
      <protection/>
    </xf>
    <xf numFmtId="0" fontId="63" fillId="0" borderId="0" xfId="56" applyFont="1" applyBorder="1" applyAlignment="1" applyProtection="1">
      <alignment horizontal="centerContinuous"/>
      <protection/>
    </xf>
    <xf numFmtId="0" fontId="1" fillId="0" borderId="0" xfId="56" applyAlignment="1">
      <alignment horizontal="centerContinuous"/>
      <protection/>
    </xf>
    <xf numFmtId="0" fontId="63" fillId="0" borderId="0" xfId="56" applyFont="1" applyAlignment="1">
      <alignment horizontal="centerContinuous"/>
      <protection/>
    </xf>
    <xf numFmtId="0" fontId="1" fillId="0" borderId="10" xfId="56" applyBorder="1">
      <alignment/>
      <protection/>
    </xf>
    <xf numFmtId="0" fontId="1" fillId="0" borderId="11" xfId="56" applyBorder="1">
      <alignment/>
      <protection/>
    </xf>
    <xf numFmtId="0" fontId="64" fillId="0" borderId="11" xfId="56" applyFont="1" applyBorder="1">
      <alignment/>
      <protection/>
    </xf>
    <xf numFmtId="0" fontId="1" fillId="0" borderId="12" xfId="56" applyBorder="1">
      <alignment/>
      <protection/>
    </xf>
    <xf numFmtId="0" fontId="20" fillId="0" borderId="13" xfId="56" applyFont="1" applyBorder="1" applyAlignment="1">
      <alignment horizontal="centerContinuous"/>
      <protection/>
    </xf>
    <xf numFmtId="0" fontId="64" fillId="0" borderId="0" xfId="56" applyFont="1" applyBorder="1" applyAlignment="1">
      <alignment horizontal="centerContinuous"/>
      <protection/>
    </xf>
    <xf numFmtId="0" fontId="1" fillId="0" borderId="0" xfId="56" applyBorder="1" applyAlignment="1">
      <alignment horizontal="centerContinuous"/>
      <protection/>
    </xf>
    <xf numFmtId="0" fontId="1" fillId="0" borderId="14" xfId="56" applyBorder="1" applyAlignment="1">
      <alignment horizontal="centerContinuous"/>
      <protection/>
    </xf>
    <xf numFmtId="0" fontId="1" fillId="0" borderId="13" xfId="56" applyBorder="1">
      <alignment/>
      <protection/>
    </xf>
    <xf numFmtId="0" fontId="1" fillId="0" borderId="42" xfId="56" applyBorder="1">
      <alignment/>
      <protection/>
    </xf>
    <xf numFmtId="0" fontId="64" fillId="0" borderId="0" xfId="56" applyFont="1" applyBorder="1" applyAlignment="1" applyProtection="1">
      <alignment horizontal="center"/>
      <protection/>
    </xf>
    <xf numFmtId="0" fontId="64" fillId="0" borderId="0" xfId="56" applyFont="1" applyBorder="1">
      <alignment/>
      <protection/>
    </xf>
    <xf numFmtId="0" fontId="1" fillId="0" borderId="0" xfId="56" applyBorder="1">
      <alignment/>
      <protection/>
    </xf>
    <xf numFmtId="0" fontId="1" fillId="0" borderId="14" xfId="56" applyBorder="1">
      <alignment/>
      <protection/>
    </xf>
    <xf numFmtId="0" fontId="65" fillId="0" borderId="0" xfId="56" applyFont="1" applyAlignment="1">
      <alignment horizontal="centerContinuous" vertical="center"/>
      <protection/>
    </xf>
    <xf numFmtId="0" fontId="65" fillId="0" borderId="13" xfId="56" applyFont="1" applyBorder="1" applyAlignment="1">
      <alignment horizontal="centerContinuous" vertical="center"/>
      <protection/>
    </xf>
    <xf numFmtId="0" fontId="65" fillId="43" borderId="43" xfId="56" applyFont="1" applyFill="1" applyBorder="1" applyAlignment="1" applyProtection="1">
      <alignment horizontal="centerContinuous" vertical="center"/>
      <protection/>
    </xf>
    <xf numFmtId="0" fontId="65" fillId="43" borderId="43" xfId="56" applyFont="1" applyFill="1" applyBorder="1" applyAlignment="1" applyProtection="1">
      <alignment horizontal="centerContinuous" vertical="center" wrapText="1"/>
      <protection/>
    </xf>
    <xf numFmtId="172" fontId="65" fillId="43" borderId="20" xfId="56" applyNumberFormat="1" applyFont="1" applyFill="1" applyBorder="1" applyAlignment="1" applyProtection="1">
      <alignment horizontal="centerContinuous" vertical="center" wrapText="1"/>
      <protection/>
    </xf>
    <xf numFmtId="17" fontId="65" fillId="43" borderId="16" xfId="56" applyNumberFormat="1" applyFont="1" applyFill="1" applyBorder="1" applyAlignment="1">
      <alignment horizontal="center" vertical="center"/>
      <protection/>
    </xf>
    <xf numFmtId="0" fontId="65" fillId="0" borderId="14" xfId="56" applyFont="1" applyBorder="1" applyAlignment="1">
      <alignment vertical="center"/>
      <protection/>
    </xf>
    <xf numFmtId="0" fontId="65" fillId="0" borderId="0" xfId="56" applyFont="1" applyAlignment="1">
      <alignment vertical="center"/>
      <protection/>
    </xf>
    <xf numFmtId="0" fontId="65" fillId="0" borderId="13" xfId="56" applyFont="1" applyBorder="1" applyAlignment="1">
      <alignment vertical="center"/>
      <protection/>
    </xf>
    <xf numFmtId="0" fontId="65" fillId="0" borderId="29" xfId="56" applyFont="1" applyBorder="1" applyAlignment="1">
      <alignment vertical="center"/>
      <protection/>
    </xf>
    <xf numFmtId="0" fontId="65" fillId="0" borderId="44" xfId="56" applyFont="1" applyBorder="1" applyAlignment="1">
      <alignment vertical="center"/>
      <protection/>
    </xf>
    <xf numFmtId="0" fontId="65" fillId="0" borderId="36" xfId="56" applyFont="1" applyBorder="1" applyAlignment="1">
      <alignment vertical="center"/>
      <protection/>
    </xf>
    <xf numFmtId="0" fontId="65" fillId="0" borderId="45" xfId="56" applyFont="1" applyBorder="1" applyAlignment="1">
      <alignment vertical="center"/>
      <protection/>
    </xf>
    <xf numFmtId="0" fontId="65" fillId="44" borderId="29" xfId="56" applyFont="1" applyFill="1" applyBorder="1" applyAlignment="1">
      <alignment horizontal="center" vertical="center"/>
      <protection/>
    </xf>
    <xf numFmtId="0" fontId="65" fillId="44" borderId="46" xfId="56" applyFont="1" applyFill="1" applyBorder="1" applyAlignment="1" applyProtection="1">
      <alignment horizontal="center" vertical="center"/>
      <protection/>
    </xf>
    <xf numFmtId="2" fontId="65" fillId="44" borderId="22" xfId="56" applyNumberFormat="1" applyFont="1" applyFill="1" applyBorder="1" applyAlignment="1" applyProtection="1">
      <alignment horizontal="center" vertical="center"/>
      <protection/>
    </xf>
    <xf numFmtId="0" fontId="65" fillId="45" borderId="29" xfId="56" applyFont="1" applyFill="1" applyBorder="1" applyAlignment="1">
      <alignment horizontal="center" vertical="center"/>
      <protection/>
    </xf>
    <xf numFmtId="0" fontId="65" fillId="45" borderId="46" xfId="56" applyFont="1" applyFill="1" applyBorder="1" applyAlignment="1" applyProtection="1">
      <alignment horizontal="center" vertical="center"/>
      <protection/>
    </xf>
    <xf numFmtId="2" fontId="65" fillId="45" borderId="22" xfId="56" applyNumberFormat="1" applyFont="1" applyFill="1" applyBorder="1" applyAlignment="1" applyProtection="1">
      <alignment horizontal="center" vertical="center"/>
      <protection/>
    </xf>
    <xf numFmtId="0" fontId="65" fillId="45" borderId="22" xfId="56" applyFont="1" applyFill="1" applyBorder="1" applyAlignment="1">
      <alignment horizontal="center" vertical="center"/>
      <protection/>
    </xf>
    <xf numFmtId="0" fontId="65" fillId="45" borderId="47" xfId="56" applyFont="1" applyFill="1" applyBorder="1" applyAlignment="1" applyProtection="1">
      <alignment horizontal="center" vertical="center"/>
      <protection/>
    </xf>
    <xf numFmtId="2" fontId="65" fillId="45" borderId="48" xfId="56" applyNumberFormat="1" applyFont="1" applyFill="1" applyBorder="1" applyAlignment="1" applyProtection="1">
      <alignment horizontal="center" vertical="center"/>
      <protection/>
    </xf>
    <xf numFmtId="0" fontId="65" fillId="0" borderId="49" xfId="56" applyFont="1" applyBorder="1" applyAlignment="1">
      <alignment horizontal="center" vertical="center"/>
      <protection/>
    </xf>
    <xf numFmtId="0" fontId="65" fillId="0" borderId="50" xfId="56" applyFont="1" applyBorder="1" applyAlignment="1" applyProtection="1">
      <alignment horizontal="left" vertical="center"/>
      <protection/>
    </xf>
    <xf numFmtId="0" fontId="65" fillId="0" borderId="50" xfId="56" applyFont="1" applyBorder="1" applyAlignment="1" applyProtection="1">
      <alignment horizontal="center" vertical="center"/>
      <protection/>
    </xf>
    <xf numFmtId="2" fontId="65" fillId="0" borderId="51" xfId="56" applyNumberFormat="1" applyFont="1" applyBorder="1" applyAlignment="1" applyProtection="1">
      <alignment horizontal="center" vertical="center"/>
      <protection/>
    </xf>
    <xf numFmtId="0" fontId="65" fillId="0" borderId="0" xfId="56" applyFont="1" applyBorder="1" applyAlignment="1">
      <alignment horizontal="center" vertical="center"/>
      <protection/>
    </xf>
    <xf numFmtId="0" fontId="65" fillId="0" borderId="0" xfId="56" applyFont="1" applyBorder="1" applyAlignment="1" applyProtection="1">
      <alignment horizontal="left" vertical="center"/>
      <protection/>
    </xf>
    <xf numFmtId="0" fontId="66" fillId="0" borderId="24" xfId="56" applyFont="1" applyBorder="1" applyAlignment="1" applyProtection="1">
      <alignment horizontal="right" vertical="center"/>
      <protection/>
    </xf>
    <xf numFmtId="172" fontId="66" fillId="0" borderId="51" xfId="56" applyNumberFormat="1" applyFont="1" applyBorder="1" applyAlignment="1" applyProtection="1">
      <alignment horizontal="center" vertical="center"/>
      <protection/>
    </xf>
    <xf numFmtId="1" fontId="65" fillId="0" borderId="20" xfId="56" applyNumberFormat="1" applyFont="1" applyFill="1" applyBorder="1" applyAlignment="1">
      <alignment horizontal="center" vertical="center"/>
      <protection/>
    </xf>
    <xf numFmtId="1" fontId="65" fillId="0" borderId="20" xfId="56" applyNumberFormat="1" applyFont="1" applyBorder="1" applyAlignment="1">
      <alignment horizontal="center" vertical="center"/>
      <protection/>
    </xf>
    <xf numFmtId="0" fontId="65" fillId="0" borderId="0" xfId="56" applyFont="1" applyBorder="1" applyAlignment="1">
      <alignment vertical="center"/>
      <protection/>
    </xf>
    <xf numFmtId="0" fontId="65" fillId="0" borderId="0" xfId="56" applyFont="1" applyBorder="1" applyAlignment="1" applyProtection="1">
      <alignment horizontal="center" vertical="center"/>
      <protection/>
    </xf>
    <xf numFmtId="0" fontId="66" fillId="0" borderId="0" xfId="56" applyFont="1" applyAlignment="1">
      <alignment horizontal="right" vertical="center"/>
      <protection/>
    </xf>
    <xf numFmtId="1" fontId="65" fillId="0" borderId="20" xfId="56" applyNumberFormat="1" applyFont="1" applyBorder="1" applyAlignment="1" applyProtection="1">
      <alignment horizontal="center" vertical="center"/>
      <protection/>
    </xf>
    <xf numFmtId="17" fontId="66" fillId="0" borderId="0" xfId="56" applyNumberFormat="1" applyFont="1" applyBorder="1" applyAlignment="1">
      <alignment horizontal="right" vertical="center"/>
      <protection/>
    </xf>
    <xf numFmtId="2" fontId="66" fillId="46" borderId="51" xfId="57" applyNumberFormat="1" applyFont="1" applyFill="1" applyBorder="1" applyAlignment="1">
      <alignment horizontal="center" vertical="center"/>
      <protection/>
    </xf>
    <xf numFmtId="2" fontId="66" fillId="47" borderId="52" xfId="57" applyNumberFormat="1" applyFont="1" applyFill="1" applyBorder="1" applyAlignment="1">
      <alignment horizontal="center" vertical="center"/>
      <protection/>
    </xf>
    <xf numFmtId="0" fontId="6" fillId="0" borderId="0" xfId="56" applyFont="1" applyBorder="1">
      <alignment/>
      <protection/>
    </xf>
    <xf numFmtId="0" fontId="3" fillId="0" borderId="0" xfId="56" applyFont="1" applyBorder="1" applyAlignment="1" applyProtection="1">
      <alignment horizontal="center"/>
      <protection/>
    </xf>
    <xf numFmtId="172" fontId="3" fillId="0" borderId="0" xfId="56" applyNumberFormat="1" applyFont="1" applyBorder="1" applyAlignment="1" applyProtection="1">
      <alignment horizontal="right"/>
      <protection/>
    </xf>
    <xf numFmtId="2" fontId="1" fillId="0" borderId="0" xfId="56" applyNumberFormat="1" applyBorder="1" applyAlignment="1">
      <alignment horizontal="center"/>
      <protection/>
    </xf>
    <xf numFmtId="2" fontId="1" fillId="0" borderId="14" xfId="56" applyNumberFormat="1" applyBorder="1" applyAlignment="1">
      <alignment horizontal="center"/>
      <protection/>
    </xf>
    <xf numFmtId="0" fontId="67" fillId="0" borderId="13" xfId="56" applyFont="1" applyBorder="1">
      <alignment/>
      <protection/>
    </xf>
    <xf numFmtId="0" fontId="1" fillId="0" borderId="15" xfId="56" applyFont="1" applyBorder="1">
      <alignment/>
      <protection/>
    </xf>
    <xf numFmtId="0" fontId="68" fillId="0" borderId="25" xfId="56" applyFont="1" applyBorder="1" applyAlignment="1">
      <alignment horizontal="center"/>
      <protection/>
    </xf>
    <xf numFmtId="2" fontId="69" fillId="0" borderId="25" xfId="56" applyNumberFormat="1" applyFont="1" applyBorder="1" applyAlignment="1">
      <alignment horizontal="center"/>
      <protection/>
    </xf>
    <xf numFmtId="0" fontId="70" fillId="0" borderId="25" xfId="56" applyFont="1" applyBorder="1">
      <alignment/>
      <protection/>
    </xf>
    <xf numFmtId="0" fontId="1" fillId="0" borderId="25" xfId="56" applyBorder="1">
      <alignment/>
      <protection/>
    </xf>
    <xf numFmtId="0" fontId="1" fillId="0" borderId="16" xfId="56" applyBorder="1">
      <alignment/>
      <protection/>
    </xf>
    <xf numFmtId="1" fontId="1" fillId="0" borderId="0" xfId="56" applyNumberFormat="1" applyBorder="1" applyAlignment="1">
      <alignment horizontal="center"/>
      <protection/>
    </xf>
    <xf numFmtId="0" fontId="67" fillId="0" borderId="17" xfId="56" applyFont="1" applyBorder="1">
      <alignment/>
      <protection/>
    </xf>
    <xf numFmtId="0" fontId="3" fillId="0" borderId="18" xfId="56" applyFont="1" applyBorder="1" applyAlignment="1" applyProtection="1">
      <alignment horizontal="left"/>
      <protection/>
    </xf>
    <xf numFmtId="0" fontId="6" fillId="0" borderId="18" xfId="56" applyFont="1" applyBorder="1">
      <alignment/>
      <protection/>
    </xf>
    <xf numFmtId="0" fontId="3" fillId="0" borderId="18" xfId="56" applyFont="1" applyBorder="1" applyAlignment="1">
      <alignment horizontal="center"/>
      <protection/>
    </xf>
    <xf numFmtId="0" fontId="1" fillId="0" borderId="18" xfId="56" applyBorder="1">
      <alignment/>
      <protection/>
    </xf>
    <xf numFmtId="0" fontId="1" fillId="0" borderId="19" xfId="56" applyBorder="1">
      <alignment/>
      <protection/>
    </xf>
    <xf numFmtId="0" fontId="4" fillId="0" borderId="0" xfId="55" applyFont="1" applyFill="1" applyBorder="1" applyAlignment="1" applyProtection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Comahue" xfId="54"/>
    <cellStyle name="Normal_Cuyo" xfId="55"/>
    <cellStyle name="Normal_T0002CUY" xfId="56"/>
    <cellStyle name="Normal_T9904CUY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685800</xdr:colOff>
      <xdr:row>0</xdr:row>
      <xdr:rowOff>0</xdr:rowOff>
    </xdr:from>
    <xdr:to>
      <xdr:col>0</xdr:col>
      <xdr:colOff>1171575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9525</xdr:rowOff>
    </xdr:from>
    <xdr:to>
      <xdr:col>0</xdr:col>
      <xdr:colOff>914400</xdr:colOff>
      <xdr:row>2</xdr:row>
      <xdr:rowOff>104775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9525"/>
          <a:ext cx="4762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0</xdr:rowOff>
    </xdr:from>
    <xdr:to>
      <xdr:col>0</xdr:col>
      <xdr:colOff>942975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1066800</xdr:colOff>
      <xdr:row>0</xdr:row>
      <xdr:rowOff>28575</xdr:rowOff>
    </xdr:from>
    <xdr:to>
      <xdr:col>1</xdr:col>
      <xdr:colOff>28575</xdr:colOff>
      <xdr:row>1</xdr:row>
      <xdr:rowOff>428625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8575"/>
          <a:ext cx="476250" cy="8858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Transporte\ARCHIVOS.XLS\P-DSCUYO\TBASECU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x_server\files\transporte\Transporte\ARCHIVOS.XLS\P-DSCUYO\TBASECU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</sheetNames>
    <sheetDataSet>
      <sheetData sheetId="0">
        <row r="15">
          <cell r="HN15">
            <v>41426</v>
          </cell>
          <cell r="HO15">
            <v>41456</v>
          </cell>
          <cell r="HP15">
            <v>41487</v>
          </cell>
          <cell r="HQ15">
            <v>41518</v>
          </cell>
          <cell r="HR15">
            <v>41548</v>
          </cell>
          <cell r="HS15">
            <v>41579</v>
          </cell>
          <cell r="HT15">
            <v>41609</v>
          </cell>
          <cell r="HU15">
            <v>41640</v>
          </cell>
          <cell r="HV15">
            <v>41671</v>
          </cell>
          <cell r="HW15">
            <v>41699</v>
          </cell>
          <cell r="HX15">
            <v>41730</v>
          </cell>
          <cell r="HY15">
            <v>41760</v>
          </cell>
          <cell r="HZ15">
            <v>41791</v>
          </cell>
        </row>
        <row r="17">
          <cell r="C17">
            <v>1</v>
          </cell>
          <cell r="D17" t="str">
            <v>AGUA DEL TORO - CRUZ DE PIEDRA</v>
          </cell>
          <cell r="E17">
            <v>220</v>
          </cell>
          <cell r="F17">
            <v>177.9</v>
          </cell>
          <cell r="HV17">
            <v>1</v>
          </cell>
        </row>
        <row r="18">
          <cell r="C18">
            <v>2</v>
          </cell>
          <cell r="D18" t="str">
            <v>AGUA DEL TORO - LOS REYUNOS</v>
          </cell>
          <cell r="E18">
            <v>220</v>
          </cell>
          <cell r="F18">
            <v>43</v>
          </cell>
          <cell r="HV18">
            <v>1</v>
          </cell>
        </row>
        <row r="19">
          <cell r="C19">
            <v>3</v>
          </cell>
          <cell r="D19" t="str">
            <v>AGUA DEL TORO - NIHUIL II</v>
          </cell>
          <cell r="E19">
            <v>220</v>
          </cell>
          <cell r="F19">
            <v>53.5</v>
          </cell>
          <cell r="HT19">
            <v>1</v>
          </cell>
          <cell r="HV19">
            <v>1</v>
          </cell>
        </row>
        <row r="20">
          <cell r="C20">
            <v>4</v>
          </cell>
          <cell r="D20" t="str">
            <v>CRUZ DE PIEDRA - SAN JUAN</v>
          </cell>
          <cell r="E20">
            <v>220</v>
          </cell>
          <cell r="F20">
            <v>171.6</v>
          </cell>
          <cell r="HR20">
            <v>1</v>
          </cell>
        </row>
        <row r="21">
          <cell r="C21">
            <v>5</v>
          </cell>
          <cell r="D21" t="str">
            <v>LOS REYUNOS - GRAN MENDOZA</v>
          </cell>
          <cell r="E21">
            <v>220</v>
          </cell>
          <cell r="F21">
            <v>188.3</v>
          </cell>
        </row>
        <row r="22">
          <cell r="C22">
            <v>6</v>
          </cell>
          <cell r="D22" t="str">
            <v>CRUZ DE PIEDRA - CAÑADA HONDA</v>
          </cell>
          <cell r="E22">
            <v>132</v>
          </cell>
          <cell r="F22">
            <v>125.8</v>
          </cell>
          <cell r="HP22">
            <v>1</v>
          </cell>
          <cell r="HR22">
            <v>1</v>
          </cell>
          <cell r="HW22">
            <v>1</v>
          </cell>
        </row>
        <row r="23">
          <cell r="C23">
            <v>7</v>
          </cell>
          <cell r="D23" t="str">
            <v>ANCHORIS - CAPIZ</v>
          </cell>
          <cell r="E23">
            <v>132</v>
          </cell>
          <cell r="F23">
            <v>42</v>
          </cell>
        </row>
        <row r="24">
          <cell r="C24">
            <v>8</v>
          </cell>
          <cell r="D24" t="str">
            <v>ANCHORIS - CRUZ DE PIEDRA</v>
          </cell>
          <cell r="E24">
            <v>132</v>
          </cell>
          <cell r="F24">
            <v>33.5</v>
          </cell>
        </row>
        <row r="25">
          <cell r="C25">
            <v>9</v>
          </cell>
          <cell r="D25" t="str">
            <v>ANCHORIZ -Deriv."T" a LC 35-B.R.Tunuyan</v>
          </cell>
          <cell r="E25">
            <v>132</v>
          </cell>
          <cell r="F25">
            <v>52.9</v>
          </cell>
          <cell r="HV25">
            <v>1</v>
          </cell>
        </row>
        <row r="26">
          <cell r="C26">
            <v>10</v>
          </cell>
          <cell r="D26" t="str">
            <v>CAPIZ - PEDRO VARGAS</v>
          </cell>
          <cell r="E26">
            <v>132</v>
          </cell>
          <cell r="F26">
            <v>122.1</v>
          </cell>
          <cell r="HS26">
            <v>1</v>
          </cell>
        </row>
        <row r="27">
          <cell r="C27">
            <v>11</v>
          </cell>
          <cell r="D27" t="str">
            <v>SAN RAFAEL - PEDRO VARGAS</v>
          </cell>
          <cell r="E27">
            <v>132</v>
          </cell>
          <cell r="F27">
            <v>15.6</v>
          </cell>
        </row>
        <row r="28">
          <cell r="C28">
            <v>12</v>
          </cell>
          <cell r="D28" t="str">
            <v>GRAN MENDOZA - MONTE CASEROS 1</v>
          </cell>
          <cell r="E28">
            <v>132</v>
          </cell>
          <cell r="F28">
            <v>19.1</v>
          </cell>
          <cell r="HS28">
            <v>1</v>
          </cell>
        </row>
        <row r="29">
          <cell r="C29">
            <v>13</v>
          </cell>
          <cell r="D29" t="str">
            <v>GRAN MENDOZA - MONTE CASEROS 2</v>
          </cell>
          <cell r="E29">
            <v>132</v>
          </cell>
          <cell r="F29">
            <v>19.1</v>
          </cell>
        </row>
        <row r="30">
          <cell r="C30">
            <v>14</v>
          </cell>
          <cell r="D30" t="str">
            <v>CRUZ DE PIEDRA - GRAN MENDOZA 1</v>
          </cell>
          <cell r="E30">
            <v>132</v>
          </cell>
          <cell r="F30">
            <v>22</v>
          </cell>
        </row>
        <row r="31">
          <cell r="C31">
            <v>15</v>
          </cell>
          <cell r="D31" t="str">
            <v>CRUZ DE PIEDRA - GRAN MENDOZA 2</v>
          </cell>
          <cell r="E31">
            <v>132</v>
          </cell>
          <cell r="F31">
            <v>22</v>
          </cell>
        </row>
        <row r="32">
          <cell r="C32">
            <v>16</v>
          </cell>
          <cell r="D32" t="str">
            <v>CRUZ DE PIEDRA - SAN JUAN</v>
          </cell>
          <cell r="E32">
            <v>132</v>
          </cell>
          <cell r="F32">
            <v>180.18</v>
          </cell>
          <cell r="HN32" t="str">
            <v>XXXX</v>
          </cell>
          <cell r="HO32" t="str">
            <v>XXXX</v>
          </cell>
          <cell r="HP32" t="str">
            <v>XXXX</v>
          </cell>
          <cell r="HQ32" t="str">
            <v>XXXX</v>
          </cell>
          <cell r="HR32" t="str">
            <v>XXXX</v>
          </cell>
          <cell r="HS32" t="str">
            <v>XXXX</v>
          </cell>
          <cell r="HT32" t="str">
            <v>XXXX</v>
          </cell>
          <cell r="HU32" t="str">
            <v>XXXX</v>
          </cell>
          <cell r="HV32" t="str">
            <v>XXXX</v>
          </cell>
          <cell r="HW32" t="str">
            <v>XXXX</v>
          </cell>
          <cell r="HX32" t="str">
            <v>XXXX</v>
          </cell>
          <cell r="HY32" t="str">
            <v>XXXX</v>
          </cell>
        </row>
        <row r="33">
          <cell r="C33">
            <v>17</v>
          </cell>
          <cell r="D33" t="str">
            <v>CRUZ DE PIEDRA - LUJAN DE CUYO 1</v>
          </cell>
          <cell r="E33">
            <v>132</v>
          </cell>
          <cell r="F33">
            <v>18.1</v>
          </cell>
        </row>
        <row r="34">
          <cell r="C34">
            <v>18</v>
          </cell>
          <cell r="D34" t="str">
            <v>CRUZ DE PIEDRA - LUJAN DE CUYO 2</v>
          </cell>
          <cell r="E34">
            <v>132</v>
          </cell>
          <cell r="F34">
            <v>18.1</v>
          </cell>
        </row>
        <row r="35">
          <cell r="C35">
            <v>19</v>
          </cell>
          <cell r="D35" t="str">
            <v>C.H. NIHUIL I - PEDRO VARGAS</v>
          </cell>
          <cell r="E35">
            <v>132</v>
          </cell>
          <cell r="F35">
            <v>46.5</v>
          </cell>
        </row>
        <row r="36">
          <cell r="C36">
            <v>20</v>
          </cell>
          <cell r="D36" t="str">
            <v>N AN JUAN - SAN JUAN</v>
          </cell>
          <cell r="E36">
            <v>220</v>
          </cell>
          <cell r="F36">
            <v>4.5</v>
          </cell>
        </row>
        <row r="37">
          <cell r="C37">
            <v>21</v>
          </cell>
          <cell r="D37" t="str">
            <v>SAN JUAN - CAÑADA HONDA</v>
          </cell>
          <cell r="E37">
            <v>132</v>
          </cell>
          <cell r="F37">
            <v>54.4</v>
          </cell>
          <cell r="HN37">
            <v>1</v>
          </cell>
          <cell r="HW37">
            <v>1</v>
          </cell>
        </row>
        <row r="42">
          <cell r="HN42">
            <v>0.88</v>
          </cell>
          <cell r="HO42">
            <v>0.88</v>
          </cell>
          <cell r="HP42">
            <v>0.8</v>
          </cell>
          <cell r="HQ42">
            <v>0.8</v>
          </cell>
          <cell r="HR42">
            <v>0.72</v>
          </cell>
          <cell r="HS42">
            <v>0.72</v>
          </cell>
          <cell r="HT42">
            <v>0.8</v>
          </cell>
          <cell r="HU42">
            <v>0.88</v>
          </cell>
          <cell r="HV42">
            <v>0.72</v>
          </cell>
          <cell r="HW42">
            <v>1.04</v>
          </cell>
          <cell r="HX42">
            <v>1.2</v>
          </cell>
          <cell r="HY42">
            <v>1.2</v>
          </cell>
          <cell r="HZ42">
            <v>1.04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</sheetNames>
    <sheetDataSet>
      <sheetData sheetId="0"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aperez\Configuraci&#65533;n%20local\Temp\7zO34.tmp\DISTROCUYO\FABIA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S41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18.8515625" style="8" customWidth="1"/>
    <col min="2" max="2" width="7.7109375" style="8" customWidth="1"/>
    <col min="3" max="3" width="9.8515625" style="8" customWidth="1"/>
    <col min="4" max="4" width="8.421875" style="8" customWidth="1"/>
    <col min="5" max="5" width="9.421875" style="8" customWidth="1"/>
    <col min="6" max="7" width="17.7109375" style="8" customWidth="1"/>
    <col min="8" max="8" width="8.00390625" style="8" customWidth="1"/>
    <col min="9" max="9" width="15.7109375" style="8" customWidth="1"/>
    <col min="10" max="10" width="13.28125" style="8" customWidth="1"/>
    <col min="11" max="11" width="15.7109375" style="8" customWidth="1"/>
    <col min="12" max="13" width="11.421875" style="8" customWidth="1"/>
    <col min="14" max="14" width="14.140625" style="8" customWidth="1"/>
    <col min="15" max="15" width="11.421875" style="8" customWidth="1"/>
    <col min="16" max="16" width="14.7109375" style="8" customWidth="1"/>
    <col min="17" max="17" width="11.421875" style="8" customWidth="1"/>
    <col min="18" max="18" width="12.00390625" style="8" customWidth="1"/>
    <col min="19" max="16384" width="11.421875" style="8" customWidth="1"/>
  </cols>
  <sheetData>
    <row r="1" spans="2:11" s="4" customFormat="1" ht="26.25">
      <c r="B1" s="5"/>
      <c r="K1" s="292"/>
    </row>
    <row r="2" spans="2:10" s="4" customFormat="1" ht="26.25">
      <c r="B2" s="5" t="str">
        <f>"ANEXO I al Memorandum D.T.E.E. N°        306   / 2015"</f>
        <v>ANEXO I al Memorandum D.T.E.E. N°        306   / 2015</v>
      </c>
      <c r="C2" s="6"/>
      <c r="D2" s="7"/>
      <c r="E2" s="7"/>
      <c r="F2" s="7"/>
      <c r="G2" s="7"/>
      <c r="H2" s="7"/>
      <c r="I2" s="7"/>
      <c r="J2" s="7"/>
    </row>
    <row r="3" spans="3:19" ht="12.75">
      <c r="C3" s="1"/>
      <c r="D3" s="9"/>
      <c r="E3" s="9"/>
      <c r="F3" s="9"/>
      <c r="G3" s="9"/>
      <c r="H3" s="9"/>
      <c r="I3" s="9"/>
      <c r="J3" s="9"/>
      <c r="P3" s="10"/>
      <c r="Q3" s="10"/>
      <c r="R3" s="10"/>
      <c r="S3" s="10"/>
    </row>
    <row r="4" spans="1:19" s="11" customFormat="1" ht="11.25">
      <c r="A4" s="403" t="s">
        <v>2</v>
      </c>
      <c r="B4" s="40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s="11" customFormat="1" ht="11.25">
      <c r="A5" s="403" t="s">
        <v>3</v>
      </c>
      <c r="B5" s="40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2:19" s="4" customFormat="1" ht="8.25" customHeight="1">
      <c r="B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2:19" s="15" customFormat="1" ht="19.5">
      <c r="B7" s="16" t="s">
        <v>0</v>
      </c>
      <c r="C7" s="17"/>
      <c r="D7" s="18"/>
      <c r="E7" s="18"/>
      <c r="F7" s="19"/>
      <c r="G7" s="19"/>
      <c r="H7" s="19"/>
      <c r="I7" s="19"/>
      <c r="J7" s="19"/>
      <c r="K7" s="20"/>
      <c r="L7" s="20"/>
      <c r="M7" s="20"/>
      <c r="N7" s="20"/>
      <c r="O7" s="20"/>
      <c r="P7" s="20"/>
      <c r="Q7" s="20"/>
      <c r="R7" s="20"/>
      <c r="S7" s="20"/>
    </row>
    <row r="8" spans="9:19" ht="12.75"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2:19" s="15" customFormat="1" ht="19.5">
      <c r="B9" s="16" t="s">
        <v>1</v>
      </c>
      <c r="C9" s="17"/>
      <c r="D9" s="18"/>
      <c r="E9" s="18"/>
      <c r="F9" s="19"/>
      <c r="G9" s="19"/>
      <c r="H9" s="19"/>
      <c r="I9" s="19"/>
      <c r="J9" s="19"/>
      <c r="K9" s="20"/>
      <c r="L9" s="20"/>
      <c r="M9" s="20"/>
      <c r="N9" s="20"/>
      <c r="O9" s="20"/>
      <c r="P9" s="20"/>
      <c r="Q9" s="20"/>
      <c r="R9" s="20"/>
      <c r="S9" s="20"/>
    </row>
    <row r="10" spans="4:19" ht="12.75">
      <c r="D10" s="21"/>
      <c r="E10" s="21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2:19" s="15" customFormat="1" ht="19.5">
      <c r="B11" s="16" t="s">
        <v>141</v>
      </c>
      <c r="C11" s="17"/>
      <c r="D11" s="18"/>
      <c r="E11" s="18"/>
      <c r="F11" s="19"/>
      <c r="G11" s="19"/>
      <c r="H11" s="19"/>
      <c r="I11" s="19"/>
      <c r="J11" s="19"/>
      <c r="K11" s="20"/>
      <c r="L11" s="20"/>
      <c r="M11" s="20"/>
      <c r="N11" s="20"/>
      <c r="O11" s="20"/>
      <c r="P11" s="20"/>
      <c r="Q11" s="20"/>
      <c r="R11" s="20"/>
      <c r="S11" s="20"/>
    </row>
    <row r="12" spans="4:19" s="22" customFormat="1" ht="16.5" thickBot="1">
      <c r="D12" s="23"/>
      <c r="E12" s="23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</row>
    <row r="13" spans="2:19" s="22" customFormat="1" ht="16.5" thickTop="1">
      <c r="B13" s="25">
        <v>1</v>
      </c>
      <c r="C13" s="26" t="b">
        <v>0</v>
      </c>
      <c r="D13" s="27"/>
      <c r="E13" s="27"/>
      <c r="F13" s="27"/>
      <c r="G13" s="27"/>
      <c r="H13" s="27"/>
      <c r="I13" s="27"/>
      <c r="J13" s="28"/>
      <c r="K13" s="24"/>
      <c r="L13" s="24"/>
      <c r="M13" s="24"/>
      <c r="N13" s="24"/>
      <c r="O13" s="24"/>
      <c r="P13" s="24"/>
      <c r="Q13" s="24"/>
      <c r="R13" s="24"/>
      <c r="S13" s="24"/>
    </row>
    <row r="14" spans="2:19" s="15" customFormat="1" ht="19.5">
      <c r="B14" s="29" t="s">
        <v>114</v>
      </c>
      <c r="C14" s="30"/>
      <c r="D14" s="31"/>
      <c r="E14" s="32"/>
      <c r="F14" s="32"/>
      <c r="G14" s="32"/>
      <c r="H14" s="32"/>
      <c r="I14" s="19"/>
      <c r="J14" s="33"/>
      <c r="K14" s="20"/>
      <c r="L14" s="20"/>
      <c r="M14" s="20"/>
      <c r="N14" s="20"/>
      <c r="O14" s="20"/>
      <c r="P14" s="20"/>
      <c r="Q14" s="20"/>
      <c r="R14" s="20"/>
      <c r="S14" s="20"/>
    </row>
    <row r="15" spans="2:19" s="15" customFormat="1" ht="19.5" hidden="1">
      <c r="B15" s="34"/>
      <c r="C15" s="35"/>
      <c r="D15" s="35"/>
      <c r="E15" s="20"/>
      <c r="F15" s="36"/>
      <c r="G15" s="36"/>
      <c r="H15" s="36"/>
      <c r="I15" s="20"/>
      <c r="J15" s="37"/>
      <c r="K15" s="20"/>
      <c r="L15" s="20"/>
      <c r="M15" s="20"/>
      <c r="N15" s="20"/>
      <c r="O15" s="20"/>
      <c r="P15" s="20"/>
      <c r="Q15" s="20"/>
      <c r="R15" s="20"/>
      <c r="S15" s="20"/>
    </row>
    <row r="16" spans="2:19" s="15" customFormat="1" ht="19.5" hidden="1">
      <c r="B16" s="29" t="s">
        <v>4</v>
      </c>
      <c r="C16" s="38"/>
      <c r="D16" s="38"/>
      <c r="E16" s="19"/>
      <c r="F16" s="32"/>
      <c r="G16" s="32"/>
      <c r="H16" s="32"/>
      <c r="I16" s="19"/>
      <c r="J16" s="33"/>
      <c r="K16" s="1"/>
      <c r="L16" s="20"/>
      <c r="M16" s="20"/>
      <c r="N16" s="20"/>
      <c r="O16" s="20"/>
      <c r="P16" s="20"/>
      <c r="Q16" s="20"/>
      <c r="R16" s="20"/>
      <c r="S16" s="20"/>
    </row>
    <row r="17" spans="2:19" s="15" customFormat="1" ht="19.5">
      <c r="B17" s="34"/>
      <c r="C17" s="35"/>
      <c r="D17" s="35"/>
      <c r="E17" s="20"/>
      <c r="F17" s="36"/>
      <c r="G17" s="36"/>
      <c r="H17" s="36"/>
      <c r="I17" s="20"/>
      <c r="J17" s="37"/>
      <c r="K17" s="1"/>
      <c r="L17" s="20"/>
      <c r="M17" s="20"/>
      <c r="N17" s="20"/>
      <c r="O17" s="20"/>
      <c r="P17" s="20"/>
      <c r="Q17" s="20"/>
      <c r="R17" s="20"/>
      <c r="S17" s="20"/>
    </row>
    <row r="18" spans="2:19" ht="13.5">
      <c r="B18" s="42"/>
      <c r="C18" s="43"/>
      <c r="D18" s="44"/>
      <c r="E18" s="10"/>
      <c r="F18" s="45"/>
      <c r="G18" s="45"/>
      <c r="H18" s="45"/>
      <c r="I18" s="46"/>
      <c r="J18" s="47"/>
      <c r="K18" s="10"/>
      <c r="L18" s="10"/>
      <c r="M18" s="10"/>
      <c r="N18" s="10"/>
      <c r="O18" s="10"/>
      <c r="P18" s="10"/>
      <c r="Q18" s="10"/>
      <c r="R18" s="10"/>
      <c r="S18" s="10"/>
    </row>
    <row r="19" spans="2:19" s="15" customFormat="1" ht="19.5">
      <c r="B19" s="34"/>
      <c r="C19" s="39" t="s">
        <v>5</v>
      </c>
      <c r="D19" s="40" t="s">
        <v>6</v>
      </c>
      <c r="E19" s="20"/>
      <c r="F19" s="36"/>
      <c r="G19" s="36"/>
      <c r="H19" s="36"/>
      <c r="I19" s="41"/>
      <c r="J19" s="37"/>
      <c r="K19" s="20"/>
      <c r="L19" s="20"/>
      <c r="M19" s="20"/>
      <c r="N19" s="20"/>
      <c r="O19" s="20"/>
      <c r="P19" s="20"/>
      <c r="Q19" s="20"/>
      <c r="R19" s="20"/>
      <c r="S19" s="20"/>
    </row>
    <row r="20" spans="2:19" ht="13.5">
      <c r="B20" s="42"/>
      <c r="C20" s="43"/>
      <c r="D20" s="43"/>
      <c r="E20" s="10"/>
      <c r="F20" s="45"/>
      <c r="G20" s="45"/>
      <c r="H20" s="45"/>
      <c r="I20" s="48"/>
      <c r="J20" s="47"/>
      <c r="K20" s="10"/>
      <c r="L20" s="10"/>
      <c r="M20" s="10"/>
      <c r="N20" s="10"/>
      <c r="O20" s="10"/>
      <c r="P20" s="10"/>
      <c r="Q20" s="10"/>
      <c r="R20" s="10"/>
      <c r="S20" s="10"/>
    </row>
    <row r="21" spans="2:19" s="15" customFormat="1" ht="19.5">
      <c r="B21" s="34"/>
      <c r="C21" s="39"/>
      <c r="D21" s="39" t="s">
        <v>135</v>
      </c>
      <c r="E21" s="49" t="s">
        <v>7</v>
      </c>
      <c r="F21" s="36"/>
      <c r="G21" s="36"/>
      <c r="H21" s="36"/>
      <c r="I21" s="41">
        <f>'T-06 (1)'!AC43</f>
        <v>5382.34</v>
      </c>
      <c r="J21" s="37"/>
      <c r="K21" s="20"/>
      <c r="L21" s="20"/>
      <c r="M21" s="20"/>
      <c r="N21" s="20"/>
      <c r="O21" s="20"/>
      <c r="P21" s="20"/>
      <c r="Q21" s="20"/>
      <c r="R21" s="20"/>
      <c r="S21" s="20"/>
    </row>
    <row r="22" spans="2:19" ht="13.5">
      <c r="B22" s="42"/>
      <c r="C22" s="43"/>
      <c r="D22" s="43"/>
      <c r="E22" s="10"/>
      <c r="F22" s="45"/>
      <c r="G22" s="45"/>
      <c r="H22" s="45"/>
      <c r="I22" s="48"/>
      <c r="J22" s="47"/>
      <c r="K22" s="10"/>
      <c r="L22" s="10"/>
      <c r="M22" s="10"/>
      <c r="N22" s="10"/>
      <c r="O22" s="10"/>
      <c r="P22" s="10"/>
      <c r="Q22" s="10"/>
      <c r="R22" s="10"/>
      <c r="S22" s="10"/>
    </row>
    <row r="23" spans="2:19" s="15" customFormat="1" ht="19.5">
      <c r="B23" s="34"/>
      <c r="C23" s="39"/>
      <c r="D23" s="39" t="s">
        <v>136</v>
      </c>
      <c r="E23" s="49" t="s">
        <v>8</v>
      </c>
      <c r="F23" s="36"/>
      <c r="G23" s="36"/>
      <c r="H23" s="36"/>
      <c r="I23" s="41">
        <f>'SA-06 (1)'!V43</f>
        <v>135.98</v>
      </c>
      <c r="J23" s="37"/>
      <c r="K23" s="20"/>
      <c r="L23" s="20"/>
      <c r="M23" s="20"/>
      <c r="N23" s="20"/>
      <c r="O23" s="20"/>
      <c r="P23" s="20"/>
      <c r="Q23" s="20"/>
      <c r="R23" s="20"/>
      <c r="S23" s="20"/>
    </row>
    <row r="24" spans="2:19" s="15" customFormat="1" ht="19.5">
      <c r="B24" s="34"/>
      <c r="C24" s="35"/>
      <c r="D24" s="35"/>
      <c r="E24" s="49"/>
      <c r="F24" s="36"/>
      <c r="G24" s="36"/>
      <c r="H24" s="36"/>
      <c r="I24" s="41"/>
      <c r="J24" s="37"/>
      <c r="K24" s="20"/>
      <c r="L24" s="20"/>
      <c r="M24" s="20"/>
      <c r="N24" s="20"/>
      <c r="O24" s="20"/>
      <c r="P24" s="20"/>
      <c r="Q24" s="20"/>
      <c r="R24" s="20"/>
      <c r="S24" s="20"/>
    </row>
    <row r="25" spans="2:19" s="15" customFormat="1" ht="19.5">
      <c r="B25" s="34"/>
      <c r="C25" s="35"/>
      <c r="D25" s="35"/>
      <c r="E25" s="20"/>
      <c r="F25" s="36"/>
      <c r="G25" s="36"/>
      <c r="H25" s="36"/>
      <c r="I25" s="50"/>
      <c r="J25" s="37"/>
      <c r="K25" s="20"/>
      <c r="L25" s="20"/>
      <c r="M25" s="20"/>
      <c r="N25" s="20"/>
      <c r="O25" s="20"/>
      <c r="P25" s="20"/>
      <c r="Q25" s="20"/>
      <c r="R25" s="20"/>
      <c r="S25" s="20"/>
    </row>
    <row r="26" spans="2:19" s="15" customFormat="1" ht="20.25" thickBot="1">
      <c r="B26" s="34"/>
      <c r="C26" s="35"/>
      <c r="D26" s="35"/>
      <c r="E26" s="20"/>
      <c r="F26" s="36"/>
      <c r="G26" s="36"/>
      <c r="H26" s="36"/>
      <c r="I26" s="20"/>
      <c r="J26" s="37"/>
      <c r="K26" s="20"/>
      <c r="L26" s="20"/>
      <c r="M26" s="20"/>
      <c r="N26" s="20"/>
      <c r="O26" s="20"/>
      <c r="P26" s="20"/>
      <c r="Q26" s="20"/>
      <c r="R26" s="20"/>
      <c r="S26" s="20"/>
    </row>
    <row r="27" spans="2:19" s="15" customFormat="1" ht="20.25" thickBot="1" thickTop="1">
      <c r="B27" s="34"/>
      <c r="C27" s="39"/>
      <c r="D27" s="39"/>
      <c r="F27" s="51" t="s">
        <v>9</v>
      </c>
      <c r="G27" s="52">
        <f>SUM(I18:I25)</f>
        <v>5518.32</v>
      </c>
      <c r="H27" s="53"/>
      <c r="J27" s="37"/>
      <c r="K27" s="20"/>
      <c r="L27" s="20"/>
      <c r="M27" s="20"/>
      <c r="N27" s="20"/>
      <c r="O27" s="20"/>
      <c r="P27" s="20"/>
      <c r="Q27" s="20"/>
      <c r="R27" s="20"/>
      <c r="S27" s="20"/>
    </row>
    <row r="28" spans="2:19" s="15" customFormat="1" ht="19.5" thickTop="1">
      <c r="B28" s="34"/>
      <c r="C28" s="39"/>
      <c r="D28" s="39"/>
      <c r="F28" s="294"/>
      <c r="G28" s="53"/>
      <c r="H28" s="53"/>
      <c r="J28" s="37"/>
      <c r="K28" s="20"/>
      <c r="L28" s="20"/>
      <c r="M28" s="20"/>
      <c r="N28" s="20"/>
      <c r="O28" s="20"/>
      <c r="P28" s="20"/>
      <c r="Q28" s="20"/>
      <c r="R28" s="20"/>
      <c r="S28" s="20"/>
    </row>
    <row r="29" spans="2:19" s="15" customFormat="1" ht="18.75">
      <c r="B29" s="34"/>
      <c r="C29" s="295" t="s">
        <v>153</v>
      </c>
      <c r="D29" s="39"/>
      <c r="F29" s="294"/>
      <c r="G29" s="53"/>
      <c r="H29" s="53"/>
      <c r="J29" s="37"/>
      <c r="K29" s="20"/>
      <c r="L29" s="20"/>
      <c r="M29" s="20"/>
      <c r="N29" s="20"/>
      <c r="O29" s="20"/>
      <c r="P29" s="20"/>
      <c r="Q29" s="20"/>
      <c r="R29" s="20"/>
      <c r="S29" s="20"/>
    </row>
    <row r="30" spans="2:19" s="22" customFormat="1" ht="16.5" thickBot="1">
      <c r="B30" s="54"/>
      <c r="C30" s="55"/>
      <c r="D30" s="55"/>
      <c r="E30" s="56"/>
      <c r="F30" s="56"/>
      <c r="G30" s="56"/>
      <c r="H30" s="56"/>
      <c r="I30" s="56"/>
      <c r="J30" s="57"/>
      <c r="K30" s="24"/>
      <c r="L30" s="24"/>
      <c r="M30" s="58"/>
      <c r="N30" s="59"/>
      <c r="O30" s="59"/>
      <c r="P30" s="60"/>
      <c r="Q30" s="61"/>
      <c r="R30" s="24"/>
      <c r="S30" s="24"/>
    </row>
    <row r="31" spans="4:19" ht="13.5" thickTop="1">
      <c r="D31" s="10"/>
      <c r="F31" s="10"/>
      <c r="G31" s="10"/>
      <c r="H31" s="10"/>
      <c r="I31" s="10"/>
      <c r="J31" s="10"/>
      <c r="K31" s="10"/>
      <c r="L31" s="10"/>
      <c r="M31" s="62"/>
      <c r="N31" s="63"/>
      <c r="O31" s="63"/>
      <c r="P31" s="10"/>
      <c r="Q31" s="3"/>
      <c r="R31" s="10"/>
      <c r="S31" s="10"/>
    </row>
    <row r="32" spans="4:19" ht="12.75">
      <c r="D32" s="10"/>
      <c r="F32" s="10"/>
      <c r="G32" s="10"/>
      <c r="H32" s="10"/>
      <c r="I32" s="10"/>
      <c r="J32" s="10"/>
      <c r="K32" s="10"/>
      <c r="L32" s="10"/>
      <c r="M32" s="10"/>
      <c r="N32" s="64"/>
      <c r="O32" s="64"/>
      <c r="P32" s="65"/>
      <c r="Q32" s="3"/>
      <c r="R32" s="10"/>
      <c r="S32" s="10"/>
    </row>
    <row r="33" spans="4:19" ht="12.75"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64"/>
      <c r="O33" s="64"/>
      <c r="P33" s="65"/>
      <c r="Q33" s="3"/>
      <c r="R33" s="10"/>
      <c r="S33" s="10"/>
    </row>
    <row r="34" spans="4:19" ht="12.75">
      <c r="D34" s="10"/>
      <c r="E34" s="10"/>
      <c r="L34" s="10"/>
      <c r="M34" s="10"/>
      <c r="N34" s="10"/>
      <c r="O34" s="10"/>
      <c r="P34" s="10"/>
      <c r="Q34" s="10"/>
      <c r="R34" s="10"/>
      <c r="S34" s="10"/>
    </row>
    <row r="35" spans="4:19" ht="12.75">
      <c r="D35" s="10"/>
      <c r="E35" s="10"/>
      <c r="P35" s="10"/>
      <c r="Q35" s="10"/>
      <c r="R35" s="10"/>
      <c r="S35" s="10"/>
    </row>
    <row r="36" spans="4:19" ht="12.75">
      <c r="D36" s="10"/>
      <c r="E36" s="10"/>
      <c r="P36" s="10"/>
      <c r="Q36" s="10"/>
      <c r="R36" s="10"/>
      <c r="S36" s="10"/>
    </row>
    <row r="37" spans="4:19" ht="12.75">
      <c r="D37" s="10"/>
      <c r="E37" s="10"/>
      <c r="P37" s="10"/>
      <c r="Q37" s="10"/>
      <c r="R37" s="10"/>
      <c r="S37" s="10"/>
    </row>
    <row r="38" spans="4:19" ht="12.75">
      <c r="D38" s="10"/>
      <c r="E38" s="10"/>
      <c r="P38" s="10"/>
      <c r="Q38" s="10"/>
      <c r="R38" s="10"/>
      <c r="S38" s="10"/>
    </row>
    <row r="39" spans="4:19" ht="12.75">
      <c r="D39" s="10"/>
      <c r="E39" s="10"/>
      <c r="P39" s="10"/>
      <c r="Q39" s="10"/>
      <c r="R39" s="10"/>
      <c r="S39" s="10"/>
    </row>
    <row r="40" spans="16:19" ht="12.75">
      <c r="P40" s="10"/>
      <c r="Q40" s="10"/>
      <c r="R40" s="10"/>
      <c r="S40" s="10"/>
    </row>
    <row r="41" spans="16:19" ht="12.75">
      <c r="P41" s="10"/>
      <c r="Q41" s="10"/>
      <c r="R41" s="10"/>
      <c r="S41" s="10"/>
    </row>
  </sheetData>
  <sheetProtection/>
  <mergeCells count="2">
    <mergeCell ref="A4:B4"/>
    <mergeCell ref="A5:B5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r:id="rId2"/>
  <headerFooter alignWithMargins="0">
    <oddFooter>&amp;L&amp;"Times New Roman,Normal"&amp;8&amp;Z&amp;F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D46"/>
  <sheetViews>
    <sheetView zoomScale="70" zoomScaleNormal="70" zoomScalePageLayoutView="0" workbookViewId="0" topLeftCell="A7">
      <selection activeCell="K11" sqref="K11"/>
    </sheetView>
  </sheetViews>
  <sheetFormatPr defaultColWidth="11.421875" defaultRowHeight="12.75"/>
  <cols>
    <col min="1" max="1" width="18.421875" style="1" customWidth="1"/>
    <col min="2" max="2" width="4.140625" style="1" customWidth="1"/>
    <col min="3" max="3" width="5.57421875" style="1" customWidth="1"/>
    <col min="4" max="5" width="13.57421875" style="1" customWidth="1"/>
    <col min="6" max="6" width="30.7109375" style="1" customWidth="1"/>
    <col min="7" max="7" width="25.7109375" style="1" customWidth="1"/>
    <col min="8" max="8" width="7.28125" style="1" customWidth="1"/>
    <col min="9" max="9" width="12.00390625" style="1" customWidth="1"/>
    <col min="10" max="10" width="9.28125" style="1" hidden="1" customWidth="1"/>
    <col min="11" max="12" width="15.7109375" style="1" customWidth="1"/>
    <col min="13" max="15" width="9.7109375" style="1" customWidth="1"/>
    <col min="16" max="18" width="7.7109375" style="1" customWidth="1"/>
    <col min="19" max="19" width="13.28125" style="1" hidden="1" customWidth="1"/>
    <col min="20" max="21" width="14.57421875" style="1" hidden="1" customWidth="1"/>
    <col min="22" max="22" width="16.28125" style="1" hidden="1" customWidth="1"/>
    <col min="23" max="23" width="16.8515625" style="1" hidden="1" customWidth="1"/>
    <col min="24" max="24" width="16.28125" style="1" hidden="1" customWidth="1"/>
    <col min="25" max="27" width="16.8515625" style="1" hidden="1" customWidth="1"/>
    <col min="28" max="28" width="9.7109375" style="1" customWidth="1"/>
    <col min="29" max="29" width="15.7109375" style="1" customWidth="1"/>
    <col min="30" max="30" width="4.140625" style="1" customWidth="1"/>
    <col min="31" max="16384" width="11.421875" style="1" customWidth="1"/>
  </cols>
  <sheetData>
    <row r="1" spans="2:30" s="4" customFormat="1" ht="32.25" customHeight="1"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293"/>
    </row>
    <row r="2" spans="2:30" s="4" customFormat="1" ht="26.25">
      <c r="B2" s="66" t="str">
        <f>+'TOT-0614'!B2</f>
        <v>ANEXO I al Memorandum D.T.E.E. N°        306   / 2015</v>
      </c>
      <c r="C2" s="100"/>
      <c r="D2" s="100"/>
      <c r="E2" s="100"/>
      <c r="F2" s="100"/>
      <c r="G2" s="7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</row>
    <row r="3" spans="2:30" s="8" customFormat="1" ht="12" customHeight="1">
      <c r="B3" s="67"/>
      <c r="C3" s="101"/>
      <c r="D3" s="101"/>
      <c r="E3" s="101"/>
      <c r="F3" s="101"/>
      <c r="G3" s="9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</row>
    <row r="4" spans="1:30" s="11" customFormat="1" ht="11.25">
      <c r="A4" s="102" t="s">
        <v>2</v>
      </c>
      <c r="B4" s="103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</row>
    <row r="5" spans="1:30" s="11" customFormat="1" ht="11.25">
      <c r="A5" s="102" t="s">
        <v>3</v>
      </c>
      <c r="B5" s="103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</row>
    <row r="6" spans="2:30" s="8" customFormat="1" ht="16.5" customHeight="1" thickBot="1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</row>
    <row r="7" spans="2:30" s="8" customFormat="1" ht="16.5" customHeight="1" thickTop="1"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8"/>
    </row>
    <row r="8" spans="2:30" s="71" customFormat="1" ht="20.25">
      <c r="B8" s="109"/>
      <c r="C8" s="110"/>
      <c r="D8" s="110"/>
      <c r="E8" s="110"/>
      <c r="F8" s="111" t="s">
        <v>10</v>
      </c>
      <c r="H8" s="110"/>
      <c r="I8" s="112"/>
      <c r="J8" s="112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3"/>
    </row>
    <row r="9" spans="2:30" s="8" customFormat="1" ht="16.5" customHeight="1">
      <c r="B9" s="114"/>
      <c r="C9" s="62"/>
      <c r="D9" s="62"/>
      <c r="E9" s="62"/>
      <c r="F9" s="62"/>
      <c r="G9" s="62"/>
      <c r="H9" s="62"/>
      <c r="I9" s="105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115"/>
    </row>
    <row r="10" spans="2:30" s="71" customFormat="1" ht="20.25">
      <c r="B10" s="109"/>
      <c r="C10" s="110"/>
      <c r="D10" s="110"/>
      <c r="E10" s="110"/>
      <c r="F10" s="111" t="s">
        <v>23</v>
      </c>
      <c r="G10" s="110"/>
      <c r="H10" s="110"/>
      <c r="I10" s="112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3"/>
    </row>
    <row r="11" spans="2:30" s="8" customFormat="1" ht="16.5" customHeight="1">
      <c r="B11" s="114"/>
      <c r="C11" s="62"/>
      <c r="D11" s="62"/>
      <c r="E11" s="62"/>
      <c r="F11" s="116"/>
      <c r="G11" s="62"/>
      <c r="H11" s="62"/>
      <c r="I11" s="105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115"/>
    </row>
    <row r="12" spans="2:30" s="71" customFormat="1" ht="20.25">
      <c r="B12" s="109"/>
      <c r="C12" s="110"/>
      <c r="D12" s="110"/>
      <c r="E12" s="110"/>
      <c r="F12" s="117" t="s">
        <v>137</v>
      </c>
      <c r="G12" s="111"/>
      <c r="H12" s="112"/>
      <c r="I12" s="112"/>
      <c r="J12" s="118"/>
      <c r="K12" s="110"/>
      <c r="L12" s="112"/>
      <c r="M12" s="112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3"/>
    </row>
    <row r="13" spans="2:30" s="8" customFormat="1" ht="16.5" customHeight="1">
      <c r="B13" s="114"/>
      <c r="C13" s="62"/>
      <c r="D13" s="62"/>
      <c r="E13" s="62"/>
      <c r="F13" s="119"/>
      <c r="G13" s="119"/>
      <c r="H13" s="119"/>
      <c r="I13" s="120"/>
      <c r="J13" s="121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115"/>
    </row>
    <row r="14" spans="2:30" s="15" customFormat="1" ht="19.5">
      <c r="B14" s="122" t="str">
        <f>+'TOT-0614'!B14</f>
        <v>Desde el 01 al 30 de junio de 2014</v>
      </c>
      <c r="C14" s="76"/>
      <c r="D14" s="76"/>
      <c r="E14" s="76"/>
      <c r="F14" s="123"/>
      <c r="G14" s="123"/>
      <c r="H14" s="123"/>
      <c r="I14" s="123"/>
      <c r="J14" s="123"/>
      <c r="K14" s="77"/>
      <c r="L14" s="77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4"/>
    </row>
    <row r="15" spans="2:30" s="8" customFormat="1" ht="16.5" customHeight="1" thickBot="1">
      <c r="B15" s="114"/>
      <c r="C15" s="62"/>
      <c r="D15" s="62"/>
      <c r="E15" s="62"/>
      <c r="F15" s="62"/>
      <c r="G15" s="62"/>
      <c r="H15" s="62"/>
      <c r="I15" s="125"/>
      <c r="J15" s="62"/>
      <c r="K15" s="126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115"/>
    </row>
    <row r="16" spans="2:30" s="8" customFormat="1" ht="16.5" customHeight="1" thickBot="1" thickTop="1">
      <c r="B16" s="114"/>
      <c r="C16" s="62"/>
      <c r="D16" s="62"/>
      <c r="E16" s="62"/>
      <c r="F16" s="127" t="s">
        <v>24</v>
      </c>
      <c r="G16" s="128"/>
      <c r="H16" s="129"/>
      <c r="I16" s="130">
        <v>1.614</v>
      </c>
      <c r="J16" s="105"/>
      <c r="K16" s="130">
        <v>0.1795</v>
      </c>
      <c r="L16" s="62" t="s">
        <v>130</v>
      </c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115"/>
    </row>
    <row r="17" spans="2:30" s="8" customFormat="1" ht="16.5" customHeight="1" thickBot="1" thickTop="1">
      <c r="B17" s="114"/>
      <c r="C17" s="62"/>
      <c r="D17" s="62"/>
      <c r="E17" s="62"/>
      <c r="F17" s="131" t="s">
        <v>25</v>
      </c>
      <c r="G17" s="132"/>
      <c r="H17" s="132"/>
      <c r="I17" s="133">
        <f>30*'TOT-0614'!B13</f>
        <v>30</v>
      </c>
      <c r="J17" s="134" t="str">
        <f>IF(I17=30," ",IF(I17=60,"     Coeficiente duplicado por tasa de falla &gt;4 Sal. x año/100 km.","    REVISAR COEFICIENTE"))</f>
        <v> </v>
      </c>
      <c r="K17" s="134" t="str">
        <f>IF(I17=30," ",IF(I17=60,"    Coeficiente duplicado por tasa de falla &gt;4 Sal. x año/100 km.","    REVISAR COEFICIENTE"))</f>
        <v> </v>
      </c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135"/>
      <c r="X17" s="62"/>
      <c r="Y17" s="135"/>
      <c r="Z17" s="135"/>
      <c r="AA17" s="135"/>
      <c r="AB17" s="135"/>
      <c r="AC17" s="135"/>
      <c r="AD17" s="115"/>
    </row>
    <row r="18" spans="2:30" s="8" customFormat="1" ht="16.5" customHeight="1" thickBot="1" thickTop="1">
      <c r="B18" s="114"/>
      <c r="C18" s="62"/>
      <c r="D18" s="315">
        <v>4</v>
      </c>
      <c r="E18" s="315">
        <v>5</v>
      </c>
      <c r="F18" s="315">
        <v>6</v>
      </c>
      <c r="G18" s="315">
        <v>7</v>
      </c>
      <c r="H18" s="315">
        <v>8</v>
      </c>
      <c r="I18" s="315">
        <v>9</v>
      </c>
      <c r="J18" s="315">
        <v>10</v>
      </c>
      <c r="K18" s="315">
        <v>11</v>
      </c>
      <c r="L18" s="315">
        <v>12</v>
      </c>
      <c r="M18" s="315">
        <v>13</v>
      </c>
      <c r="N18" s="315">
        <v>14</v>
      </c>
      <c r="O18" s="315">
        <v>15</v>
      </c>
      <c r="P18" s="315">
        <v>16</v>
      </c>
      <c r="Q18" s="315">
        <v>17</v>
      </c>
      <c r="R18" s="315">
        <v>18</v>
      </c>
      <c r="S18" s="315">
        <v>19</v>
      </c>
      <c r="T18" s="315">
        <v>20</v>
      </c>
      <c r="U18" s="315">
        <v>21</v>
      </c>
      <c r="V18" s="315">
        <v>22</v>
      </c>
      <c r="W18" s="315">
        <v>23</v>
      </c>
      <c r="X18" s="315">
        <v>24</v>
      </c>
      <c r="Y18" s="315">
        <v>25</v>
      </c>
      <c r="Z18" s="315">
        <v>26</v>
      </c>
      <c r="AA18" s="315">
        <v>27</v>
      </c>
      <c r="AB18" s="315">
        <v>28</v>
      </c>
      <c r="AC18" s="315">
        <v>29</v>
      </c>
      <c r="AD18" s="115"/>
    </row>
    <row r="19" spans="2:30" s="136" customFormat="1" ht="34.5" customHeight="1" thickBot="1" thickTop="1">
      <c r="B19" s="137"/>
      <c r="C19" s="297" t="s">
        <v>11</v>
      </c>
      <c r="D19" s="297" t="s">
        <v>58</v>
      </c>
      <c r="E19" s="297" t="s">
        <v>59</v>
      </c>
      <c r="F19" s="138" t="s">
        <v>26</v>
      </c>
      <c r="G19" s="139" t="s">
        <v>27</v>
      </c>
      <c r="H19" s="140" t="s">
        <v>28</v>
      </c>
      <c r="I19" s="141" t="s">
        <v>12</v>
      </c>
      <c r="J19" s="142" t="s">
        <v>13</v>
      </c>
      <c r="K19" s="139" t="s">
        <v>14</v>
      </c>
      <c r="L19" s="139" t="s">
        <v>15</v>
      </c>
      <c r="M19" s="138" t="s">
        <v>29</v>
      </c>
      <c r="N19" s="138" t="s">
        <v>30</v>
      </c>
      <c r="O19" s="82" t="s">
        <v>56</v>
      </c>
      <c r="P19" s="139" t="s">
        <v>31</v>
      </c>
      <c r="Q19" s="138" t="s">
        <v>16</v>
      </c>
      <c r="R19" s="139" t="s">
        <v>32</v>
      </c>
      <c r="S19" s="143" t="s">
        <v>33</v>
      </c>
      <c r="T19" s="144" t="s">
        <v>17</v>
      </c>
      <c r="U19" s="145" t="s">
        <v>18</v>
      </c>
      <c r="V19" s="146" t="s">
        <v>34</v>
      </c>
      <c r="W19" s="147"/>
      <c r="X19" s="148" t="s">
        <v>35</v>
      </c>
      <c r="Y19" s="149"/>
      <c r="Z19" s="150" t="s">
        <v>19</v>
      </c>
      <c r="AA19" s="151" t="s">
        <v>20</v>
      </c>
      <c r="AB19" s="141" t="s">
        <v>36</v>
      </c>
      <c r="AC19" s="141" t="s">
        <v>22</v>
      </c>
      <c r="AD19" s="152"/>
    </row>
    <row r="20" spans="2:30" s="8" customFormat="1" ht="16.5" customHeight="1" thickTop="1">
      <c r="B20" s="114"/>
      <c r="C20" s="153"/>
      <c r="D20" s="153"/>
      <c r="E20" s="153"/>
      <c r="F20" s="154"/>
      <c r="G20" s="155"/>
      <c r="H20" s="155"/>
      <c r="I20" s="155"/>
      <c r="J20" s="156"/>
      <c r="K20" s="154"/>
      <c r="L20" s="155"/>
      <c r="M20" s="157"/>
      <c r="N20" s="157"/>
      <c r="O20" s="155"/>
      <c r="P20" s="155"/>
      <c r="Q20" s="155"/>
      <c r="R20" s="155"/>
      <c r="S20" s="85"/>
      <c r="T20" s="84"/>
      <c r="U20" s="158"/>
      <c r="V20" s="159"/>
      <c r="W20" s="160"/>
      <c r="X20" s="161"/>
      <c r="Y20" s="162"/>
      <c r="Z20" s="163"/>
      <c r="AA20" s="164"/>
      <c r="AB20" s="155"/>
      <c r="AC20" s="165"/>
      <c r="AD20" s="115"/>
    </row>
    <row r="21" spans="2:30" s="8" customFormat="1" ht="16.5" customHeight="1">
      <c r="B21" s="114"/>
      <c r="C21" s="166"/>
      <c r="D21" s="166"/>
      <c r="E21" s="166"/>
      <c r="F21" s="167"/>
      <c r="G21" s="167"/>
      <c r="H21" s="167"/>
      <c r="I21" s="167"/>
      <c r="J21" s="168"/>
      <c r="K21" s="169"/>
      <c r="L21" s="167"/>
      <c r="M21" s="170"/>
      <c r="N21" s="170"/>
      <c r="O21" s="167"/>
      <c r="P21" s="167"/>
      <c r="Q21" s="167"/>
      <c r="R21" s="167"/>
      <c r="S21" s="89"/>
      <c r="T21" s="88"/>
      <c r="U21" s="171"/>
      <c r="V21" s="172"/>
      <c r="W21" s="173"/>
      <c r="X21" s="174"/>
      <c r="Y21" s="175"/>
      <c r="Z21" s="176"/>
      <c r="AA21" s="177"/>
      <c r="AB21" s="167"/>
      <c r="AC21" s="178"/>
      <c r="AD21" s="115"/>
    </row>
    <row r="22" spans="2:30" s="8" customFormat="1" ht="16.5" customHeight="1">
      <c r="B22" s="114"/>
      <c r="C22" s="166"/>
      <c r="D22" s="166"/>
      <c r="E22" s="166"/>
      <c r="F22" s="86"/>
      <c r="G22" s="87"/>
      <c r="H22" s="316"/>
      <c r="I22" s="90"/>
      <c r="J22" s="181"/>
      <c r="K22" s="182"/>
      <c r="L22" s="182"/>
      <c r="M22" s="183"/>
      <c r="N22" s="184"/>
      <c r="O22" s="185"/>
      <c r="P22" s="186"/>
      <c r="Q22" s="185"/>
      <c r="R22" s="185"/>
      <c r="S22" s="91"/>
      <c r="T22" s="187"/>
      <c r="U22" s="188"/>
      <c r="V22" s="189"/>
      <c r="W22" s="190"/>
      <c r="X22" s="191"/>
      <c r="Y22" s="192"/>
      <c r="Z22" s="193"/>
      <c r="AA22" s="194"/>
      <c r="AB22" s="185"/>
      <c r="AC22" s="195"/>
      <c r="AD22" s="196"/>
    </row>
    <row r="23" spans="2:30" s="8" customFormat="1" ht="16.5" customHeight="1">
      <c r="B23" s="114"/>
      <c r="C23" s="166">
        <v>2</v>
      </c>
      <c r="D23" s="166">
        <v>275734</v>
      </c>
      <c r="E23" s="166">
        <v>1013</v>
      </c>
      <c r="F23" s="86" t="s">
        <v>131</v>
      </c>
      <c r="G23" s="87" t="s">
        <v>118</v>
      </c>
      <c r="H23" s="179">
        <v>150</v>
      </c>
      <c r="I23" s="90" t="s">
        <v>119</v>
      </c>
      <c r="J23" s="181">
        <f aca="true" t="shared" si="0" ref="J23:J41">H23*$I$16</f>
        <v>242.10000000000002</v>
      </c>
      <c r="K23" s="182">
        <v>41792.447916666664</v>
      </c>
      <c r="L23" s="182">
        <v>41792.74166666667</v>
      </c>
      <c r="M23" s="183">
        <f aca="true" t="shared" si="1" ref="M23:M41">IF(F23="","",(L23-K23)*24)</f>
        <v>7.050000000104774</v>
      </c>
      <c r="N23" s="184">
        <f aca="true" t="shared" si="2" ref="N23:N41">IF(F23="","",ROUND((L23-K23)*24*60,0))</f>
        <v>423</v>
      </c>
      <c r="O23" s="185" t="s">
        <v>115</v>
      </c>
      <c r="P23" s="186" t="str">
        <f aca="true" t="shared" si="3" ref="P23:P41">IF(F23="","",IF(OR(O23="P",O23="RP"),"--","NO"))</f>
        <v>--</v>
      </c>
      <c r="Q23" s="185" t="s">
        <v>117</v>
      </c>
      <c r="R23" s="185" t="str">
        <f aca="true" t="shared" si="4" ref="R23:R41">IF(F23="","","NO")</f>
        <v>NO</v>
      </c>
      <c r="S23" s="91">
        <f aca="true" t="shared" si="5" ref="S23:S41">$I$17*IF(OR(O23="P",O23="RP"),0.1,1)*IF(R23="SI",1,0.1)</f>
        <v>0.30000000000000004</v>
      </c>
      <c r="T23" s="187">
        <f aca="true" t="shared" si="6" ref="T23:T41">IF(O23="P",J23*S23*ROUND(N23/60,2),"--")</f>
        <v>512.0415000000002</v>
      </c>
      <c r="U23" s="188" t="str">
        <f aca="true" t="shared" si="7" ref="U23:U41">IF(O23="RP",J23*S23*ROUND(N23/60,2)*Q23/100,"--")</f>
        <v>--</v>
      </c>
      <c r="V23" s="189" t="str">
        <f aca="true" t="shared" si="8" ref="V23:V41">IF(AND(O23="F",P23="NO"),J23*S23,"--")</f>
        <v>--</v>
      </c>
      <c r="W23" s="190" t="str">
        <f aca="true" t="shared" si="9" ref="W23:W41">IF(O23="F",J23*S23*ROUND(N23/60,2),"--")</f>
        <v>--</v>
      </c>
      <c r="X23" s="191" t="str">
        <f aca="true" t="shared" si="10" ref="X23:X41">IF(AND(O23="R",P23="NO"),J23*S23*Q23/100,"--")</f>
        <v>--</v>
      </c>
      <c r="Y23" s="192" t="str">
        <f aca="true" t="shared" si="11" ref="Y23:Y41">IF(O23="R",J23*S23*ROUND(N23/60,2)*Q23/100,"--")</f>
        <v>--</v>
      </c>
      <c r="Z23" s="193" t="str">
        <f aca="true" t="shared" si="12" ref="Z23:Z41">IF(O23="RF",J23*S23*ROUND(N23/60,2),"--")</f>
        <v>--</v>
      </c>
      <c r="AA23" s="194" t="str">
        <f aca="true" t="shared" si="13" ref="AA23:AA41">IF(O23="RR",J23*S23*ROUND(N23/60,2)*Q23/100,"--")</f>
        <v>--</v>
      </c>
      <c r="AB23" s="185" t="s">
        <v>116</v>
      </c>
      <c r="AC23" s="195">
        <f aca="true" t="shared" si="14" ref="AC23:AC41">IF(F23="","",SUM(T23:AA23)*IF(AB23="SI",1,2))</f>
        <v>512.0415000000002</v>
      </c>
      <c r="AD23" s="196"/>
    </row>
    <row r="24" spans="2:30" s="8" customFormat="1" ht="16.5" customHeight="1">
      <c r="B24" s="114"/>
      <c r="C24" s="166">
        <v>3</v>
      </c>
      <c r="D24" s="166">
        <v>275735</v>
      </c>
      <c r="E24" s="166">
        <v>868</v>
      </c>
      <c r="F24" s="86" t="s">
        <v>120</v>
      </c>
      <c r="G24" s="87" t="s">
        <v>121</v>
      </c>
      <c r="H24" s="179">
        <v>15</v>
      </c>
      <c r="I24" s="90" t="s">
        <v>122</v>
      </c>
      <c r="J24" s="181">
        <f t="shared" si="0"/>
        <v>24.21</v>
      </c>
      <c r="K24" s="182">
        <v>41797.364583333336</v>
      </c>
      <c r="L24" s="182">
        <v>41798.779861111114</v>
      </c>
      <c r="M24" s="183">
        <f t="shared" si="1"/>
        <v>33.96666666667443</v>
      </c>
      <c r="N24" s="184">
        <f t="shared" si="2"/>
        <v>2038</v>
      </c>
      <c r="O24" s="185" t="s">
        <v>115</v>
      </c>
      <c r="P24" s="186" t="str">
        <f t="shared" si="3"/>
        <v>--</v>
      </c>
      <c r="Q24" s="185" t="s">
        <v>117</v>
      </c>
      <c r="R24" s="185" t="str">
        <f t="shared" si="4"/>
        <v>NO</v>
      </c>
      <c r="S24" s="91">
        <f t="shared" si="5"/>
        <v>0.30000000000000004</v>
      </c>
      <c r="T24" s="187">
        <f t="shared" si="6"/>
        <v>246.72411000000005</v>
      </c>
      <c r="U24" s="188" t="str">
        <f t="shared" si="7"/>
        <v>--</v>
      </c>
      <c r="V24" s="189" t="str">
        <f t="shared" si="8"/>
        <v>--</v>
      </c>
      <c r="W24" s="190" t="str">
        <f t="shared" si="9"/>
        <v>--</v>
      </c>
      <c r="X24" s="191" t="str">
        <f t="shared" si="10"/>
        <v>--</v>
      </c>
      <c r="Y24" s="192" t="str">
        <f t="shared" si="11"/>
        <v>--</v>
      </c>
      <c r="Z24" s="193" t="str">
        <f t="shared" si="12"/>
        <v>--</v>
      </c>
      <c r="AA24" s="194" t="str">
        <f t="shared" si="13"/>
        <v>--</v>
      </c>
      <c r="AB24" s="185" t="s">
        <v>116</v>
      </c>
      <c r="AC24" s="195">
        <f t="shared" si="14"/>
        <v>246.72411000000005</v>
      </c>
      <c r="AD24" s="115"/>
    </row>
    <row r="25" spans="2:30" s="8" customFormat="1" ht="16.5" customHeight="1">
      <c r="B25" s="114"/>
      <c r="C25" s="166">
        <v>4</v>
      </c>
      <c r="D25" s="166">
        <v>275736</v>
      </c>
      <c r="E25" s="166">
        <v>872</v>
      </c>
      <c r="F25" s="86" t="s">
        <v>123</v>
      </c>
      <c r="G25" s="87" t="s">
        <v>124</v>
      </c>
      <c r="H25" s="179">
        <v>30</v>
      </c>
      <c r="I25" s="90" t="s">
        <v>125</v>
      </c>
      <c r="J25" s="181">
        <f t="shared" si="0"/>
        <v>48.42</v>
      </c>
      <c r="K25" s="182">
        <v>41798.345138888886</v>
      </c>
      <c r="L25" s="182">
        <v>41798.76180555556</v>
      </c>
      <c r="M25" s="183">
        <f t="shared" si="1"/>
        <v>10.000000000116415</v>
      </c>
      <c r="N25" s="184">
        <f t="shared" si="2"/>
        <v>600</v>
      </c>
      <c r="O25" s="185" t="s">
        <v>115</v>
      </c>
      <c r="P25" s="186" t="str">
        <f t="shared" si="3"/>
        <v>--</v>
      </c>
      <c r="Q25" s="185" t="s">
        <v>117</v>
      </c>
      <c r="R25" s="185" t="str">
        <f t="shared" si="4"/>
        <v>NO</v>
      </c>
      <c r="S25" s="91">
        <f t="shared" si="5"/>
        <v>0.30000000000000004</v>
      </c>
      <c r="T25" s="187">
        <f t="shared" si="6"/>
        <v>145.26000000000005</v>
      </c>
      <c r="U25" s="188" t="str">
        <f t="shared" si="7"/>
        <v>--</v>
      </c>
      <c r="V25" s="189" t="str">
        <f t="shared" si="8"/>
        <v>--</v>
      </c>
      <c r="W25" s="190" t="str">
        <f t="shared" si="9"/>
        <v>--</v>
      </c>
      <c r="X25" s="191" t="str">
        <f t="shared" si="10"/>
        <v>--</v>
      </c>
      <c r="Y25" s="192" t="str">
        <f t="shared" si="11"/>
        <v>--</v>
      </c>
      <c r="Z25" s="193" t="str">
        <f t="shared" si="12"/>
        <v>--</v>
      </c>
      <c r="AA25" s="194" t="str">
        <f t="shared" si="13"/>
        <v>--</v>
      </c>
      <c r="AB25" s="185" t="s">
        <v>116</v>
      </c>
      <c r="AC25" s="195">
        <f t="shared" si="14"/>
        <v>145.26000000000005</v>
      </c>
      <c r="AD25" s="115"/>
    </row>
    <row r="26" spans="2:30" s="8" customFormat="1" ht="16.5" customHeight="1">
      <c r="B26" s="114"/>
      <c r="C26" s="166">
        <v>5</v>
      </c>
      <c r="D26" s="166">
        <v>275875</v>
      </c>
      <c r="E26" s="166">
        <v>4477</v>
      </c>
      <c r="F26" s="86" t="s">
        <v>132</v>
      </c>
      <c r="G26" s="87" t="s">
        <v>133</v>
      </c>
      <c r="H26" s="316">
        <v>20</v>
      </c>
      <c r="I26" s="90" t="s">
        <v>129</v>
      </c>
      <c r="J26" s="181">
        <f t="shared" si="0"/>
        <v>32.28</v>
      </c>
      <c r="K26" s="182">
        <v>41800.384722222225</v>
      </c>
      <c r="L26" s="182">
        <v>41800.69375</v>
      </c>
      <c r="M26" s="183">
        <f t="shared" si="1"/>
        <v>7.416666666569654</v>
      </c>
      <c r="N26" s="184">
        <f t="shared" si="2"/>
        <v>445</v>
      </c>
      <c r="O26" s="185" t="s">
        <v>115</v>
      </c>
      <c r="P26" s="186" t="str">
        <f t="shared" si="3"/>
        <v>--</v>
      </c>
      <c r="Q26" s="185" t="s">
        <v>117</v>
      </c>
      <c r="R26" s="185" t="str">
        <f t="shared" si="4"/>
        <v>NO</v>
      </c>
      <c r="S26" s="91">
        <f t="shared" si="5"/>
        <v>0.30000000000000004</v>
      </c>
      <c r="T26" s="187">
        <f t="shared" si="6"/>
        <v>71.85528000000001</v>
      </c>
      <c r="U26" s="188" t="str">
        <f t="shared" si="7"/>
        <v>--</v>
      </c>
      <c r="V26" s="189" t="str">
        <f t="shared" si="8"/>
        <v>--</v>
      </c>
      <c r="W26" s="190" t="str">
        <f t="shared" si="9"/>
        <v>--</v>
      </c>
      <c r="X26" s="191" t="str">
        <f t="shared" si="10"/>
        <v>--</v>
      </c>
      <c r="Y26" s="192" t="str">
        <f t="shared" si="11"/>
        <v>--</v>
      </c>
      <c r="Z26" s="193" t="str">
        <f t="shared" si="12"/>
        <v>--</v>
      </c>
      <c r="AA26" s="194" t="str">
        <f t="shared" si="13"/>
        <v>--</v>
      </c>
      <c r="AB26" s="185" t="s">
        <v>116</v>
      </c>
      <c r="AC26" s="195">
        <f t="shared" si="14"/>
        <v>71.85528000000001</v>
      </c>
      <c r="AD26" s="115"/>
    </row>
    <row r="27" spans="2:30" s="8" customFormat="1" ht="16.5" customHeight="1">
      <c r="B27" s="114"/>
      <c r="C27" s="166">
        <v>6</v>
      </c>
      <c r="D27" s="166">
        <v>275876</v>
      </c>
      <c r="E27" s="166">
        <v>4437</v>
      </c>
      <c r="F27" s="86" t="s">
        <v>131</v>
      </c>
      <c r="G27" s="87" t="s">
        <v>133</v>
      </c>
      <c r="H27" s="316">
        <v>15</v>
      </c>
      <c r="I27" s="90" t="s">
        <v>134</v>
      </c>
      <c r="J27" s="181">
        <f t="shared" si="0"/>
        <v>24.21</v>
      </c>
      <c r="K27" s="182">
        <v>41805.34097222222</v>
      </c>
      <c r="L27" s="182">
        <v>41805.44513888889</v>
      </c>
      <c r="M27" s="183">
        <f t="shared" si="1"/>
        <v>2.5000000001164153</v>
      </c>
      <c r="N27" s="184">
        <f t="shared" si="2"/>
        <v>150</v>
      </c>
      <c r="O27" s="185" t="s">
        <v>115</v>
      </c>
      <c r="P27" s="186" t="str">
        <f t="shared" si="3"/>
        <v>--</v>
      </c>
      <c r="Q27" s="185" t="s">
        <v>117</v>
      </c>
      <c r="R27" s="185" t="str">
        <f t="shared" si="4"/>
        <v>NO</v>
      </c>
      <c r="S27" s="91">
        <f t="shared" si="5"/>
        <v>0.30000000000000004</v>
      </c>
      <c r="T27" s="187">
        <f t="shared" si="6"/>
        <v>18.157500000000006</v>
      </c>
      <c r="U27" s="188" t="str">
        <f t="shared" si="7"/>
        <v>--</v>
      </c>
      <c r="V27" s="189" t="str">
        <f t="shared" si="8"/>
        <v>--</v>
      </c>
      <c r="W27" s="190" t="str">
        <f t="shared" si="9"/>
        <v>--</v>
      </c>
      <c r="X27" s="191" t="str">
        <f t="shared" si="10"/>
        <v>--</v>
      </c>
      <c r="Y27" s="192" t="str">
        <f t="shared" si="11"/>
        <v>--</v>
      </c>
      <c r="Z27" s="193" t="str">
        <f t="shared" si="12"/>
        <v>--</v>
      </c>
      <c r="AA27" s="194" t="str">
        <f t="shared" si="13"/>
        <v>--</v>
      </c>
      <c r="AB27" s="185" t="s">
        <v>116</v>
      </c>
      <c r="AC27" s="195">
        <f t="shared" si="14"/>
        <v>18.157500000000006</v>
      </c>
      <c r="AD27" s="115"/>
    </row>
    <row r="28" spans="2:30" s="8" customFormat="1" ht="16.5" customHeight="1">
      <c r="B28" s="114"/>
      <c r="C28" s="166">
        <v>7</v>
      </c>
      <c r="D28" s="166">
        <v>276098</v>
      </c>
      <c r="E28" s="166">
        <v>1013</v>
      </c>
      <c r="F28" s="86" t="s">
        <v>131</v>
      </c>
      <c r="G28" s="87" t="s">
        <v>118</v>
      </c>
      <c r="H28" s="179">
        <v>150</v>
      </c>
      <c r="I28" s="90" t="s">
        <v>119</v>
      </c>
      <c r="J28" s="181">
        <f t="shared" si="0"/>
        <v>242.10000000000002</v>
      </c>
      <c r="K28" s="182">
        <v>41807.47152777778</v>
      </c>
      <c r="L28" s="182">
        <v>41807.7125</v>
      </c>
      <c r="M28" s="183">
        <f t="shared" si="1"/>
        <v>5.783333333325572</v>
      </c>
      <c r="N28" s="184">
        <f t="shared" si="2"/>
        <v>347</v>
      </c>
      <c r="O28" s="185" t="s">
        <v>126</v>
      </c>
      <c r="P28" s="185" t="s">
        <v>116</v>
      </c>
      <c r="Q28" s="185" t="s">
        <v>117</v>
      </c>
      <c r="R28" s="185" t="str">
        <f t="shared" si="4"/>
        <v>NO</v>
      </c>
      <c r="S28" s="91">
        <f t="shared" si="5"/>
        <v>3</v>
      </c>
      <c r="T28" s="187" t="str">
        <f t="shared" si="6"/>
        <v>--</v>
      </c>
      <c r="U28" s="188" t="str">
        <f t="shared" si="7"/>
        <v>--</v>
      </c>
      <c r="V28" s="189" t="str">
        <f t="shared" si="8"/>
        <v>--</v>
      </c>
      <c r="W28" s="190">
        <f t="shared" si="9"/>
        <v>4198.014</v>
      </c>
      <c r="X28" s="191" t="str">
        <f t="shared" si="10"/>
        <v>--</v>
      </c>
      <c r="Y28" s="192" t="str">
        <f t="shared" si="11"/>
        <v>--</v>
      </c>
      <c r="Z28" s="193" t="str">
        <f t="shared" si="12"/>
        <v>--</v>
      </c>
      <c r="AA28" s="194" t="str">
        <f t="shared" si="13"/>
        <v>--</v>
      </c>
      <c r="AB28" s="185" t="s">
        <v>116</v>
      </c>
      <c r="AC28" s="195">
        <f t="shared" si="14"/>
        <v>4198.014</v>
      </c>
      <c r="AD28" s="115"/>
    </row>
    <row r="29" spans="2:30" s="8" customFormat="1" ht="16.5" customHeight="1">
      <c r="B29" s="114"/>
      <c r="C29" s="166" t="s">
        <v>153</v>
      </c>
      <c r="D29" s="166">
        <v>276306</v>
      </c>
      <c r="E29" s="166">
        <v>1013</v>
      </c>
      <c r="F29" s="86" t="s">
        <v>131</v>
      </c>
      <c r="G29" s="87" t="s">
        <v>118</v>
      </c>
      <c r="H29" s="179">
        <v>150</v>
      </c>
      <c r="I29" s="90" t="s">
        <v>119</v>
      </c>
      <c r="J29" s="181">
        <f t="shared" si="0"/>
        <v>242.10000000000002</v>
      </c>
      <c r="K29" s="182">
        <v>41815.395833333336</v>
      </c>
      <c r="L29" s="182">
        <v>41815.50486111111</v>
      </c>
      <c r="M29" s="183">
        <f t="shared" si="1"/>
        <v>2.616666666639503</v>
      </c>
      <c r="N29" s="184">
        <f t="shared" si="2"/>
        <v>157</v>
      </c>
      <c r="O29" s="185" t="s">
        <v>115</v>
      </c>
      <c r="P29" s="186" t="str">
        <f t="shared" si="3"/>
        <v>--</v>
      </c>
      <c r="Q29" s="185" t="s">
        <v>117</v>
      </c>
      <c r="R29" s="185" t="str">
        <f t="shared" si="4"/>
        <v>NO</v>
      </c>
      <c r="S29" s="91">
        <f t="shared" si="5"/>
        <v>0.30000000000000004</v>
      </c>
      <c r="T29" s="187">
        <f t="shared" si="6"/>
        <v>190.29060000000007</v>
      </c>
      <c r="U29" s="188" t="str">
        <f t="shared" si="7"/>
        <v>--</v>
      </c>
      <c r="V29" s="189" t="str">
        <f t="shared" si="8"/>
        <v>--</v>
      </c>
      <c r="W29" s="190" t="str">
        <f t="shared" si="9"/>
        <v>--</v>
      </c>
      <c r="X29" s="191" t="str">
        <f t="shared" si="10"/>
        <v>--</v>
      </c>
      <c r="Y29" s="192" t="str">
        <f t="shared" si="11"/>
        <v>--</v>
      </c>
      <c r="Z29" s="193" t="str">
        <f t="shared" si="12"/>
        <v>--</v>
      </c>
      <c r="AA29" s="194" t="str">
        <f t="shared" si="13"/>
        <v>--</v>
      </c>
      <c r="AB29" s="185" t="s">
        <v>116</v>
      </c>
      <c r="AC29" s="195">
        <f t="shared" si="14"/>
        <v>190.29060000000007</v>
      </c>
      <c r="AD29" s="115"/>
    </row>
    <row r="30" spans="2:30" s="8" customFormat="1" ht="16.5" customHeight="1">
      <c r="B30" s="114"/>
      <c r="C30" s="166"/>
      <c r="D30" s="166"/>
      <c r="E30" s="166"/>
      <c r="F30" s="86"/>
      <c r="G30" s="87"/>
      <c r="H30" s="179"/>
      <c r="I30" s="180"/>
      <c r="J30" s="181">
        <f t="shared" si="0"/>
        <v>0</v>
      </c>
      <c r="K30" s="182"/>
      <c r="L30" s="182"/>
      <c r="M30" s="183">
        <f t="shared" si="1"/>
      </c>
      <c r="N30" s="184">
        <f t="shared" si="2"/>
      </c>
      <c r="O30" s="185"/>
      <c r="P30" s="186">
        <f t="shared" si="3"/>
      </c>
      <c r="Q30" s="186">
        <f aca="true" t="shared" si="15" ref="Q30:Q41">IF(F30="","","--")</f>
      </c>
      <c r="R30" s="185">
        <f t="shared" si="4"/>
      </c>
      <c r="S30" s="91">
        <f t="shared" si="5"/>
        <v>3</v>
      </c>
      <c r="T30" s="187" t="str">
        <f t="shared" si="6"/>
        <v>--</v>
      </c>
      <c r="U30" s="188" t="str">
        <f t="shared" si="7"/>
        <v>--</v>
      </c>
      <c r="V30" s="189" t="str">
        <f t="shared" si="8"/>
        <v>--</v>
      </c>
      <c r="W30" s="190" t="str">
        <f t="shared" si="9"/>
        <v>--</v>
      </c>
      <c r="X30" s="191" t="str">
        <f t="shared" si="10"/>
        <v>--</v>
      </c>
      <c r="Y30" s="192" t="str">
        <f t="shared" si="11"/>
        <v>--</v>
      </c>
      <c r="Z30" s="193" t="str">
        <f t="shared" si="12"/>
        <v>--</v>
      </c>
      <c r="AA30" s="194" t="str">
        <f t="shared" si="13"/>
        <v>--</v>
      </c>
      <c r="AB30" s="185">
        <f aca="true" t="shared" si="16" ref="AB30:AB41">IF(F30="","","SI")</f>
      </c>
      <c r="AC30" s="195">
        <f t="shared" si="14"/>
      </c>
      <c r="AD30" s="115"/>
    </row>
    <row r="31" spans="2:30" s="8" customFormat="1" ht="16.5" customHeight="1">
      <c r="B31" s="114"/>
      <c r="C31" s="166"/>
      <c r="D31" s="166"/>
      <c r="E31" s="166"/>
      <c r="F31" s="86"/>
      <c r="G31" s="87"/>
      <c r="H31" s="179"/>
      <c r="I31" s="180"/>
      <c r="J31" s="181">
        <f t="shared" si="0"/>
        <v>0</v>
      </c>
      <c r="K31" s="182"/>
      <c r="L31" s="182"/>
      <c r="M31" s="183">
        <f t="shared" si="1"/>
      </c>
      <c r="N31" s="184">
        <f t="shared" si="2"/>
      </c>
      <c r="O31" s="185"/>
      <c r="P31" s="186">
        <f t="shared" si="3"/>
      </c>
      <c r="Q31" s="186">
        <f t="shared" si="15"/>
      </c>
      <c r="R31" s="185">
        <f t="shared" si="4"/>
      </c>
      <c r="S31" s="91">
        <f t="shared" si="5"/>
        <v>3</v>
      </c>
      <c r="T31" s="187" t="str">
        <f t="shared" si="6"/>
        <v>--</v>
      </c>
      <c r="U31" s="188" t="str">
        <f t="shared" si="7"/>
        <v>--</v>
      </c>
      <c r="V31" s="189" t="str">
        <f t="shared" si="8"/>
        <v>--</v>
      </c>
      <c r="W31" s="190" t="str">
        <f t="shared" si="9"/>
        <v>--</v>
      </c>
      <c r="X31" s="191" t="str">
        <f t="shared" si="10"/>
        <v>--</v>
      </c>
      <c r="Y31" s="192" t="str">
        <f t="shared" si="11"/>
        <v>--</v>
      </c>
      <c r="Z31" s="193" t="str">
        <f t="shared" si="12"/>
        <v>--</v>
      </c>
      <c r="AA31" s="194" t="str">
        <f t="shared" si="13"/>
        <v>--</v>
      </c>
      <c r="AB31" s="185">
        <f t="shared" si="16"/>
      </c>
      <c r="AC31" s="195">
        <f t="shared" si="14"/>
      </c>
      <c r="AD31" s="115"/>
    </row>
    <row r="32" spans="2:30" s="8" customFormat="1" ht="16.5" customHeight="1">
      <c r="B32" s="114"/>
      <c r="C32" s="166"/>
      <c r="D32" s="166"/>
      <c r="E32" s="166"/>
      <c r="F32" s="86"/>
      <c r="G32" s="87"/>
      <c r="H32" s="179"/>
      <c r="I32" s="180"/>
      <c r="J32" s="181">
        <f t="shared" si="0"/>
        <v>0</v>
      </c>
      <c r="K32" s="182"/>
      <c r="L32" s="182"/>
      <c r="M32" s="183">
        <f t="shared" si="1"/>
      </c>
      <c r="N32" s="184">
        <f t="shared" si="2"/>
      </c>
      <c r="O32" s="185"/>
      <c r="P32" s="186">
        <f t="shared" si="3"/>
      </c>
      <c r="Q32" s="186">
        <f t="shared" si="15"/>
      </c>
      <c r="R32" s="185">
        <f t="shared" si="4"/>
      </c>
      <c r="S32" s="91">
        <f t="shared" si="5"/>
        <v>3</v>
      </c>
      <c r="T32" s="187" t="str">
        <f t="shared" si="6"/>
        <v>--</v>
      </c>
      <c r="U32" s="188" t="str">
        <f t="shared" si="7"/>
        <v>--</v>
      </c>
      <c r="V32" s="189" t="str">
        <f t="shared" si="8"/>
        <v>--</v>
      </c>
      <c r="W32" s="190" t="str">
        <f t="shared" si="9"/>
        <v>--</v>
      </c>
      <c r="X32" s="191" t="str">
        <f t="shared" si="10"/>
        <v>--</v>
      </c>
      <c r="Y32" s="192" t="str">
        <f t="shared" si="11"/>
        <v>--</v>
      </c>
      <c r="Z32" s="193" t="str">
        <f t="shared" si="12"/>
        <v>--</v>
      </c>
      <c r="AA32" s="194" t="str">
        <f t="shared" si="13"/>
        <v>--</v>
      </c>
      <c r="AB32" s="185">
        <f t="shared" si="16"/>
      </c>
      <c r="AC32" s="195">
        <f t="shared" si="14"/>
      </c>
      <c r="AD32" s="115"/>
    </row>
    <row r="33" spans="2:30" s="8" customFormat="1" ht="16.5" customHeight="1">
      <c r="B33" s="114"/>
      <c r="C33" s="166"/>
      <c r="D33" s="166"/>
      <c r="E33" s="166"/>
      <c r="F33" s="86"/>
      <c r="G33" s="87"/>
      <c r="H33" s="179"/>
      <c r="I33" s="180"/>
      <c r="J33" s="181">
        <f t="shared" si="0"/>
        <v>0</v>
      </c>
      <c r="K33" s="182"/>
      <c r="L33" s="182"/>
      <c r="M33" s="183">
        <f t="shared" si="1"/>
      </c>
      <c r="N33" s="184">
        <f t="shared" si="2"/>
      </c>
      <c r="O33" s="185"/>
      <c r="P33" s="186">
        <f t="shared" si="3"/>
      </c>
      <c r="Q33" s="186">
        <f t="shared" si="15"/>
      </c>
      <c r="R33" s="185">
        <f t="shared" si="4"/>
      </c>
      <c r="S33" s="91">
        <f t="shared" si="5"/>
        <v>3</v>
      </c>
      <c r="T33" s="187" t="str">
        <f t="shared" si="6"/>
        <v>--</v>
      </c>
      <c r="U33" s="188" t="str">
        <f t="shared" si="7"/>
        <v>--</v>
      </c>
      <c r="V33" s="189" t="str">
        <f t="shared" si="8"/>
        <v>--</v>
      </c>
      <c r="W33" s="190" t="str">
        <f t="shared" si="9"/>
        <v>--</v>
      </c>
      <c r="X33" s="191" t="str">
        <f t="shared" si="10"/>
        <v>--</v>
      </c>
      <c r="Y33" s="192" t="str">
        <f t="shared" si="11"/>
        <v>--</v>
      </c>
      <c r="Z33" s="193" t="str">
        <f t="shared" si="12"/>
        <v>--</v>
      </c>
      <c r="AA33" s="194" t="str">
        <f t="shared" si="13"/>
        <v>--</v>
      </c>
      <c r="AB33" s="185">
        <f t="shared" si="16"/>
      </c>
      <c r="AC33" s="195">
        <f t="shared" si="14"/>
      </c>
      <c r="AD33" s="115"/>
    </row>
    <row r="34" spans="2:30" s="8" customFormat="1" ht="16.5" customHeight="1">
      <c r="B34" s="114"/>
      <c r="C34" s="166"/>
      <c r="D34" s="166"/>
      <c r="E34" s="166"/>
      <c r="F34" s="86"/>
      <c r="G34" s="87"/>
      <c r="H34" s="179"/>
      <c r="I34" s="180"/>
      <c r="J34" s="181">
        <f t="shared" si="0"/>
        <v>0</v>
      </c>
      <c r="K34" s="182"/>
      <c r="L34" s="182"/>
      <c r="M34" s="183">
        <f t="shared" si="1"/>
      </c>
      <c r="N34" s="184">
        <f t="shared" si="2"/>
      </c>
      <c r="O34" s="185"/>
      <c r="P34" s="186">
        <f t="shared" si="3"/>
      </c>
      <c r="Q34" s="186">
        <f t="shared" si="15"/>
      </c>
      <c r="R34" s="185">
        <f t="shared" si="4"/>
      </c>
      <c r="S34" s="91">
        <f t="shared" si="5"/>
        <v>3</v>
      </c>
      <c r="T34" s="187" t="str">
        <f t="shared" si="6"/>
        <v>--</v>
      </c>
      <c r="U34" s="188" t="str">
        <f t="shared" si="7"/>
        <v>--</v>
      </c>
      <c r="V34" s="189" t="str">
        <f t="shared" si="8"/>
        <v>--</v>
      </c>
      <c r="W34" s="190" t="str">
        <f t="shared" si="9"/>
        <v>--</v>
      </c>
      <c r="X34" s="191" t="str">
        <f t="shared" si="10"/>
        <v>--</v>
      </c>
      <c r="Y34" s="192" t="str">
        <f t="shared" si="11"/>
        <v>--</v>
      </c>
      <c r="Z34" s="193" t="str">
        <f t="shared" si="12"/>
        <v>--</v>
      </c>
      <c r="AA34" s="194" t="str">
        <f t="shared" si="13"/>
        <v>--</v>
      </c>
      <c r="AB34" s="185">
        <f t="shared" si="16"/>
      </c>
      <c r="AC34" s="195">
        <f t="shared" si="14"/>
      </c>
      <c r="AD34" s="115"/>
    </row>
    <row r="35" spans="2:30" s="8" customFormat="1" ht="16.5" customHeight="1">
      <c r="B35" s="114"/>
      <c r="C35" s="166"/>
      <c r="D35" s="166"/>
      <c r="E35" s="166"/>
      <c r="F35" s="86"/>
      <c r="G35" s="87"/>
      <c r="H35" s="179"/>
      <c r="I35" s="180"/>
      <c r="J35" s="181">
        <f t="shared" si="0"/>
        <v>0</v>
      </c>
      <c r="K35" s="182"/>
      <c r="L35" s="182"/>
      <c r="M35" s="183">
        <f t="shared" si="1"/>
      </c>
      <c r="N35" s="184">
        <f t="shared" si="2"/>
      </c>
      <c r="O35" s="185"/>
      <c r="P35" s="186">
        <f t="shared" si="3"/>
      </c>
      <c r="Q35" s="186">
        <f t="shared" si="15"/>
      </c>
      <c r="R35" s="185">
        <f t="shared" si="4"/>
      </c>
      <c r="S35" s="91">
        <f t="shared" si="5"/>
        <v>3</v>
      </c>
      <c r="T35" s="187" t="str">
        <f t="shared" si="6"/>
        <v>--</v>
      </c>
      <c r="U35" s="188" t="str">
        <f t="shared" si="7"/>
        <v>--</v>
      </c>
      <c r="V35" s="189" t="str">
        <f t="shared" si="8"/>
        <v>--</v>
      </c>
      <c r="W35" s="190" t="str">
        <f t="shared" si="9"/>
        <v>--</v>
      </c>
      <c r="X35" s="191" t="str">
        <f t="shared" si="10"/>
        <v>--</v>
      </c>
      <c r="Y35" s="192" t="str">
        <f t="shared" si="11"/>
        <v>--</v>
      </c>
      <c r="Z35" s="193" t="str">
        <f t="shared" si="12"/>
        <v>--</v>
      </c>
      <c r="AA35" s="194" t="str">
        <f t="shared" si="13"/>
        <v>--</v>
      </c>
      <c r="AB35" s="185">
        <f t="shared" si="16"/>
      </c>
      <c r="AC35" s="195">
        <f t="shared" si="14"/>
      </c>
      <c r="AD35" s="115"/>
    </row>
    <row r="36" spans="2:30" s="8" customFormat="1" ht="16.5" customHeight="1">
      <c r="B36" s="114"/>
      <c r="C36" s="166"/>
      <c r="D36" s="166"/>
      <c r="E36" s="166"/>
      <c r="F36" s="86"/>
      <c r="G36" s="87"/>
      <c r="H36" s="179"/>
      <c r="I36" s="180"/>
      <c r="J36" s="181">
        <f t="shared" si="0"/>
        <v>0</v>
      </c>
      <c r="K36" s="182"/>
      <c r="L36" s="182"/>
      <c r="M36" s="183">
        <f t="shared" si="1"/>
      </c>
      <c r="N36" s="184">
        <f t="shared" si="2"/>
      </c>
      <c r="O36" s="185"/>
      <c r="P36" s="186">
        <f t="shared" si="3"/>
      </c>
      <c r="Q36" s="186">
        <f t="shared" si="15"/>
      </c>
      <c r="R36" s="185">
        <f t="shared" si="4"/>
      </c>
      <c r="S36" s="91">
        <f t="shared" si="5"/>
        <v>3</v>
      </c>
      <c r="T36" s="187" t="str">
        <f t="shared" si="6"/>
        <v>--</v>
      </c>
      <c r="U36" s="188" t="str">
        <f t="shared" si="7"/>
        <v>--</v>
      </c>
      <c r="V36" s="189" t="str">
        <f t="shared" si="8"/>
        <v>--</v>
      </c>
      <c r="W36" s="190" t="str">
        <f t="shared" si="9"/>
        <v>--</v>
      </c>
      <c r="X36" s="191" t="str">
        <f t="shared" si="10"/>
        <v>--</v>
      </c>
      <c r="Y36" s="192" t="str">
        <f t="shared" si="11"/>
        <v>--</v>
      </c>
      <c r="Z36" s="193" t="str">
        <f t="shared" si="12"/>
        <v>--</v>
      </c>
      <c r="AA36" s="194" t="str">
        <f t="shared" si="13"/>
        <v>--</v>
      </c>
      <c r="AB36" s="185">
        <f t="shared" si="16"/>
      </c>
      <c r="AC36" s="195">
        <f t="shared" si="14"/>
      </c>
      <c r="AD36" s="115"/>
    </row>
    <row r="37" spans="2:30" s="8" customFormat="1" ht="16.5" customHeight="1">
      <c r="B37" s="114"/>
      <c r="C37" s="166"/>
      <c r="D37" s="166"/>
      <c r="E37" s="166"/>
      <c r="F37" s="86"/>
      <c r="G37" s="87"/>
      <c r="H37" s="179"/>
      <c r="I37" s="180"/>
      <c r="J37" s="181">
        <f t="shared" si="0"/>
        <v>0</v>
      </c>
      <c r="K37" s="182"/>
      <c r="L37" s="182"/>
      <c r="M37" s="183">
        <f t="shared" si="1"/>
      </c>
      <c r="N37" s="184">
        <f t="shared" si="2"/>
      </c>
      <c r="O37" s="185"/>
      <c r="P37" s="186">
        <f t="shared" si="3"/>
      </c>
      <c r="Q37" s="186">
        <f t="shared" si="15"/>
      </c>
      <c r="R37" s="185">
        <f t="shared" si="4"/>
      </c>
      <c r="S37" s="91">
        <f t="shared" si="5"/>
        <v>3</v>
      </c>
      <c r="T37" s="187" t="str">
        <f t="shared" si="6"/>
        <v>--</v>
      </c>
      <c r="U37" s="188" t="str">
        <f t="shared" si="7"/>
        <v>--</v>
      </c>
      <c r="V37" s="189" t="str">
        <f t="shared" si="8"/>
        <v>--</v>
      </c>
      <c r="W37" s="190" t="str">
        <f t="shared" si="9"/>
        <v>--</v>
      </c>
      <c r="X37" s="191" t="str">
        <f t="shared" si="10"/>
        <v>--</v>
      </c>
      <c r="Y37" s="192" t="str">
        <f t="shared" si="11"/>
        <v>--</v>
      </c>
      <c r="Z37" s="193" t="str">
        <f t="shared" si="12"/>
        <v>--</v>
      </c>
      <c r="AA37" s="194" t="str">
        <f t="shared" si="13"/>
        <v>--</v>
      </c>
      <c r="AB37" s="185">
        <f t="shared" si="16"/>
      </c>
      <c r="AC37" s="195">
        <f t="shared" si="14"/>
      </c>
      <c r="AD37" s="115"/>
    </row>
    <row r="38" spans="2:30" s="8" customFormat="1" ht="16.5" customHeight="1">
      <c r="B38" s="114"/>
      <c r="C38" s="166"/>
      <c r="D38" s="166"/>
      <c r="E38" s="166"/>
      <c r="F38" s="86"/>
      <c r="G38" s="87"/>
      <c r="H38" s="179"/>
      <c r="I38" s="180"/>
      <c r="J38" s="181">
        <f t="shared" si="0"/>
        <v>0</v>
      </c>
      <c r="K38" s="182"/>
      <c r="L38" s="182"/>
      <c r="M38" s="183">
        <f t="shared" si="1"/>
      </c>
      <c r="N38" s="184">
        <f t="shared" si="2"/>
      </c>
      <c r="O38" s="185"/>
      <c r="P38" s="186">
        <f t="shared" si="3"/>
      </c>
      <c r="Q38" s="186">
        <f t="shared" si="15"/>
      </c>
      <c r="R38" s="185">
        <f t="shared" si="4"/>
      </c>
      <c r="S38" s="91">
        <f t="shared" si="5"/>
        <v>3</v>
      </c>
      <c r="T38" s="187" t="str">
        <f t="shared" si="6"/>
        <v>--</v>
      </c>
      <c r="U38" s="188" t="str">
        <f t="shared" si="7"/>
        <v>--</v>
      </c>
      <c r="V38" s="189" t="str">
        <f t="shared" si="8"/>
        <v>--</v>
      </c>
      <c r="W38" s="190" t="str">
        <f t="shared" si="9"/>
        <v>--</v>
      </c>
      <c r="X38" s="191" t="str">
        <f t="shared" si="10"/>
        <v>--</v>
      </c>
      <c r="Y38" s="192" t="str">
        <f t="shared" si="11"/>
        <v>--</v>
      </c>
      <c r="Z38" s="193" t="str">
        <f t="shared" si="12"/>
        <v>--</v>
      </c>
      <c r="AA38" s="194" t="str">
        <f t="shared" si="13"/>
        <v>--</v>
      </c>
      <c r="AB38" s="185">
        <f t="shared" si="16"/>
      </c>
      <c r="AC38" s="195">
        <f t="shared" si="14"/>
      </c>
      <c r="AD38" s="115"/>
    </row>
    <row r="39" spans="2:30" s="8" customFormat="1" ht="16.5" customHeight="1">
      <c r="B39" s="114"/>
      <c r="C39" s="166"/>
      <c r="D39" s="166"/>
      <c r="E39" s="166"/>
      <c r="F39" s="86"/>
      <c r="G39" s="87"/>
      <c r="H39" s="179"/>
      <c r="I39" s="180"/>
      <c r="J39" s="181">
        <f t="shared" si="0"/>
        <v>0</v>
      </c>
      <c r="K39" s="182"/>
      <c r="L39" s="182"/>
      <c r="M39" s="183">
        <f t="shared" si="1"/>
      </c>
      <c r="N39" s="184">
        <f t="shared" si="2"/>
      </c>
      <c r="O39" s="185"/>
      <c r="P39" s="186">
        <f t="shared" si="3"/>
      </c>
      <c r="Q39" s="186">
        <f t="shared" si="15"/>
      </c>
      <c r="R39" s="185">
        <f t="shared" si="4"/>
      </c>
      <c r="S39" s="91">
        <f t="shared" si="5"/>
        <v>3</v>
      </c>
      <c r="T39" s="187" t="str">
        <f t="shared" si="6"/>
        <v>--</v>
      </c>
      <c r="U39" s="188" t="str">
        <f t="shared" si="7"/>
        <v>--</v>
      </c>
      <c r="V39" s="189" t="str">
        <f t="shared" si="8"/>
        <v>--</v>
      </c>
      <c r="W39" s="190" t="str">
        <f t="shared" si="9"/>
        <v>--</v>
      </c>
      <c r="X39" s="191" t="str">
        <f t="shared" si="10"/>
        <v>--</v>
      </c>
      <c r="Y39" s="192" t="str">
        <f t="shared" si="11"/>
        <v>--</v>
      </c>
      <c r="Z39" s="193" t="str">
        <f t="shared" si="12"/>
        <v>--</v>
      </c>
      <c r="AA39" s="194" t="str">
        <f t="shared" si="13"/>
        <v>--</v>
      </c>
      <c r="AB39" s="185">
        <f t="shared" si="16"/>
      </c>
      <c r="AC39" s="195">
        <f t="shared" si="14"/>
      </c>
      <c r="AD39" s="115"/>
    </row>
    <row r="40" spans="2:30" s="8" customFormat="1" ht="16.5" customHeight="1">
      <c r="B40" s="114"/>
      <c r="C40" s="166"/>
      <c r="D40" s="166"/>
      <c r="E40" s="166"/>
      <c r="F40" s="86"/>
      <c r="G40" s="87"/>
      <c r="H40" s="179"/>
      <c r="I40" s="180"/>
      <c r="J40" s="181">
        <f t="shared" si="0"/>
        <v>0</v>
      </c>
      <c r="K40" s="182"/>
      <c r="L40" s="182"/>
      <c r="M40" s="183">
        <f t="shared" si="1"/>
      </c>
      <c r="N40" s="184">
        <f t="shared" si="2"/>
      </c>
      <c r="O40" s="185"/>
      <c r="P40" s="186">
        <f t="shared" si="3"/>
      </c>
      <c r="Q40" s="186">
        <f t="shared" si="15"/>
      </c>
      <c r="R40" s="185">
        <f t="shared" si="4"/>
      </c>
      <c r="S40" s="91">
        <f t="shared" si="5"/>
        <v>3</v>
      </c>
      <c r="T40" s="187" t="str">
        <f t="shared" si="6"/>
        <v>--</v>
      </c>
      <c r="U40" s="188" t="str">
        <f t="shared" si="7"/>
        <v>--</v>
      </c>
      <c r="V40" s="189" t="str">
        <f t="shared" si="8"/>
        <v>--</v>
      </c>
      <c r="W40" s="190" t="str">
        <f t="shared" si="9"/>
        <v>--</v>
      </c>
      <c r="X40" s="191" t="str">
        <f t="shared" si="10"/>
        <v>--</v>
      </c>
      <c r="Y40" s="192" t="str">
        <f t="shared" si="11"/>
        <v>--</v>
      </c>
      <c r="Z40" s="193" t="str">
        <f t="shared" si="12"/>
        <v>--</v>
      </c>
      <c r="AA40" s="194" t="str">
        <f t="shared" si="13"/>
        <v>--</v>
      </c>
      <c r="AB40" s="185">
        <f t="shared" si="16"/>
      </c>
      <c r="AC40" s="195">
        <f t="shared" si="14"/>
      </c>
      <c r="AD40" s="115"/>
    </row>
    <row r="41" spans="2:30" s="8" customFormat="1" ht="16.5" customHeight="1">
      <c r="B41" s="114"/>
      <c r="C41" s="166"/>
      <c r="D41" s="166"/>
      <c r="E41" s="166"/>
      <c r="F41" s="86"/>
      <c r="G41" s="87"/>
      <c r="H41" s="179"/>
      <c r="I41" s="180"/>
      <c r="J41" s="181">
        <f t="shared" si="0"/>
        <v>0</v>
      </c>
      <c r="K41" s="182"/>
      <c r="L41" s="182"/>
      <c r="M41" s="183">
        <f t="shared" si="1"/>
      </c>
      <c r="N41" s="184">
        <f t="shared" si="2"/>
      </c>
      <c r="O41" s="185"/>
      <c r="P41" s="186">
        <f t="shared" si="3"/>
      </c>
      <c r="Q41" s="186">
        <f t="shared" si="15"/>
      </c>
      <c r="R41" s="185">
        <f t="shared" si="4"/>
      </c>
      <c r="S41" s="91">
        <f t="shared" si="5"/>
        <v>3</v>
      </c>
      <c r="T41" s="187" t="str">
        <f t="shared" si="6"/>
        <v>--</v>
      </c>
      <c r="U41" s="188" t="str">
        <f t="shared" si="7"/>
        <v>--</v>
      </c>
      <c r="V41" s="189" t="str">
        <f t="shared" si="8"/>
        <v>--</v>
      </c>
      <c r="W41" s="190" t="str">
        <f t="shared" si="9"/>
        <v>--</v>
      </c>
      <c r="X41" s="191" t="str">
        <f t="shared" si="10"/>
        <v>--</v>
      </c>
      <c r="Y41" s="192" t="str">
        <f t="shared" si="11"/>
        <v>--</v>
      </c>
      <c r="Z41" s="193" t="str">
        <f t="shared" si="12"/>
        <v>--</v>
      </c>
      <c r="AA41" s="194" t="str">
        <f t="shared" si="13"/>
        <v>--</v>
      </c>
      <c r="AB41" s="185">
        <f t="shared" si="16"/>
      </c>
      <c r="AC41" s="195">
        <f t="shared" si="14"/>
      </c>
      <c r="AD41" s="115"/>
    </row>
    <row r="42" spans="2:30" s="8" customFormat="1" ht="16.5" customHeight="1" thickBot="1">
      <c r="B42" s="114"/>
      <c r="C42" s="197"/>
      <c r="D42" s="197"/>
      <c r="E42" s="197"/>
      <c r="F42" s="197"/>
      <c r="G42" s="197"/>
      <c r="H42" s="197"/>
      <c r="I42" s="197"/>
      <c r="J42" s="198"/>
      <c r="K42" s="197"/>
      <c r="L42" s="197"/>
      <c r="M42" s="197"/>
      <c r="N42" s="197"/>
      <c r="O42" s="197"/>
      <c r="P42" s="197"/>
      <c r="Q42" s="197"/>
      <c r="R42" s="197"/>
      <c r="S42" s="199"/>
      <c r="T42" s="200"/>
      <c r="U42" s="201"/>
      <c r="V42" s="202"/>
      <c r="W42" s="203"/>
      <c r="X42" s="204"/>
      <c r="Y42" s="205"/>
      <c r="Z42" s="206"/>
      <c r="AA42" s="207"/>
      <c r="AB42" s="197"/>
      <c r="AC42" s="208"/>
      <c r="AD42" s="115"/>
    </row>
    <row r="43" spans="2:30" s="8" customFormat="1" ht="16.5" customHeight="1" thickBot="1" thickTop="1">
      <c r="B43" s="114"/>
      <c r="C43" s="92" t="s">
        <v>57</v>
      </c>
      <c r="D43" s="317" t="s">
        <v>139</v>
      </c>
      <c r="E43" s="96"/>
      <c r="F43" s="93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209">
        <f>SUM(T20:T42)</f>
        <v>1184.3289900000002</v>
      </c>
      <c r="U43" s="210">
        <f>SUM(U20:U42)</f>
        <v>0</v>
      </c>
      <c r="V43" s="211">
        <f>SUM(V20:V42)</f>
        <v>0</v>
      </c>
      <c r="W43" s="212">
        <f>SUM(W22:W42)</f>
        <v>4198.014</v>
      </c>
      <c r="X43" s="213">
        <f>SUM(X20:X42)</f>
        <v>0</v>
      </c>
      <c r="Y43" s="213">
        <f>SUM(Y22:Y42)</f>
        <v>0</v>
      </c>
      <c r="Z43" s="214">
        <f>SUM(Z20:Z42)</f>
        <v>0</v>
      </c>
      <c r="AA43" s="215">
        <f>SUM(AA22:AA42)</f>
        <v>0</v>
      </c>
      <c r="AB43" s="216"/>
      <c r="AC43" s="217">
        <f>ROUND(SUM(AC20:AC42),2)</f>
        <v>5382.34</v>
      </c>
      <c r="AD43" s="115"/>
    </row>
    <row r="44" spans="2:30" s="94" customFormat="1" ht="9.75" thickTop="1">
      <c r="B44" s="218"/>
      <c r="C44" s="96"/>
      <c r="D44" s="96"/>
      <c r="E44" s="96"/>
      <c r="F44" s="97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20"/>
      <c r="U44" s="220"/>
      <c r="V44" s="220"/>
      <c r="W44" s="220"/>
      <c r="X44" s="220"/>
      <c r="Y44" s="220"/>
      <c r="Z44" s="220"/>
      <c r="AA44" s="220"/>
      <c r="AB44" s="219"/>
      <c r="AC44" s="221"/>
      <c r="AD44" s="222"/>
    </row>
    <row r="45" spans="2:30" s="8" customFormat="1" ht="16.5" customHeight="1" thickBot="1">
      <c r="B45" s="223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5"/>
    </row>
    <row r="46" spans="2:30" ht="16.5" customHeight="1" thickTop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26"/>
    </row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59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W47"/>
  <sheetViews>
    <sheetView zoomScale="70" zoomScaleNormal="70" zoomScalePageLayoutView="0" workbookViewId="0" topLeftCell="A1">
      <selection activeCell="K11" sqref="K11"/>
    </sheetView>
  </sheetViews>
  <sheetFormatPr defaultColWidth="11.421875" defaultRowHeight="12.75"/>
  <cols>
    <col min="1" max="1" width="18.140625" style="1" customWidth="1"/>
    <col min="2" max="2" width="4.00390625" style="1" customWidth="1"/>
    <col min="3" max="3" width="5.57421875" style="1" customWidth="1"/>
    <col min="4" max="5" width="13.57421875" style="1" customWidth="1"/>
    <col min="6" max="6" width="25.7109375" style="1" customWidth="1"/>
    <col min="7" max="7" width="35.7109375" style="1" customWidth="1"/>
    <col min="8" max="8" width="10.7109375" style="1" customWidth="1"/>
    <col min="9" max="9" width="12.421875" style="1" hidden="1" customWidth="1"/>
    <col min="10" max="11" width="15.7109375" style="1" customWidth="1"/>
    <col min="12" max="14" width="9.7109375" style="1" customWidth="1"/>
    <col min="15" max="15" width="7.7109375" style="1" customWidth="1"/>
    <col min="16" max="16" width="12.7109375" style="1" hidden="1" customWidth="1"/>
    <col min="17" max="17" width="15.00390625" style="1" hidden="1" customWidth="1"/>
    <col min="18" max="18" width="15.140625" style="1" hidden="1" customWidth="1"/>
    <col min="19" max="20" width="15.57421875" style="1" hidden="1" customWidth="1"/>
    <col min="21" max="21" width="9.7109375" style="1" customWidth="1"/>
    <col min="22" max="22" width="15.7109375" style="1" customWidth="1"/>
    <col min="23" max="23" width="4.00390625" style="1" customWidth="1"/>
    <col min="24" max="16384" width="11.421875" style="1" customWidth="1"/>
  </cols>
  <sheetData>
    <row r="1" spans="1:23" s="4" customFormat="1" ht="30.75" customHeight="1">
      <c r="A1" s="227"/>
      <c r="W1" s="292"/>
    </row>
    <row r="2" spans="1:23" s="4" customFormat="1" ht="26.25">
      <c r="A2" s="227"/>
      <c r="B2" s="66" t="str">
        <f>+'TOT-0614'!B2</f>
        <v>ANEXO I al Memorandum D.T.E.E. N°        306   / 2015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s="8" customFormat="1" ht="12.75">
      <c r="A3" s="228"/>
      <c r="B3" s="67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" s="11" customFormat="1" ht="11.25">
      <c r="A4" s="102" t="s">
        <v>2</v>
      </c>
      <c r="B4" s="229"/>
    </row>
    <row r="5" spans="1:2" s="11" customFormat="1" ht="11.25">
      <c r="A5" s="102" t="s">
        <v>3</v>
      </c>
      <c r="B5" s="229"/>
    </row>
    <row r="6" s="8" customFormat="1" ht="16.5" customHeight="1" thickBot="1"/>
    <row r="7" spans="2:23" s="8" customFormat="1" ht="16.5" customHeight="1" thickTop="1"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70"/>
    </row>
    <row r="8" spans="2:23" s="71" customFormat="1" ht="20.25">
      <c r="B8" s="72"/>
      <c r="F8" s="73" t="s">
        <v>37</v>
      </c>
      <c r="P8" s="74"/>
      <c r="Q8" s="74"/>
      <c r="R8" s="74"/>
      <c r="S8" s="74"/>
      <c r="T8" s="74"/>
      <c r="U8" s="74"/>
      <c r="V8" s="74"/>
      <c r="W8" s="75"/>
    </row>
    <row r="9" spans="2:23" s="8" customFormat="1" ht="16.5" customHeight="1">
      <c r="B9" s="42"/>
      <c r="F9" s="10"/>
      <c r="G9" s="10"/>
      <c r="H9" s="10"/>
      <c r="I9" s="79"/>
      <c r="J9" s="79"/>
      <c r="K9" s="79"/>
      <c r="L9" s="79"/>
      <c r="M9" s="79"/>
      <c r="P9" s="10"/>
      <c r="Q9" s="10"/>
      <c r="R9" s="10"/>
      <c r="S9" s="10"/>
      <c r="T9" s="10"/>
      <c r="U9" s="10"/>
      <c r="V9" s="10"/>
      <c r="W9" s="47"/>
    </row>
    <row r="10" spans="2:23" s="71" customFormat="1" ht="20.25">
      <c r="B10" s="72"/>
      <c r="F10" s="73" t="s">
        <v>138</v>
      </c>
      <c r="G10" s="73"/>
      <c r="H10" s="74"/>
      <c r="I10" s="73"/>
      <c r="J10" s="73"/>
      <c r="K10" s="73"/>
      <c r="L10" s="73"/>
      <c r="M10" s="73"/>
      <c r="P10" s="74"/>
      <c r="Q10" s="74"/>
      <c r="R10" s="74"/>
      <c r="S10" s="74"/>
      <c r="T10" s="74"/>
      <c r="U10" s="74"/>
      <c r="V10" s="74"/>
      <c r="W10" s="75"/>
    </row>
    <row r="11" spans="2:23" s="8" customFormat="1" ht="16.5" customHeight="1">
      <c r="B11" s="42"/>
      <c r="C11" s="10"/>
      <c r="D11" s="10"/>
      <c r="E11" s="10"/>
      <c r="F11" s="230"/>
      <c r="G11" s="79"/>
      <c r="H11" s="10"/>
      <c r="I11" s="79"/>
      <c r="J11" s="79"/>
      <c r="K11" s="79"/>
      <c r="L11" s="79"/>
      <c r="M11" s="79"/>
      <c r="P11" s="10"/>
      <c r="Q11" s="10"/>
      <c r="R11" s="10"/>
      <c r="S11" s="10"/>
      <c r="T11" s="10"/>
      <c r="U11" s="10"/>
      <c r="V11" s="10"/>
      <c r="W11" s="47"/>
    </row>
    <row r="12" spans="2:23" s="15" customFormat="1" ht="19.5">
      <c r="B12" s="29" t="str">
        <f>+'TOT-0614'!B14</f>
        <v>Desde el 01 al 30 de junio de 2014</v>
      </c>
      <c r="C12" s="231"/>
      <c r="D12" s="231"/>
      <c r="E12" s="231"/>
      <c r="F12" s="32"/>
      <c r="G12" s="32"/>
      <c r="H12" s="32"/>
      <c r="I12" s="32"/>
      <c r="J12" s="77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78"/>
    </row>
    <row r="13" spans="2:23" s="8" customFormat="1" ht="16.5" customHeight="1" thickBot="1">
      <c r="B13" s="42"/>
      <c r="C13" s="10"/>
      <c r="D13" s="10"/>
      <c r="E13" s="10"/>
      <c r="I13" s="80"/>
      <c r="K13" s="10"/>
      <c r="L13" s="10"/>
      <c r="M13" s="10"/>
      <c r="N13" s="80"/>
      <c r="O13" s="80"/>
      <c r="P13" s="80"/>
      <c r="Q13" s="10"/>
      <c r="R13" s="10"/>
      <c r="S13" s="10"/>
      <c r="T13" s="10"/>
      <c r="U13" s="10"/>
      <c r="V13" s="10"/>
      <c r="W13" s="47"/>
    </row>
    <row r="14" spans="2:23" s="8" customFormat="1" ht="16.5" customHeight="1" thickBot="1" thickTop="1">
      <c r="B14" s="42"/>
      <c r="C14" s="10"/>
      <c r="D14" s="10"/>
      <c r="E14" s="10"/>
      <c r="F14" s="232" t="s">
        <v>38</v>
      </c>
      <c r="G14" s="233">
        <v>42.946</v>
      </c>
      <c r="H14" s="234">
        <f>60*'TOT-0614'!B13</f>
        <v>60</v>
      </c>
      <c r="I14" s="80"/>
      <c r="J14" s="134" t="str">
        <f>IF(H14=60," ",IF(H14=120,"    Coeficiente duplicado por tasa de falla &gt;4 Sal. x año/100 km.","    REVISAR COEFICIENTE"))</f>
        <v> </v>
      </c>
      <c r="K14" s="10"/>
      <c r="L14" s="10"/>
      <c r="M14" s="10"/>
      <c r="N14" s="80"/>
      <c r="O14" s="80"/>
      <c r="P14" s="80"/>
      <c r="Q14" s="10"/>
      <c r="R14" s="10"/>
      <c r="S14" s="10"/>
      <c r="T14" s="10"/>
      <c r="U14" s="10"/>
      <c r="V14" s="10"/>
      <c r="W14" s="47"/>
    </row>
    <row r="15" spans="2:23" s="8" customFormat="1" ht="16.5" customHeight="1" thickBot="1" thickTop="1">
      <c r="B15" s="42"/>
      <c r="C15" s="10"/>
      <c r="D15" s="10"/>
      <c r="E15" s="10"/>
      <c r="F15" s="232" t="s">
        <v>39</v>
      </c>
      <c r="G15" s="233">
        <v>21.473</v>
      </c>
      <c r="H15" s="234">
        <f>50*'TOT-0614'!B13</f>
        <v>50</v>
      </c>
      <c r="J15" s="134" t="str">
        <f>IF(H15=50," ",IF(H15=100,"    Coeficiente duplicado por tasa de falla &gt;4 Sal. x año/100 km.","    REVISAR COEFICIENTE"))</f>
        <v> </v>
      </c>
      <c r="S15" s="10"/>
      <c r="T15" s="10"/>
      <c r="U15" s="10"/>
      <c r="V15" s="235"/>
      <c r="W15" s="47"/>
    </row>
    <row r="16" spans="2:23" s="8" customFormat="1" ht="16.5" customHeight="1" thickBot="1" thickTop="1">
      <c r="B16" s="42"/>
      <c r="C16" s="10"/>
      <c r="D16" s="10"/>
      <c r="E16" s="10"/>
      <c r="F16" s="236" t="s">
        <v>40</v>
      </c>
      <c r="G16" s="237">
        <v>16.111</v>
      </c>
      <c r="H16" s="238">
        <f>25*'TOT-0614'!B13</f>
        <v>25</v>
      </c>
      <c r="J16" s="134" t="str">
        <f>IF(H16=25," ",IF(H16=50,"    Coeficiente duplicado por tasa de falla &gt;4 Sal. x año/100 km.","    REVISAR COEFICIENTE"))</f>
        <v> </v>
      </c>
      <c r="K16" s="81"/>
      <c r="L16" s="81"/>
      <c r="M16" s="10"/>
      <c r="P16" s="239"/>
      <c r="Q16" s="240"/>
      <c r="R16" s="3"/>
      <c r="S16" s="10"/>
      <c r="T16" s="10"/>
      <c r="U16" s="10"/>
      <c r="V16" s="235"/>
      <c r="W16" s="47"/>
    </row>
    <row r="17" spans="2:23" s="8" customFormat="1" ht="16.5" customHeight="1" thickBot="1" thickTop="1">
      <c r="B17" s="42"/>
      <c r="C17" s="10"/>
      <c r="D17" s="10"/>
      <c r="E17" s="10"/>
      <c r="F17" s="241" t="s">
        <v>41</v>
      </c>
      <c r="G17" s="313">
        <v>16.111</v>
      </c>
      <c r="H17" s="242">
        <f>20*'TOT-0614'!B13</f>
        <v>20</v>
      </c>
      <c r="J17" s="134" t="str">
        <f>IF(H17=20," ",IF(H17=40,"    Coeficiente duplicado por tasa de falla &gt;4 Sal. x año/100 km.","    REVISAR COEFICIENTE"))</f>
        <v> </v>
      </c>
      <c r="K17" s="81"/>
      <c r="L17" s="81"/>
      <c r="M17" s="10"/>
      <c r="P17" s="239"/>
      <c r="Q17" s="240"/>
      <c r="R17" s="3"/>
      <c r="S17" s="10"/>
      <c r="T17" s="10"/>
      <c r="U17" s="10"/>
      <c r="V17" s="235"/>
      <c r="W17" s="47"/>
    </row>
    <row r="18" spans="2:23" s="8" customFormat="1" ht="16.5" customHeight="1" thickBot="1" thickTop="1">
      <c r="B18" s="42"/>
      <c r="C18" s="10"/>
      <c r="D18" s="314">
        <v>4</v>
      </c>
      <c r="E18" s="314">
        <v>5</v>
      </c>
      <c r="F18" s="314">
        <v>6</v>
      </c>
      <c r="G18" s="314">
        <v>7</v>
      </c>
      <c r="H18" s="314">
        <v>8</v>
      </c>
      <c r="I18" s="314">
        <v>9</v>
      </c>
      <c r="J18" s="314">
        <v>10</v>
      </c>
      <c r="K18" s="314">
        <v>11</v>
      </c>
      <c r="L18" s="314">
        <v>12</v>
      </c>
      <c r="M18" s="314">
        <v>13</v>
      </c>
      <c r="N18" s="314">
        <v>14</v>
      </c>
      <c r="O18" s="314">
        <v>15</v>
      </c>
      <c r="P18" s="314">
        <v>16</v>
      </c>
      <c r="Q18" s="314">
        <v>17</v>
      </c>
      <c r="R18" s="314">
        <v>18</v>
      </c>
      <c r="S18" s="314">
        <v>19</v>
      </c>
      <c r="T18" s="314">
        <v>20</v>
      </c>
      <c r="U18" s="314">
        <v>21</v>
      </c>
      <c r="V18" s="314">
        <v>22</v>
      </c>
      <c r="W18" s="47"/>
    </row>
    <row r="19" spans="2:23" s="243" customFormat="1" ht="34.5" customHeight="1" thickBot="1" thickTop="1">
      <c r="B19" s="244"/>
      <c r="C19" s="297" t="s">
        <v>11</v>
      </c>
      <c r="D19" s="297" t="s">
        <v>58</v>
      </c>
      <c r="E19" s="297" t="s">
        <v>59</v>
      </c>
      <c r="F19" s="138" t="s">
        <v>26</v>
      </c>
      <c r="G19" s="245" t="s">
        <v>27</v>
      </c>
      <c r="H19" s="246" t="s">
        <v>12</v>
      </c>
      <c r="I19" s="83" t="s">
        <v>13</v>
      </c>
      <c r="J19" s="139" t="s">
        <v>14</v>
      </c>
      <c r="K19" s="245" t="s">
        <v>15</v>
      </c>
      <c r="L19" s="138" t="s">
        <v>29</v>
      </c>
      <c r="M19" s="138" t="s">
        <v>30</v>
      </c>
      <c r="N19" s="82" t="s">
        <v>56</v>
      </c>
      <c r="O19" s="139" t="s">
        <v>31</v>
      </c>
      <c r="P19" s="247" t="s">
        <v>42</v>
      </c>
      <c r="Q19" s="248" t="s">
        <v>43</v>
      </c>
      <c r="R19" s="249" t="s">
        <v>34</v>
      </c>
      <c r="S19" s="250"/>
      <c r="T19" s="251" t="s">
        <v>19</v>
      </c>
      <c r="U19" s="141" t="s">
        <v>21</v>
      </c>
      <c r="V19" s="141" t="s">
        <v>22</v>
      </c>
      <c r="W19" s="252"/>
    </row>
    <row r="20" spans="2:23" s="8" customFormat="1" ht="16.5" customHeight="1" thickTop="1">
      <c r="B20" s="42"/>
      <c r="C20" s="167"/>
      <c r="D20" s="296"/>
      <c r="E20" s="296"/>
      <c r="F20" s="166"/>
      <c r="G20" s="166"/>
      <c r="H20" s="253"/>
      <c r="I20" s="254"/>
      <c r="J20" s="169"/>
      <c r="K20" s="255"/>
      <c r="L20" s="170"/>
      <c r="M20" s="170"/>
      <c r="N20" s="169"/>
      <c r="O20" s="169"/>
      <c r="P20" s="256"/>
      <c r="Q20" s="257"/>
      <c r="R20" s="258"/>
      <c r="S20" s="259"/>
      <c r="T20" s="260"/>
      <c r="U20" s="261"/>
      <c r="V20" s="262"/>
      <c r="W20" s="115"/>
    </row>
    <row r="21" spans="2:23" s="8" customFormat="1" ht="16.5" customHeight="1">
      <c r="B21" s="42"/>
      <c r="C21" s="169"/>
      <c r="D21" s="166"/>
      <c r="E21" s="166"/>
      <c r="F21" s="263"/>
      <c r="G21" s="263"/>
      <c r="H21" s="264"/>
      <c r="I21" s="265"/>
      <c r="J21" s="266"/>
      <c r="K21" s="267"/>
      <c r="L21" s="183"/>
      <c r="M21" s="268"/>
      <c r="N21" s="185"/>
      <c r="O21" s="185"/>
      <c r="P21" s="269"/>
      <c r="Q21" s="270"/>
      <c r="R21" s="271"/>
      <c r="S21" s="272"/>
      <c r="T21" s="273"/>
      <c r="U21" s="274"/>
      <c r="V21" s="275"/>
      <c r="W21" s="115"/>
    </row>
    <row r="22" spans="2:23" s="8" customFormat="1" ht="16.5" customHeight="1">
      <c r="B22" s="42"/>
      <c r="C22" s="169">
        <v>9</v>
      </c>
      <c r="D22" s="166">
        <v>276097</v>
      </c>
      <c r="E22" s="166">
        <v>1022</v>
      </c>
      <c r="F22" s="263" t="s">
        <v>127</v>
      </c>
      <c r="G22" s="263" t="s">
        <v>128</v>
      </c>
      <c r="H22" s="276">
        <v>13.199999809265137</v>
      </c>
      <c r="I22" s="265">
        <f aca="true" t="shared" si="0" ref="I22:I41">IF(H22=220,$G$14,IF(AND(H22&lt;=132,H22&gt;=66),$G$15,IF(AND(H22&lt;66,H22&gt;=33),$G$16,$G$17)))</f>
        <v>16.111</v>
      </c>
      <c r="J22" s="266">
        <v>41806.42013888889</v>
      </c>
      <c r="K22" s="267">
        <v>41806.59583333333</v>
      </c>
      <c r="L22" s="183">
        <f aca="true" t="shared" si="1" ref="L22:L41">IF(F22="","",(K22-J22)*24)</f>
        <v>4.21666666661622</v>
      </c>
      <c r="M22" s="268">
        <f aca="true" t="shared" si="2" ref="M22:M41">IF(F22="","",ROUND((K22-J22)*24*60,0))</f>
        <v>253</v>
      </c>
      <c r="N22" s="185" t="s">
        <v>115</v>
      </c>
      <c r="O22" s="185" t="str">
        <f>IF(F22="","",IF(OR(N22="P",N22="RP"),"--","NO"))</f>
        <v>--</v>
      </c>
      <c r="P22" s="269">
        <f aca="true" t="shared" si="3" ref="P22:P41">IF(H22=220,$H$14,IF(AND(H22&lt;=132,H22&gt;=66),$H$15,IF(AND(H22&lt;66,H22&gt;13.2),$H$16,$H$17)))</f>
        <v>20</v>
      </c>
      <c r="Q22" s="270">
        <f aca="true" t="shared" si="4" ref="Q22:Q41">IF(N22="P",I22*P22*ROUND(M22/60,2)*0.1,"--")</f>
        <v>135.97684</v>
      </c>
      <c r="R22" s="271" t="str">
        <f aca="true" t="shared" si="5" ref="R22:R41">IF(AND(N22="F",O22="NO"),I22*P22,"--")</f>
        <v>--</v>
      </c>
      <c r="S22" s="272" t="str">
        <f aca="true" t="shared" si="6" ref="S22:S41">IF(N22="F",I22*P22*ROUND(M22/60,2),"--")</f>
        <v>--</v>
      </c>
      <c r="T22" s="273" t="str">
        <f aca="true" t="shared" si="7" ref="T22:T41">IF(N22="RF",I22*P22*ROUND(M22/60,2),"--")</f>
        <v>--</v>
      </c>
      <c r="U22" s="274" t="s">
        <v>116</v>
      </c>
      <c r="V22" s="277">
        <f aca="true" t="shared" si="8" ref="V22:V41">IF(F22="","",SUM(Q22:T22)*IF(U22="SI",1,2)*IF(H22="500/220",0,1))</f>
        <v>135.97684</v>
      </c>
      <c r="W22" s="196"/>
    </row>
    <row r="23" spans="2:23" s="8" customFormat="1" ht="16.5" customHeight="1">
      <c r="B23" s="42"/>
      <c r="C23" s="169"/>
      <c r="D23" s="166"/>
      <c r="E23" s="166"/>
      <c r="F23" s="263"/>
      <c r="G23" s="263"/>
      <c r="H23" s="264"/>
      <c r="I23" s="265">
        <f t="shared" si="0"/>
        <v>16.111</v>
      </c>
      <c r="J23" s="266"/>
      <c r="K23" s="267"/>
      <c r="L23" s="183">
        <f t="shared" si="1"/>
      </c>
      <c r="M23" s="268">
        <f t="shared" si="2"/>
      </c>
      <c r="N23" s="185"/>
      <c r="O23" s="185">
        <f aca="true" t="shared" si="9" ref="O23:O41">IF(F23="","",IF(OR(N23="P",N23="RP"),"--","NO"))</f>
      </c>
      <c r="P23" s="269">
        <f t="shared" si="3"/>
        <v>20</v>
      </c>
      <c r="Q23" s="270" t="str">
        <f t="shared" si="4"/>
        <v>--</v>
      </c>
      <c r="R23" s="271" t="str">
        <f t="shared" si="5"/>
        <v>--</v>
      </c>
      <c r="S23" s="272" t="str">
        <f t="shared" si="6"/>
        <v>--</v>
      </c>
      <c r="T23" s="273" t="str">
        <f t="shared" si="7"/>
        <v>--</v>
      </c>
      <c r="U23" s="274">
        <f aca="true" t="shared" si="10" ref="U23:U41">IF(F23="","","SI")</f>
      </c>
      <c r="V23" s="277">
        <f t="shared" si="8"/>
      </c>
      <c r="W23" s="196"/>
    </row>
    <row r="24" spans="2:23" s="8" customFormat="1" ht="16.5" customHeight="1">
      <c r="B24" s="42"/>
      <c r="C24" s="169"/>
      <c r="D24" s="166"/>
      <c r="E24" s="166"/>
      <c r="F24" s="263"/>
      <c r="G24" s="263"/>
      <c r="H24" s="264"/>
      <c r="I24" s="265">
        <f t="shared" si="0"/>
        <v>16.111</v>
      </c>
      <c r="J24" s="266"/>
      <c r="K24" s="267"/>
      <c r="L24" s="183">
        <f t="shared" si="1"/>
      </c>
      <c r="M24" s="268">
        <f t="shared" si="2"/>
      </c>
      <c r="N24" s="185"/>
      <c r="O24" s="185">
        <f t="shared" si="9"/>
      </c>
      <c r="P24" s="269">
        <f t="shared" si="3"/>
        <v>20</v>
      </c>
      <c r="Q24" s="270" t="str">
        <f t="shared" si="4"/>
        <v>--</v>
      </c>
      <c r="R24" s="271" t="str">
        <f t="shared" si="5"/>
        <v>--</v>
      </c>
      <c r="S24" s="272" t="str">
        <f t="shared" si="6"/>
        <v>--</v>
      </c>
      <c r="T24" s="273" t="str">
        <f t="shared" si="7"/>
        <v>--</v>
      </c>
      <c r="U24" s="274">
        <f t="shared" si="10"/>
      </c>
      <c r="V24" s="277">
        <f t="shared" si="8"/>
      </c>
      <c r="W24" s="196"/>
    </row>
    <row r="25" spans="2:23" s="8" customFormat="1" ht="16.5" customHeight="1">
      <c r="B25" s="42"/>
      <c r="C25" s="169"/>
      <c r="D25" s="166"/>
      <c r="E25" s="166"/>
      <c r="F25" s="263"/>
      <c r="G25" s="263"/>
      <c r="H25" s="264"/>
      <c r="I25" s="265">
        <f t="shared" si="0"/>
        <v>16.111</v>
      </c>
      <c r="J25" s="266"/>
      <c r="K25" s="267"/>
      <c r="L25" s="183">
        <f t="shared" si="1"/>
      </c>
      <c r="M25" s="268">
        <f t="shared" si="2"/>
      </c>
      <c r="N25" s="185"/>
      <c r="O25" s="185">
        <f t="shared" si="9"/>
      </c>
      <c r="P25" s="269">
        <f t="shared" si="3"/>
        <v>20</v>
      </c>
      <c r="Q25" s="270" t="str">
        <f t="shared" si="4"/>
        <v>--</v>
      </c>
      <c r="R25" s="271" t="str">
        <f t="shared" si="5"/>
        <v>--</v>
      </c>
      <c r="S25" s="272" t="str">
        <f t="shared" si="6"/>
        <v>--</v>
      </c>
      <c r="T25" s="273" t="str">
        <f t="shared" si="7"/>
        <v>--</v>
      </c>
      <c r="U25" s="274">
        <f t="shared" si="10"/>
      </c>
      <c r="V25" s="277">
        <f t="shared" si="8"/>
      </c>
      <c r="W25" s="196"/>
    </row>
    <row r="26" spans="2:23" s="8" customFormat="1" ht="16.5" customHeight="1">
      <c r="B26" s="42"/>
      <c r="C26" s="169"/>
      <c r="D26" s="166"/>
      <c r="E26" s="166"/>
      <c r="F26" s="263"/>
      <c r="G26" s="263"/>
      <c r="H26" s="264"/>
      <c r="I26" s="265">
        <f t="shared" si="0"/>
        <v>16.111</v>
      </c>
      <c r="J26" s="266"/>
      <c r="K26" s="267"/>
      <c r="L26" s="183">
        <f t="shared" si="1"/>
      </c>
      <c r="M26" s="268">
        <f t="shared" si="2"/>
      </c>
      <c r="N26" s="185"/>
      <c r="O26" s="185">
        <f t="shared" si="9"/>
      </c>
      <c r="P26" s="269">
        <f t="shared" si="3"/>
        <v>20</v>
      </c>
      <c r="Q26" s="270" t="str">
        <f t="shared" si="4"/>
        <v>--</v>
      </c>
      <c r="R26" s="271" t="str">
        <f t="shared" si="5"/>
        <v>--</v>
      </c>
      <c r="S26" s="272" t="str">
        <f t="shared" si="6"/>
        <v>--</v>
      </c>
      <c r="T26" s="273" t="str">
        <f t="shared" si="7"/>
        <v>--</v>
      </c>
      <c r="U26" s="274">
        <f t="shared" si="10"/>
      </c>
      <c r="V26" s="277">
        <f t="shared" si="8"/>
      </c>
      <c r="W26" s="196"/>
    </row>
    <row r="27" spans="2:23" s="8" customFormat="1" ht="16.5" customHeight="1">
      <c r="B27" s="42"/>
      <c r="C27" s="169"/>
      <c r="D27" s="166"/>
      <c r="E27" s="166"/>
      <c r="F27" s="263"/>
      <c r="G27" s="263"/>
      <c r="H27" s="264"/>
      <c r="I27" s="265">
        <f t="shared" si="0"/>
        <v>16.111</v>
      </c>
      <c r="J27" s="266"/>
      <c r="K27" s="267"/>
      <c r="L27" s="183">
        <f t="shared" si="1"/>
      </c>
      <c r="M27" s="268">
        <f t="shared" si="2"/>
      </c>
      <c r="N27" s="185"/>
      <c r="O27" s="185">
        <f t="shared" si="9"/>
      </c>
      <c r="P27" s="269">
        <f t="shared" si="3"/>
        <v>20</v>
      </c>
      <c r="Q27" s="270" t="str">
        <f t="shared" si="4"/>
        <v>--</v>
      </c>
      <c r="R27" s="271" t="str">
        <f t="shared" si="5"/>
        <v>--</v>
      </c>
      <c r="S27" s="272" t="str">
        <f t="shared" si="6"/>
        <v>--</v>
      </c>
      <c r="T27" s="273" t="str">
        <f t="shared" si="7"/>
        <v>--</v>
      </c>
      <c r="U27" s="274">
        <f t="shared" si="10"/>
      </c>
      <c r="V27" s="277">
        <f t="shared" si="8"/>
      </c>
      <c r="W27" s="196"/>
    </row>
    <row r="28" spans="2:23" s="8" customFormat="1" ht="16.5" customHeight="1">
      <c r="B28" s="42"/>
      <c r="C28" s="169"/>
      <c r="D28" s="166"/>
      <c r="E28" s="166"/>
      <c r="F28" s="263"/>
      <c r="G28" s="263"/>
      <c r="H28" s="264"/>
      <c r="I28" s="265">
        <f t="shared" si="0"/>
        <v>16.111</v>
      </c>
      <c r="J28" s="266"/>
      <c r="K28" s="267"/>
      <c r="L28" s="183">
        <f t="shared" si="1"/>
      </c>
      <c r="M28" s="268">
        <f t="shared" si="2"/>
      </c>
      <c r="N28" s="185"/>
      <c r="O28" s="185">
        <f t="shared" si="9"/>
      </c>
      <c r="P28" s="269">
        <f t="shared" si="3"/>
        <v>20</v>
      </c>
      <c r="Q28" s="270" t="str">
        <f t="shared" si="4"/>
        <v>--</v>
      </c>
      <c r="R28" s="271" t="str">
        <f t="shared" si="5"/>
        <v>--</v>
      </c>
      <c r="S28" s="272" t="str">
        <f t="shared" si="6"/>
        <v>--</v>
      </c>
      <c r="T28" s="273" t="str">
        <f t="shared" si="7"/>
        <v>--</v>
      </c>
      <c r="U28" s="274">
        <f t="shared" si="10"/>
      </c>
      <c r="V28" s="277">
        <f t="shared" si="8"/>
      </c>
      <c r="W28" s="196"/>
    </row>
    <row r="29" spans="2:23" s="8" customFormat="1" ht="16.5" customHeight="1">
      <c r="B29" s="42"/>
      <c r="C29" s="169" t="s">
        <v>153</v>
      </c>
      <c r="D29" s="166"/>
      <c r="E29" s="166"/>
      <c r="F29" s="263"/>
      <c r="G29" s="263"/>
      <c r="H29" s="264"/>
      <c r="I29" s="265">
        <f t="shared" si="0"/>
        <v>16.111</v>
      </c>
      <c r="J29" s="266"/>
      <c r="K29" s="267"/>
      <c r="L29" s="183">
        <f t="shared" si="1"/>
      </c>
      <c r="M29" s="268">
        <f t="shared" si="2"/>
      </c>
      <c r="N29" s="185"/>
      <c r="O29" s="185">
        <f t="shared" si="9"/>
      </c>
      <c r="P29" s="269">
        <f t="shared" si="3"/>
        <v>20</v>
      </c>
      <c r="Q29" s="270" t="str">
        <f t="shared" si="4"/>
        <v>--</v>
      </c>
      <c r="R29" s="271" t="str">
        <f t="shared" si="5"/>
        <v>--</v>
      </c>
      <c r="S29" s="272" t="str">
        <f t="shared" si="6"/>
        <v>--</v>
      </c>
      <c r="T29" s="273" t="str">
        <f t="shared" si="7"/>
        <v>--</v>
      </c>
      <c r="U29" s="274">
        <f t="shared" si="10"/>
      </c>
      <c r="V29" s="277">
        <f t="shared" si="8"/>
      </c>
      <c r="W29" s="196"/>
    </row>
    <row r="30" spans="2:23" s="8" customFormat="1" ht="16.5" customHeight="1">
      <c r="B30" s="42"/>
      <c r="C30" s="169"/>
      <c r="D30" s="166"/>
      <c r="E30" s="166"/>
      <c r="F30" s="263"/>
      <c r="G30" s="263"/>
      <c r="H30" s="264"/>
      <c r="I30" s="265">
        <f t="shared" si="0"/>
        <v>16.111</v>
      </c>
      <c r="J30" s="266"/>
      <c r="K30" s="267"/>
      <c r="L30" s="183">
        <f t="shared" si="1"/>
      </c>
      <c r="M30" s="268">
        <f t="shared" si="2"/>
      </c>
      <c r="N30" s="185"/>
      <c r="O30" s="185">
        <f t="shared" si="9"/>
      </c>
      <c r="P30" s="269">
        <f t="shared" si="3"/>
        <v>20</v>
      </c>
      <c r="Q30" s="270" t="str">
        <f t="shared" si="4"/>
        <v>--</v>
      </c>
      <c r="R30" s="271" t="str">
        <f t="shared" si="5"/>
        <v>--</v>
      </c>
      <c r="S30" s="272" t="str">
        <f t="shared" si="6"/>
        <v>--</v>
      </c>
      <c r="T30" s="273" t="str">
        <f t="shared" si="7"/>
        <v>--</v>
      </c>
      <c r="U30" s="274">
        <f t="shared" si="10"/>
      </c>
      <c r="V30" s="277">
        <f t="shared" si="8"/>
      </c>
      <c r="W30" s="196"/>
    </row>
    <row r="31" spans="2:23" s="8" customFormat="1" ht="16.5" customHeight="1">
      <c r="B31" s="42"/>
      <c r="C31" s="169"/>
      <c r="D31" s="166"/>
      <c r="E31" s="166"/>
      <c r="F31" s="263"/>
      <c r="G31" s="263"/>
      <c r="H31" s="264"/>
      <c r="I31" s="265">
        <f t="shared" si="0"/>
        <v>16.111</v>
      </c>
      <c r="J31" s="266"/>
      <c r="K31" s="267"/>
      <c r="L31" s="183">
        <f t="shared" si="1"/>
      </c>
      <c r="M31" s="268">
        <f t="shared" si="2"/>
      </c>
      <c r="N31" s="185"/>
      <c r="O31" s="185">
        <f t="shared" si="9"/>
      </c>
      <c r="P31" s="269">
        <f t="shared" si="3"/>
        <v>20</v>
      </c>
      <c r="Q31" s="270" t="str">
        <f t="shared" si="4"/>
        <v>--</v>
      </c>
      <c r="R31" s="271" t="str">
        <f t="shared" si="5"/>
        <v>--</v>
      </c>
      <c r="S31" s="272" t="str">
        <f t="shared" si="6"/>
        <v>--</v>
      </c>
      <c r="T31" s="273" t="str">
        <f t="shared" si="7"/>
        <v>--</v>
      </c>
      <c r="U31" s="274">
        <f t="shared" si="10"/>
      </c>
      <c r="V31" s="277">
        <f t="shared" si="8"/>
      </c>
      <c r="W31" s="196"/>
    </row>
    <row r="32" spans="2:23" s="8" customFormat="1" ht="16.5" customHeight="1">
      <c r="B32" s="42"/>
      <c r="C32" s="169"/>
      <c r="D32" s="166"/>
      <c r="E32" s="166"/>
      <c r="F32" s="263"/>
      <c r="G32" s="263"/>
      <c r="H32" s="264"/>
      <c r="I32" s="265">
        <f t="shared" si="0"/>
        <v>16.111</v>
      </c>
      <c r="J32" s="266"/>
      <c r="K32" s="267"/>
      <c r="L32" s="183">
        <f t="shared" si="1"/>
      </c>
      <c r="M32" s="268">
        <f t="shared" si="2"/>
      </c>
      <c r="N32" s="185"/>
      <c r="O32" s="185">
        <f t="shared" si="9"/>
      </c>
      <c r="P32" s="269">
        <f t="shared" si="3"/>
        <v>20</v>
      </c>
      <c r="Q32" s="270" t="str">
        <f t="shared" si="4"/>
        <v>--</v>
      </c>
      <c r="R32" s="271" t="str">
        <f t="shared" si="5"/>
        <v>--</v>
      </c>
      <c r="S32" s="272" t="str">
        <f t="shared" si="6"/>
        <v>--</v>
      </c>
      <c r="T32" s="273" t="str">
        <f t="shared" si="7"/>
        <v>--</v>
      </c>
      <c r="U32" s="274">
        <f t="shared" si="10"/>
      </c>
      <c r="V32" s="277">
        <f t="shared" si="8"/>
      </c>
      <c r="W32" s="196"/>
    </row>
    <row r="33" spans="2:23" s="8" customFormat="1" ht="16.5" customHeight="1">
      <c r="B33" s="42"/>
      <c r="C33" s="169"/>
      <c r="D33" s="166"/>
      <c r="E33" s="166"/>
      <c r="F33" s="263"/>
      <c r="G33" s="263"/>
      <c r="H33" s="264"/>
      <c r="I33" s="265">
        <f t="shared" si="0"/>
        <v>16.111</v>
      </c>
      <c r="J33" s="266"/>
      <c r="K33" s="267"/>
      <c r="L33" s="183">
        <f t="shared" si="1"/>
      </c>
      <c r="M33" s="268">
        <f t="shared" si="2"/>
      </c>
      <c r="N33" s="185"/>
      <c r="O33" s="185">
        <f t="shared" si="9"/>
      </c>
      <c r="P33" s="269">
        <f t="shared" si="3"/>
        <v>20</v>
      </c>
      <c r="Q33" s="270" t="str">
        <f t="shared" si="4"/>
        <v>--</v>
      </c>
      <c r="R33" s="271" t="str">
        <f t="shared" si="5"/>
        <v>--</v>
      </c>
      <c r="S33" s="272" t="str">
        <f t="shared" si="6"/>
        <v>--</v>
      </c>
      <c r="T33" s="273" t="str">
        <f t="shared" si="7"/>
        <v>--</v>
      </c>
      <c r="U33" s="274">
        <f t="shared" si="10"/>
      </c>
      <c r="V33" s="277">
        <f t="shared" si="8"/>
      </c>
      <c r="W33" s="196"/>
    </row>
    <row r="34" spans="2:23" s="8" customFormat="1" ht="16.5" customHeight="1">
      <c r="B34" s="42"/>
      <c r="C34" s="169"/>
      <c r="D34" s="166"/>
      <c r="E34" s="166"/>
      <c r="F34" s="263"/>
      <c r="G34" s="263"/>
      <c r="H34" s="264"/>
      <c r="I34" s="265">
        <f t="shared" si="0"/>
        <v>16.111</v>
      </c>
      <c r="J34" s="266"/>
      <c r="K34" s="267"/>
      <c r="L34" s="183">
        <f t="shared" si="1"/>
      </c>
      <c r="M34" s="268">
        <f t="shared" si="2"/>
      </c>
      <c r="N34" s="185"/>
      <c r="O34" s="185">
        <f t="shared" si="9"/>
      </c>
      <c r="P34" s="269">
        <f t="shared" si="3"/>
        <v>20</v>
      </c>
      <c r="Q34" s="270" t="str">
        <f t="shared" si="4"/>
        <v>--</v>
      </c>
      <c r="R34" s="271" t="str">
        <f t="shared" si="5"/>
        <v>--</v>
      </c>
      <c r="S34" s="272" t="str">
        <f t="shared" si="6"/>
        <v>--</v>
      </c>
      <c r="T34" s="273" t="str">
        <f t="shared" si="7"/>
        <v>--</v>
      </c>
      <c r="U34" s="274">
        <f t="shared" si="10"/>
      </c>
      <c r="V34" s="277">
        <f t="shared" si="8"/>
      </c>
      <c r="W34" s="196"/>
    </row>
    <row r="35" spans="2:23" s="8" customFormat="1" ht="16.5" customHeight="1">
      <c r="B35" s="42"/>
      <c r="C35" s="169"/>
      <c r="D35" s="166"/>
      <c r="E35" s="166"/>
      <c r="F35" s="263"/>
      <c r="G35" s="263"/>
      <c r="H35" s="264"/>
      <c r="I35" s="265">
        <f t="shared" si="0"/>
        <v>16.111</v>
      </c>
      <c r="J35" s="266"/>
      <c r="K35" s="267"/>
      <c r="L35" s="183">
        <f t="shared" si="1"/>
      </c>
      <c r="M35" s="268">
        <f t="shared" si="2"/>
      </c>
      <c r="N35" s="185"/>
      <c r="O35" s="185">
        <f t="shared" si="9"/>
      </c>
      <c r="P35" s="269">
        <f t="shared" si="3"/>
        <v>20</v>
      </c>
      <c r="Q35" s="270" t="str">
        <f t="shared" si="4"/>
        <v>--</v>
      </c>
      <c r="R35" s="271" t="str">
        <f t="shared" si="5"/>
        <v>--</v>
      </c>
      <c r="S35" s="272" t="str">
        <f t="shared" si="6"/>
        <v>--</v>
      </c>
      <c r="T35" s="273" t="str">
        <f t="shared" si="7"/>
        <v>--</v>
      </c>
      <c r="U35" s="274">
        <f t="shared" si="10"/>
      </c>
      <c r="V35" s="277">
        <f t="shared" si="8"/>
      </c>
      <c r="W35" s="196"/>
    </row>
    <row r="36" spans="2:23" s="8" customFormat="1" ht="16.5" customHeight="1">
      <c r="B36" s="42"/>
      <c r="C36" s="169"/>
      <c r="D36" s="166"/>
      <c r="E36" s="166"/>
      <c r="F36" s="263"/>
      <c r="G36" s="263"/>
      <c r="H36" s="264"/>
      <c r="I36" s="265">
        <f t="shared" si="0"/>
        <v>16.111</v>
      </c>
      <c r="J36" s="266"/>
      <c r="K36" s="267"/>
      <c r="L36" s="183">
        <f t="shared" si="1"/>
      </c>
      <c r="M36" s="268">
        <f t="shared" si="2"/>
      </c>
      <c r="N36" s="185"/>
      <c r="O36" s="185">
        <f t="shared" si="9"/>
      </c>
      <c r="P36" s="269">
        <f t="shared" si="3"/>
        <v>20</v>
      </c>
      <c r="Q36" s="270" t="str">
        <f t="shared" si="4"/>
        <v>--</v>
      </c>
      <c r="R36" s="271" t="str">
        <f t="shared" si="5"/>
        <v>--</v>
      </c>
      <c r="S36" s="272" t="str">
        <f t="shared" si="6"/>
        <v>--</v>
      </c>
      <c r="T36" s="273" t="str">
        <f t="shared" si="7"/>
        <v>--</v>
      </c>
      <c r="U36" s="274">
        <f t="shared" si="10"/>
      </c>
      <c r="V36" s="277">
        <f t="shared" si="8"/>
      </c>
      <c r="W36" s="196"/>
    </row>
    <row r="37" spans="2:23" s="8" customFormat="1" ht="16.5" customHeight="1">
      <c r="B37" s="42"/>
      <c r="C37" s="169"/>
      <c r="D37" s="166"/>
      <c r="E37" s="166"/>
      <c r="F37" s="263"/>
      <c r="G37" s="263"/>
      <c r="H37" s="264"/>
      <c r="I37" s="265">
        <f t="shared" si="0"/>
        <v>16.111</v>
      </c>
      <c r="J37" s="266"/>
      <c r="K37" s="267"/>
      <c r="L37" s="183">
        <f t="shared" si="1"/>
      </c>
      <c r="M37" s="268">
        <f t="shared" si="2"/>
      </c>
      <c r="N37" s="185"/>
      <c r="O37" s="185">
        <f t="shared" si="9"/>
      </c>
      <c r="P37" s="269">
        <f t="shared" si="3"/>
        <v>20</v>
      </c>
      <c r="Q37" s="270" t="str">
        <f t="shared" si="4"/>
        <v>--</v>
      </c>
      <c r="R37" s="271" t="str">
        <f t="shared" si="5"/>
        <v>--</v>
      </c>
      <c r="S37" s="272" t="str">
        <f t="shared" si="6"/>
        <v>--</v>
      </c>
      <c r="T37" s="273" t="str">
        <f t="shared" si="7"/>
        <v>--</v>
      </c>
      <c r="U37" s="274">
        <f t="shared" si="10"/>
      </c>
      <c r="V37" s="277">
        <f t="shared" si="8"/>
      </c>
      <c r="W37" s="196"/>
    </row>
    <row r="38" spans="2:23" s="8" customFormat="1" ht="16.5" customHeight="1">
      <c r="B38" s="42"/>
      <c r="C38" s="169"/>
      <c r="D38" s="166"/>
      <c r="E38" s="166"/>
      <c r="F38" s="263"/>
      <c r="G38" s="263"/>
      <c r="H38" s="264"/>
      <c r="I38" s="265">
        <f t="shared" si="0"/>
        <v>16.111</v>
      </c>
      <c r="J38" s="266"/>
      <c r="K38" s="267"/>
      <c r="L38" s="183">
        <f t="shared" si="1"/>
      </c>
      <c r="M38" s="268">
        <f t="shared" si="2"/>
      </c>
      <c r="N38" s="185"/>
      <c r="O38" s="185">
        <f t="shared" si="9"/>
      </c>
      <c r="P38" s="269">
        <f t="shared" si="3"/>
        <v>20</v>
      </c>
      <c r="Q38" s="270" t="str">
        <f t="shared" si="4"/>
        <v>--</v>
      </c>
      <c r="R38" s="271" t="str">
        <f t="shared" si="5"/>
        <v>--</v>
      </c>
      <c r="S38" s="272" t="str">
        <f t="shared" si="6"/>
        <v>--</v>
      </c>
      <c r="T38" s="273" t="str">
        <f t="shared" si="7"/>
        <v>--</v>
      </c>
      <c r="U38" s="274">
        <f t="shared" si="10"/>
      </c>
      <c r="V38" s="277">
        <f t="shared" si="8"/>
      </c>
      <c r="W38" s="196"/>
    </row>
    <row r="39" spans="2:23" s="8" customFormat="1" ht="16.5" customHeight="1">
      <c r="B39" s="42"/>
      <c r="C39" s="169"/>
      <c r="D39" s="166"/>
      <c r="E39" s="166"/>
      <c r="F39" s="263"/>
      <c r="G39" s="263"/>
      <c r="H39" s="264"/>
      <c r="I39" s="265">
        <f t="shared" si="0"/>
        <v>16.111</v>
      </c>
      <c r="J39" s="266"/>
      <c r="K39" s="267"/>
      <c r="L39" s="183">
        <f t="shared" si="1"/>
      </c>
      <c r="M39" s="268">
        <f t="shared" si="2"/>
      </c>
      <c r="N39" s="185"/>
      <c r="O39" s="185">
        <f t="shared" si="9"/>
      </c>
      <c r="P39" s="269">
        <f t="shared" si="3"/>
        <v>20</v>
      </c>
      <c r="Q39" s="270" t="str">
        <f t="shared" si="4"/>
        <v>--</v>
      </c>
      <c r="R39" s="271" t="str">
        <f t="shared" si="5"/>
        <v>--</v>
      </c>
      <c r="S39" s="272" t="str">
        <f t="shared" si="6"/>
        <v>--</v>
      </c>
      <c r="T39" s="273" t="str">
        <f t="shared" si="7"/>
        <v>--</v>
      </c>
      <c r="U39" s="274">
        <f t="shared" si="10"/>
      </c>
      <c r="V39" s="277">
        <f t="shared" si="8"/>
      </c>
      <c r="W39" s="196"/>
    </row>
    <row r="40" spans="2:23" s="8" customFormat="1" ht="16.5" customHeight="1">
      <c r="B40" s="42"/>
      <c r="C40" s="169"/>
      <c r="D40" s="166"/>
      <c r="E40" s="166"/>
      <c r="F40" s="263"/>
      <c r="G40" s="263"/>
      <c r="H40" s="264"/>
      <c r="I40" s="265">
        <f t="shared" si="0"/>
        <v>16.111</v>
      </c>
      <c r="J40" s="266"/>
      <c r="K40" s="267"/>
      <c r="L40" s="183">
        <f t="shared" si="1"/>
      </c>
      <c r="M40" s="268">
        <f t="shared" si="2"/>
      </c>
      <c r="N40" s="185"/>
      <c r="O40" s="185">
        <f t="shared" si="9"/>
      </c>
      <c r="P40" s="269">
        <f t="shared" si="3"/>
        <v>20</v>
      </c>
      <c r="Q40" s="270" t="str">
        <f t="shared" si="4"/>
        <v>--</v>
      </c>
      <c r="R40" s="271" t="str">
        <f t="shared" si="5"/>
        <v>--</v>
      </c>
      <c r="S40" s="272" t="str">
        <f t="shared" si="6"/>
        <v>--</v>
      </c>
      <c r="T40" s="273" t="str">
        <f t="shared" si="7"/>
        <v>--</v>
      </c>
      <c r="U40" s="274">
        <f t="shared" si="10"/>
      </c>
      <c r="V40" s="277">
        <f t="shared" si="8"/>
      </c>
      <c r="W40" s="196"/>
    </row>
    <row r="41" spans="2:23" s="8" customFormat="1" ht="16.5" customHeight="1">
      <c r="B41" s="42"/>
      <c r="C41" s="169"/>
      <c r="D41" s="166"/>
      <c r="E41" s="166"/>
      <c r="F41" s="263"/>
      <c r="G41" s="263"/>
      <c r="H41" s="264"/>
      <c r="I41" s="265">
        <f t="shared" si="0"/>
        <v>16.111</v>
      </c>
      <c r="J41" s="266"/>
      <c r="K41" s="267"/>
      <c r="L41" s="183">
        <f t="shared" si="1"/>
      </c>
      <c r="M41" s="268">
        <f t="shared" si="2"/>
      </c>
      <c r="N41" s="185"/>
      <c r="O41" s="185">
        <f t="shared" si="9"/>
      </c>
      <c r="P41" s="269">
        <f t="shared" si="3"/>
        <v>20</v>
      </c>
      <c r="Q41" s="270" t="str">
        <f t="shared" si="4"/>
        <v>--</v>
      </c>
      <c r="R41" s="271" t="str">
        <f t="shared" si="5"/>
        <v>--</v>
      </c>
      <c r="S41" s="272" t="str">
        <f t="shared" si="6"/>
        <v>--</v>
      </c>
      <c r="T41" s="273" t="str">
        <f t="shared" si="7"/>
        <v>--</v>
      </c>
      <c r="U41" s="274">
        <f t="shared" si="10"/>
      </c>
      <c r="V41" s="277">
        <f t="shared" si="8"/>
      </c>
      <c r="W41" s="196"/>
    </row>
    <row r="42" spans="2:23" s="8" customFormat="1" ht="16.5" customHeight="1" thickBot="1">
      <c r="B42" s="42"/>
      <c r="C42" s="197"/>
      <c r="D42" s="197"/>
      <c r="E42" s="197"/>
      <c r="F42" s="197"/>
      <c r="G42" s="197"/>
      <c r="H42" s="197"/>
      <c r="I42" s="278"/>
      <c r="J42" s="197"/>
      <c r="K42" s="197"/>
      <c r="L42" s="197"/>
      <c r="M42" s="197"/>
      <c r="N42" s="197"/>
      <c r="O42" s="197"/>
      <c r="P42" s="279"/>
      <c r="Q42" s="280"/>
      <c r="R42" s="281"/>
      <c r="S42" s="282"/>
      <c r="T42" s="283"/>
      <c r="U42" s="197"/>
      <c r="V42" s="284"/>
      <c r="W42" s="196"/>
    </row>
    <row r="43" spans="2:23" s="8" customFormat="1" ht="16.5" customHeight="1" thickBot="1" thickTop="1">
      <c r="B43" s="42"/>
      <c r="C43" s="92" t="s">
        <v>57</v>
      </c>
      <c r="D43" s="317" t="s">
        <v>140</v>
      </c>
      <c r="E43" s="96"/>
      <c r="F43" s="93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285">
        <f>SUM(Q20:Q42)</f>
        <v>135.97684</v>
      </c>
      <c r="R43" s="286">
        <f>SUM(R20:R42)</f>
        <v>0</v>
      </c>
      <c r="S43" s="286">
        <f>SUM(S20:S42)</f>
        <v>0</v>
      </c>
      <c r="T43" s="287">
        <f>SUM(T20:T42)</f>
        <v>0</v>
      </c>
      <c r="U43" s="288"/>
      <c r="V43" s="289">
        <f>ROUND(SUM(V20:V42),2)</f>
        <v>135.98</v>
      </c>
      <c r="W43" s="196"/>
    </row>
    <row r="44" spans="2:23" s="94" customFormat="1" ht="9.75" thickTop="1">
      <c r="B44" s="95"/>
      <c r="C44" s="96"/>
      <c r="D44" s="96"/>
      <c r="E44" s="96"/>
      <c r="F44" s="97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19"/>
      <c r="S44" s="219"/>
      <c r="T44" s="219"/>
      <c r="U44" s="220"/>
      <c r="V44" s="290"/>
      <c r="W44" s="222"/>
    </row>
    <row r="45" spans="2:23" s="8" customFormat="1" ht="16.5" customHeight="1" thickBot="1">
      <c r="B45" s="98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5"/>
    </row>
    <row r="46" spans="2:23" ht="16.5" customHeight="1" thickTop="1">
      <c r="B46" s="291"/>
      <c r="C46" s="291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</row>
    <row r="47" spans="3:6" ht="16.5" customHeight="1">
      <c r="C47" s="291"/>
      <c r="D47" s="291"/>
      <c r="E47" s="291"/>
      <c r="F47" s="291"/>
    </row>
    <row r="48" ht="16.5" customHeight="1"/>
    <row r="49" ht="16.5" customHeight="1"/>
    <row r="50" ht="16.5" customHeight="1"/>
    <row r="51" ht="16.5" customHeight="1"/>
    <row r="52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0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60" zoomScaleNormal="60" zoomScalePageLayoutView="0" workbookViewId="0" topLeftCell="A10">
      <selection activeCell="U24" sqref="U24"/>
    </sheetView>
  </sheetViews>
  <sheetFormatPr defaultColWidth="11.421875" defaultRowHeight="12.75"/>
  <cols>
    <col min="1" max="1" width="22.7109375" style="318" customWidth="1"/>
    <col min="2" max="2" width="15.7109375" style="318" customWidth="1"/>
    <col min="3" max="3" width="5.7109375" style="318" customWidth="1"/>
    <col min="4" max="4" width="56.421875" style="318" customWidth="1"/>
    <col min="5" max="5" width="10.421875" style="318" customWidth="1"/>
    <col min="6" max="6" width="14.140625" style="318" customWidth="1"/>
    <col min="7" max="7" width="11.7109375" style="318" customWidth="1"/>
    <col min="8" max="8" width="12.57421875" style="318" customWidth="1"/>
    <col min="9" max="10" width="10.7109375" style="318" customWidth="1"/>
    <col min="11" max="11" width="14.28125" style="318" customWidth="1"/>
    <col min="12" max="12" width="10.7109375" style="318" customWidth="1"/>
    <col min="13" max="13" width="11.421875" style="318" customWidth="1"/>
    <col min="14" max="19" width="10.7109375" style="318" customWidth="1"/>
    <col min="20" max="20" width="15.7109375" style="318" customWidth="1"/>
    <col min="21" max="16384" width="11.421875" style="318" customWidth="1"/>
  </cols>
  <sheetData>
    <row r="1" ht="38.25" customHeight="1">
      <c r="T1" s="319"/>
    </row>
    <row r="2" spans="2:20" s="320" customFormat="1" ht="40.5" customHeight="1">
      <c r="B2" s="321" t="str">
        <f>'TOT-0614'!B2</f>
        <v>ANEXO I al Memorandum D.T.E.E. N°        306   / 2015</v>
      </c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</row>
    <row r="3" spans="1:2" s="324" customFormat="1" ht="11.25" customHeight="1">
      <c r="A3" s="322" t="s">
        <v>2</v>
      </c>
      <c r="B3" s="323"/>
    </row>
    <row r="4" spans="1:4" s="324" customFormat="1" ht="11.25" customHeight="1">
      <c r="A4" s="322" t="s">
        <v>3</v>
      </c>
      <c r="B4" s="323"/>
      <c r="D4" s="325"/>
    </row>
    <row r="5" spans="1:4" ht="10.5" customHeight="1">
      <c r="A5" s="326"/>
      <c r="D5" s="327"/>
    </row>
    <row r="6" spans="1:20" ht="26.25">
      <c r="A6" s="326"/>
      <c r="B6" s="328" t="s">
        <v>142</v>
      </c>
      <c r="C6" s="329"/>
      <c r="D6" s="327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</row>
    <row r="7" spans="1:4" ht="18.75" customHeight="1">
      <c r="A7" s="326"/>
      <c r="D7" s="327"/>
    </row>
    <row r="8" spans="1:20" ht="26.25">
      <c r="A8" s="326"/>
      <c r="B8" s="330" t="s">
        <v>1</v>
      </c>
      <c r="C8" s="329"/>
      <c r="D8" s="327"/>
      <c r="E8" s="329"/>
      <c r="F8" s="329"/>
      <c r="G8" s="329"/>
      <c r="H8" s="329"/>
      <c r="I8" s="329"/>
      <c r="J8" s="329"/>
      <c r="K8" s="329"/>
      <c r="L8" s="329"/>
      <c r="M8" s="329"/>
      <c r="N8" s="329"/>
      <c r="O8" s="329"/>
      <c r="P8" s="329"/>
      <c r="Q8" s="329"/>
      <c r="R8" s="329"/>
      <c r="S8" s="329"/>
      <c r="T8" s="329"/>
    </row>
    <row r="9" spans="1:4" ht="18.75" customHeight="1">
      <c r="A9" s="326"/>
      <c r="D9" s="327"/>
    </row>
    <row r="10" spans="1:20" ht="26.25">
      <c r="A10" s="326"/>
      <c r="B10" s="330" t="s">
        <v>143</v>
      </c>
      <c r="C10" s="329"/>
      <c r="D10" s="327"/>
      <c r="E10" s="329"/>
      <c r="F10" s="329"/>
      <c r="G10" s="329"/>
      <c r="H10" s="329"/>
      <c r="I10" s="329"/>
      <c r="J10" s="329"/>
      <c r="K10" s="329"/>
      <c r="L10" s="329"/>
      <c r="M10" s="329"/>
      <c r="N10" s="329"/>
      <c r="O10" s="329"/>
      <c r="P10" s="329"/>
      <c r="Q10" s="329"/>
      <c r="R10" s="329"/>
      <c r="S10" s="329"/>
      <c r="T10" s="329"/>
    </row>
    <row r="11" ht="18.75" customHeight="1" thickBot="1"/>
    <row r="12" spans="2:20" ht="18.75" customHeight="1" thickTop="1">
      <c r="B12" s="331"/>
      <c r="C12" s="332"/>
      <c r="D12" s="333"/>
      <c r="E12" s="333"/>
      <c r="F12" s="333"/>
      <c r="G12" s="332"/>
      <c r="H12" s="332"/>
      <c r="I12" s="332"/>
      <c r="J12" s="332"/>
      <c r="K12" s="332"/>
      <c r="L12" s="332"/>
      <c r="M12" s="332"/>
      <c r="N12" s="332"/>
      <c r="O12" s="332"/>
      <c r="P12" s="332"/>
      <c r="Q12" s="332"/>
      <c r="R12" s="332"/>
      <c r="S12" s="332"/>
      <c r="T12" s="334"/>
    </row>
    <row r="13" spans="2:20" ht="30" customHeight="1">
      <c r="B13" s="335" t="s">
        <v>152</v>
      </c>
      <c r="C13" s="329"/>
      <c r="D13" s="336"/>
      <c r="E13" s="336"/>
      <c r="F13" s="336"/>
      <c r="G13" s="337"/>
      <c r="H13" s="337"/>
      <c r="I13" s="337"/>
      <c r="J13" s="337"/>
      <c r="K13" s="337"/>
      <c r="L13" s="337"/>
      <c r="M13" s="337"/>
      <c r="N13" s="337"/>
      <c r="O13" s="337"/>
      <c r="P13" s="337"/>
      <c r="Q13" s="337"/>
      <c r="R13" s="337"/>
      <c r="S13" s="337"/>
      <c r="T13" s="338"/>
    </row>
    <row r="14" spans="2:20" ht="18.75" customHeight="1" thickBot="1">
      <c r="B14" s="339"/>
      <c r="C14" s="340"/>
      <c r="D14" s="341"/>
      <c r="E14" s="341"/>
      <c r="F14" s="342"/>
      <c r="G14" s="343"/>
      <c r="H14" s="343"/>
      <c r="I14" s="343"/>
      <c r="J14" s="343"/>
      <c r="K14" s="343"/>
      <c r="L14" s="343"/>
      <c r="M14" s="343"/>
      <c r="N14" s="343"/>
      <c r="O14" s="343"/>
      <c r="P14" s="343"/>
      <c r="Q14" s="343"/>
      <c r="R14" s="343"/>
      <c r="S14" s="343"/>
      <c r="T14" s="344"/>
    </row>
    <row r="15" spans="1:20" s="352" customFormat="1" ht="34.5" customHeight="1" thickBot="1" thickTop="1">
      <c r="A15" s="345"/>
      <c r="B15" s="346"/>
      <c r="C15" s="347"/>
      <c r="D15" s="347" t="s">
        <v>144</v>
      </c>
      <c r="E15" s="348" t="s">
        <v>12</v>
      </c>
      <c r="F15" s="349" t="s">
        <v>145</v>
      </c>
      <c r="G15" s="350">
        <f>'[1]Tasa de Falla'!HN15</f>
        <v>41426</v>
      </c>
      <c r="H15" s="350">
        <f>'[1]Tasa de Falla'!HO15</f>
        <v>41456</v>
      </c>
      <c r="I15" s="350">
        <f>'[1]Tasa de Falla'!HP15</f>
        <v>41487</v>
      </c>
      <c r="J15" s="350">
        <f>'[1]Tasa de Falla'!HQ15</f>
        <v>41518</v>
      </c>
      <c r="K15" s="350">
        <f>'[1]Tasa de Falla'!HR15</f>
        <v>41548</v>
      </c>
      <c r="L15" s="350">
        <f>'[1]Tasa de Falla'!HS15</f>
        <v>41579</v>
      </c>
      <c r="M15" s="350">
        <f>'[1]Tasa de Falla'!HT15</f>
        <v>41609</v>
      </c>
      <c r="N15" s="350">
        <f>'[1]Tasa de Falla'!HU15</f>
        <v>41640</v>
      </c>
      <c r="O15" s="350">
        <f>'[1]Tasa de Falla'!HV15</f>
        <v>41671</v>
      </c>
      <c r="P15" s="350">
        <f>'[1]Tasa de Falla'!HW15</f>
        <v>41699</v>
      </c>
      <c r="Q15" s="350">
        <f>'[1]Tasa de Falla'!HX15</f>
        <v>41730</v>
      </c>
      <c r="R15" s="350">
        <f>'[1]Tasa de Falla'!HY15</f>
        <v>41760</v>
      </c>
      <c r="S15" s="350">
        <f>'[1]Tasa de Falla'!HZ15</f>
        <v>41791</v>
      </c>
      <c r="T15" s="351"/>
    </row>
    <row r="16" spans="2:20" s="352" customFormat="1" ht="24.75" customHeight="1" thickTop="1">
      <c r="B16" s="353"/>
      <c r="C16" s="354"/>
      <c r="D16" s="355"/>
      <c r="E16" s="355"/>
      <c r="F16" s="356"/>
      <c r="G16" s="355"/>
      <c r="H16" s="355"/>
      <c r="I16" s="355"/>
      <c r="J16" s="355"/>
      <c r="K16" s="355"/>
      <c r="L16" s="355"/>
      <c r="M16" s="355"/>
      <c r="N16" s="355"/>
      <c r="O16" s="355"/>
      <c r="P16" s="355"/>
      <c r="Q16" s="355"/>
      <c r="R16" s="355"/>
      <c r="S16" s="357"/>
      <c r="T16" s="351"/>
    </row>
    <row r="17" spans="2:20" s="352" customFormat="1" ht="24.75" customHeight="1">
      <c r="B17" s="353"/>
      <c r="C17" s="358">
        <f>'[1]Tasa de Falla'!C17</f>
        <v>1</v>
      </c>
      <c r="D17" s="359" t="str">
        <f>'[1]Tasa de Falla'!D17</f>
        <v>AGUA DEL TORO - CRUZ DE PIEDRA</v>
      </c>
      <c r="E17" s="359">
        <f>'[1]Tasa de Falla'!E17</f>
        <v>220</v>
      </c>
      <c r="F17" s="360">
        <f>'[1]Tasa de Falla'!F17</f>
        <v>177.9</v>
      </c>
      <c r="G17" s="359">
        <f>IF('[1]Tasa de Falla'!HN17="","",'[1]Tasa de Falla'!HN17)</f>
      </c>
      <c r="H17" s="359">
        <f>IF('[1]Tasa de Falla'!HO17="","",'[1]Tasa de Falla'!HO17)</f>
      </c>
      <c r="I17" s="359">
        <f>IF('[1]Tasa de Falla'!HP17="","",'[1]Tasa de Falla'!HP17)</f>
      </c>
      <c r="J17" s="359">
        <f>IF('[1]Tasa de Falla'!HQ17="","",'[1]Tasa de Falla'!HQ17)</f>
      </c>
      <c r="K17" s="359">
        <f>IF('[1]Tasa de Falla'!HR17="","",'[1]Tasa de Falla'!HR17)</f>
      </c>
      <c r="L17" s="359">
        <f>IF('[1]Tasa de Falla'!HS17="","",'[1]Tasa de Falla'!HS17)</f>
      </c>
      <c r="M17" s="359">
        <f>IF('[1]Tasa de Falla'!HT17="","",'[1]Tasa de Falla'!HT17)</f>
      </c>
      <c r="N17" s="359">
        <f>IF('[1]Tasa de Falla'!HU17="","",'[1]Tasa de Falla'!HU17)</f>
      </c>
      <c r="O17" s="359">
        <f>IF('[1]Tasa de Falla'!HV17="","",'[1]Tasa de Falla'!HV17)</f>
        <v>1</v>
      </c>
      <c r="P17" s="359">
        <f>IF('[1]Tasa de Falla'!HW17="","",'[1]Tasa de Falla'!HW17)</f>
      </c>
      <c r="Q17" s="359">
        <f>IF('[1]Tasa de Falla'!HX17="","",'[1]Tasa de Falla'!HX17)</f>
      </c>
      <c r="R17" s="359">
        <f>IF('[1]Tasa de Falla'!HY17="","",'[1]Tasa de Falla'!HY17)</f>
      </c>
      <c r="S17" s="356"/>
      <c r="T17" s="351"/>
    </row>
    <row r="18" spans="2:20" s="352" customFormat="1" ht="24.75" customHeight="1">
      <c r="B18" s="353"/>
      <c r="C18" s="361">
        <f>'[1]Tasa de Falla'!C18</f>
        <v>2</v>
      </c>
      <c r="D18" s="362" t="str">
        <f>'[1]Tasa de Falla'!D18</f>
        <v>AGUA DEL TORO - LOS REYUNOS</v>
      </c>
      <c r="E18" s="362">
        <f>'[1]Tasa de Falla'!E18</f>
        <v>220</v>
      </c>
      <c r="F18" s="363">
        <f>'[1]Tasa de Falla'!F18</f>
        <v>43</v>
      </c>
      <c r="G18" s="359">
        <f>IF('[1]Tasa de Falla'!HN18="","",'[1]Tasa de Falla'!HN18)</f>
      </c>
      <c r="H18" s="359">
        <f>IF('[1]Tasa de Falla'!HO18="","",'[1]Tasa de Falla'!HO18)</f>
      </c>
      <c r="I18" s="359">
        <f>IF('[1]Tasa de Falla'!HP18="","",'[1]Tasa de Falla'!HP18)</f>
      </c>
      <c r="J18" s="359">
        <f>IF('[1]Tasa de Falla'!HQ18="","",'[1]Tasa de Falla'!HQ18)</f>
      </c>
      <c r="K18" s="359">
        <f>IF('[1]Tasa de Falla'!HR18="","",'[1]Tasa de Falla'!HR18)</f>
      </c>
      <c r="L18" s="359">
        <f>IF('[1]Tasa de Falla'!HS18="","",'[1]Tasa de Falla'!HS18)</f>
      </c>
      <c r="M18" s="359">
        <f>IF('[1]Tasa de Falla'!HT18="","",'[1]Tasa de Falla'!HT18)</f>
      </c>
      <c r="N18" s="359">
        <f>IF('[1]Tasa de Falla'!HU18="","",'[1]Tasa de Falla'!HU18)</f>
      </c>
      <c r="O18" s="359">
        <f>IF('[1]Tasa de Falla'!HV18="","",'[1]Tasa de Falla'!HV18)</f>
        <v>1</v>
      </c>
      <c r="P18" s="359">
        <f>IF('[1]Tasa de Falla'!HW18="","",'[1]Tasa de Falla'!HW18)</f>
      </c>
      <c r="Q18" s="359">
        <f>IF('[1]Tasa de Falla'!HX18="","",'[1]Tasa de Falla'!HX18)</f>
      </c>
      <c r="R18" s="359">
        <f>IF('[1]Tasa de Falla'!HY18="","",'[1]Tasa de Falla'!HY18)</f>
      </c>
      <c r="S18" s="356"/>
      <c r="T18" s="351"/>
    </row>
    <row r="19" spans="2:20" s="352" customFormat="1" ht="24.75" customHeight="1">
      <c r="B19" s="353"/>
      <c r="C19" s="358">
        <f>'[1]Tasa de Falla'!C19</f>
        <v>3</v>
      </c>
      <c r="D19" s="359" t="str">
        <f>'[1]Tasa de Falla'!D19</f>
        <v>AGUA DEL TORO - NIHUIL II</v>
      </c>
      <c r="E19" s="359">
        <f>'[1]Tasa de Falla'!E19</f>
        <v>220</v>
      </c>
      <c r="F19" s="360">
        <f>'[1]Tasa de Falla'!F19</f>
        <v>53.5</v>
      </c>
      <c r="G19" s="359">
        <f>IF('[1]Tasa de Falla'!HN19="","",'[1]Tasa de Falla'!HN19)</f>
      </c>
      <c r="H19" s="359">
        <f>IF('[1]Tasa de Falla'!HO19="","",'[1]Tasa de Falla'!HO19)</f>
      </c>
      <c r="I19" s="359">
        <f>IF('[1]Tasa de Falla'!HP19="","",'[1]Tasa de Falla'!HP19)</f>
      </c>
      <c r="J19" s="359">
        <f>IF('[1]Tasa de Falla'!HQ19="","",'[1]Tasa de Falla'!HQ19)</f>
      </c>
      <c r="K19" s="359">
        <f>IF('[1]Tasa de Falla'!HR19="","",'[1]Tasa de Falla'!HR19)</f>
      </c>
      <c r="L19" s="359">
        <f>IF('[1]Tasa de Falla'!HS19="","",'[1]Tasa de Falla'!HS19)</f>
      </c>
      <c r="M19" s="359">
        <f>IF('[1]Tasa de Falla'!HT19="","",'[1]Tasa de Falla'!HT19)</f>
        <v>1</v>
      </c>
      <c r="N19" s="359">
        <f>IF('[1]Tasa de Falla'!HU19="","",'[1]Tasa de Falla'!HU19)</f>
      </c>
      <c r="O19" s="359">
        <f>IF('[1]Tasa de Falla'!HV19="","",'[1]Tasa de Falla'!HV19)</f>
        <v>1</v>
      </c>
      <c r="P19" s="359">
        <f>IF('[1]Tasa de Falla'!HW19="","",'[1]Tasa de Falla'!HW19)</f>
      </c>
      <c r="Q19" s="359">
        <f>IF('[1]Tasa de Falla'!HX19="","",'[1]Tasa de Falla'!HX19)</f>
      </c>
      <c r="R19" s="359">
        <f>IF('[1]Tasa de Falla'!HY19="","",'[1]Tasa de Falla'!HY19)</f>
      </c>
      <c r="S19" s="356"/>
      <c r="T19" s="351"/>
    </row>
    <row r="20" spans="2:20" s="352" customFormat="1" ht="24.75" customHeight="1">
      <c r="B20" s="353"/>
      <c r="C20" s="361">
        <f>'[1]Tasa de Falla'!C20</f>
        <v>4</v>
      </c>
      <c r="D20" s="362" t="str">
        <f>'[1]Tasa de Falla'!D20</f>
        <v>CRUZ DE PIEDRA - SAN JUAN</v>
      </c>
      <c r="E20" s="362">
        <f>'[1]Tasa de Falla'!E20</f>
        <v>220</v>
      </c>
      <c r="F20" s="363">
        <f>'[1]Tasa de Falla'!F20</f>
        <v>171.6</v>
      </c>
      <c r="G20" s="359">
        <f>IF('[1]Tasa de Falla'!HN20="","",'[1]Tasa de Falla'!HN20)</f>
      </c>
      <c r="H20" s="359">
        <f>IF('[1]Tasa de Falla'!HO20="","",'[1]Tasa de Falla'!HO20)</f>
      </c>
      <c r="I20" s="359">
        <f>IF('[1]Tasa de Falla'!HP20="","",'[1]Tasa de Falla'!HP20)</f>
      </c>
      <c r="J20" s="359">
        <f>IF('[1]Tasa de Falla'!HQ20="","",'[1]Tasa de Falla'!HQ20)</f>
      </c>
      <c r="K20" s="359">
        <f>IF('[1]Tasa de Falla'!HR20="","",'[1]Tasa de Falla'!HR20)</f>
        <v>1</v>
      </c>
      <c r="L20" s="359">
        <f>IF('[1]Tasa de Falla'!HS20="","",'[1]Tasa de Falla'!HS20)</f>
      </c>
      <c r="M20" s="359">
        <f>IF('[1]Tasa de Falla'!HT20="","",'[1]Tasa de Falla'!HT20)</f>
      </c>
      <c r="N20" s="359">
        <f>IF('[1]Tasa de Falla'!HU20="","",'[1]Tasa de Falla'!HU20)</f>
      </c>
      <c r="O20" s="359">
        <f>IF('[1]Tasa de Falla'!HV20="","",'[1]Tasa de Falla'!HV20)</f>
      </c>
      <c r="P20" s="359">
        <f>IF('[1]Tasa de Falla'!HW20="","",'[1]Tasa de Falla'!HW20)</f>
      </c>
      <c r="Q20" s="359">
        <f>IF('[1]Tasa de Falla'!HX20="","",'[1]Tasa de Falla'!HX20)</f>
      </c>
      <c r="R20" s="359">
        <f>IF('[1]Tasa de Falla'!HY20="","",'[1]Tasa de Falla'!HY20)</f>
      </c>
      <c r="S20" s="356"/>
      <c r="T20" s="351"/>
    </row>
    <row r="21" spans="2:20" s="352" customFormat="1" ht="24.75" customHeight="1">
      <c r="B21" s="353"/>
      <c r="C21" s="358">
        <f>'[1]Tasa de Falla'!C21</f>
        <v>5</v>
      </c>
      <c r="D21" s="359" t="str">
        <f>'[1]Tasa de Falla'!D21</f>
        <v>LOS REYUNOS - GRAN MENDOZA</v>
      </c>
      <c r="E21" s="359">
        <f>'[1]Tasa de Falla'!E21</f>
        <v>220</v>
      </c>
      <c r="F21" s="360">
        <f>'[1]Tasa de Falla'!F21</f>
        <v>188.3</v>
      </c>
      <c r="G21" s="359">
        <f>IF('[1]Tasa de Falla'!HN21="","",'[1]Tasa de Falla'!HN21)</f>
      </c>
      <c r="H21" s="359">
        <f>IF('[1]Tasa de Falla'!HO21="","",'[1]Tasa de Falla'!HO21)</f>
      </c>
      <c r="I21" s="359">
        <f>IF('[1]Tasa de Falla'!HP21="","",'[1]Tasa de Falla'!HP21)</f>
      </c>
      <c r="J21" s="359">
        <f>IF('[1]Tasa de Falla'!HQ21="","",'[1]Tasa de Falla'!HQ21)</f>
      </c>
      <c r="K21" s="359">
        <f>IF('[1]Tasa de Falla'!HR21="","",'[1]Tasa de Falla'!HR21)</f>
      </c>
      <c r="L21" s="359">
        <f>IF('[1]Tasa de Falla'!HS21="","",'[1]Tasa de Falla'!HS21)</f>
      </c>
      <c r="M21" s="359">
        <f>IF('[1]Tasa de Falla'!HT21="","",'[1]Tasa de Falla'!HT21)</f>
      </c>
      <c r="N21" s="359">
        <f>IF('[1]Tasa de Falla'!HU21="","",'[1]Tasa de Falla'!HU21)</f>
      </c>
      <c r="O21" s="359">
        <f>IF('[1]Tasa de Falla'!HV21="","",'[1]Tasa de Falla'!HV21)</f>
      </c>
      <c r="P21" s="359">
        <f>IF('[1]Tasa de Falla'!HW21="","",'[1]Tasa de Falla'!HW21)</f>
      </c>
      <c r="Q21" s="359">
        <f>IF('[1]Tasa de Falla'!HX21="","",'[1]Tasa de Falla'!HX21)</f>
      </c>
      <c r="R21" s="359">
        <f>IF('[1]Tasa de Falla'!HY21="","",'[1]Tasa de Falla'!HY21)</f>
      </c>
      <c r="S21" s="356"/>
      <c r="T21" s="351"/>
    </row>
    <row r="22" spans="2:20" s="352" customFormat="1" ht="24.75" customHeight="1">
      <c r="B22" s="353"/>
      <c r="C22" s="358">
        <f>'[1]Tasa de Falla'!C22</f>
        <v>6</v>
      </c>
      <c r="D22" s="359" t="str">
        <f>'[1]Tasa de Falla'!D22</f>
        <v>CRUZ DE PIEDRA - CAÑADA HONDA</v>
      </c>
      <c r="E22" s="359">
        <f>'[1]Tasa de Falla'!E22</f>
        <v>132</v>
      </c>
      <c r="F22" s="360">
        <f>'[1]Tasa de Falla'!F22</f>
        <v>125.8</v>
      </c>
      <c r="G22" s="359">
        <f>IF('[1]Tasa de Falla'!HN22="","",'[1]Tasa de Falla'!HN22)</f>
      </c>
      <c r="H22" s="359">
        <f>IF('[1]Tasa de Falla'!HO22="","",'[1]Tasa de Falla'!HO22)</f>
      </c>
      <c r="I22" s="359">
        <f>IF('[1]Tasa de Falla'!HP22="","",'[1]Tasa de Falla'!HP22)</f>
        <v>1</v>
      </c>
      <c r="J22" s="359">
        <f>IF('[1]Tasa de Falla'!HQ22="","",'[1]Tasa de Falla'!HQ22)</f>
      </c>
      <c r="K22" s="359">
        <f>IF('[1]Tasa de Falla'!HR22="","",'[1]Tasa de Falla'!HR22)</f>
        <v>1</v>
      </c>
      <c r="L22" s="359">
        <f>IF('[1]Tasa de Falla'!HS22="","",'[1]Tasa de Falla'!HS22)</f>
      </c>
      <c r="M22" s="359">
        <f>IF('[1]Tasa de Falla'!HT22="","",'[1]Tasa de Falla'!HT22)</f>
      </c>
      <c r="N22" s="359">
        <f>IF('[1]Tasa de Falla'!HU22="","",'[1]Tasa de Falla'!HU22)</f>
      </c>
      <c r="O22" s="359">
        <f>IF('[1]Tasa de Falla'!HV22="","",'[1]Tasa de Falla'!HV22)</f>
      </c>
      <c r="P22" s="359">
        <f>IF('[1]Tasa de Falla'!HW22="","",'[1]Tasa de Falla'!HW22)</f>
        <v>1</v>
      </c>
      <c r="Q22" s="359">
        <f>IF('[1]Tasa de Falla'!HX22="","",'[1]Tasa de Falla'!HX22)</f>
      </c>
      <c r="R22" s="359">
        <f>IF('[1]Tasa de Falla'!HY22="","",'[1]Tasa de Falla'!HY22)</f>
      </c>
      <c r="S22" s="356"/>
      <c r="T22" s="351"/>
    </row>
    <row r="23" spans="2:20" s="352" customFormat="1" ht="24.75" customHeight="1">
      <c r="B23" s="353"/>
      <c r="C23" s="361">
        <f>'[1]Tasa de Falla'!C23</f>
        <v>7</v>
      </c>
      <c r="D23" s="362" t="str">
        <f>'[1]Tasa de Falla'!D23</f>
        <v>ANCHORIS - CAPIZ</v>
      </c>
      <c r="E23" s="362">
        <f>'[1]Tasa de Falla'!E23</f>
        <v>132</v>
      </c>
      <c r="F23" s="363">
        <f>'[1]Tasa de Falla'!F23</f>
        <v>42</v>
      </c>
      <c r="G23" s="359">
        <f>IF('[1]Tasa de Falla'!HN23="","",'[1]Tasa de Falla'!HN23)</f>
      </c>
      <c r="H23" s="359">
        <f>IF('[1]Tasa de Falla'!HO23="","",'[1]Tasa de Falla'!HO23)</f>
      </c>
      <c r="I23" s="359">
        <f>IF('[1]Tasa de Falla'!HP23="","",'[1]Tasa de Falla'!HP23)</f>
      </c>
      <c r="J23" s="359">
        <f>IF('[1]Tasa de Falla'!HQ23="","",'[1]Tasa de Falla'!HQ23)</f>
      </c>
      <c r="K23" s="359">
        <f>IF('[1]Tasa de Falla'!HR23="","",'[1]Tasa de Falla'!HR23)</f>
      </c>
      <c r="L23" s="359">
        <f>IF('[1]Tasa de Falla'!HS23="","",'[1]Tasa de Falla'!HS23)</f>
      </c>
      <c r="M23" s="359">
        <f>IF('[1]Tasa de Falla'!HT23="","",'[1]Tasa de Falla'!HT23)</f>
      </c>
      <c r="N23" s="359">
        <f>IF('[1]Tasa de Falla'!HU23="","",'[1]Tasa de Falla'!HU23)</f>
      </c>
      <c r="O23" s="359">
        <f>IF('[1]Tasa de Falla'!HV23="","",'[1]Tasa de Falla'!HV23)</f>
      </c>
      <c r="P23" s="359">
        <f>IF('[1]Tasa de Falla'!HW23="","",'[1]Tasa de Falla'!HW23)</f>
      </c>
      <c r="Q23" s="359">
        <f>IF('[1]Tasa de Falla'!HX23="","",'[1]Tasa de Falla'!HX23)</f>
      </c>
      <c r="R23" s="359">
        <f>IF('[1]Tasa de Falla'!HY23="","",'[1]Tasa de Falla'!HY23)</f>
      </c>
      <c r="S23" s="356"/>
      <c r="T23" s="351"/>
    </row>
    <row r="24" spans="2:20" s="352" customFormat="1" ht="24.75" customHeight="1">
      <c r="B24" s="353"/>
      <c r="C24" s="358">
        <f>'[1]Tasa de Falla'!C24</f>
        <v>8</v>
      </c>
      <c r="D24" s="359" t="str">
        <f>'[1]Tasa de Falla'!D24</f>
        <v>ANCHORIS - CRUZ DE PIEDRA</v>
      </c>
      <c r="E24" s="359">
        <f>'[1]Tasa de Falla'!E24</f>
        <v>132</v>
      </c>
      <c r="F24" s="360">
        <f>'[1]Tasa de Falla'!F24</f>
        <v>33.5</v>
      </c>
      <c r="G24" s="359">
        <f>IF('[1]Tasa de Falla'!HN24="","",'[1]Tasa de Falla'!HN24)</f>
      </c>
      <c r="H24" s="359">
        <f>IF('[1]Tasa de Falla'!HO24="","",'[1]Tasa de Falla'!HO24)</f>
      </c>
      <c r="I24" s="359">
        <f>IF('[1]Tasa de Falla'!HP24="","",'[1]Tasa de Falla'!HP24)</f>
      </c>
      <c r="J24" s="359">
        <f>IF('[1]Tasa de Falla'!HQ24="","",'[1]Tasa de Falla'!HQ24)</f>
      </c>
      <c r="K24" s="359">
        <f>IF('[1]Tasa de Falla'!HR24="","",'[1]Tasa de Falla'!HR24)</f>
      </c>
      <c r="L24" s="359">
        <f>IF('[1]Tasa de Falla'!HS24="","",'[1]Tasa de Falla'!HS24)</f>
      </c>
      <c r="M24" s="359">
        <f>IF('[1]Tasa de Falla'!HT24="","",'[1]Tasa de Falla'!HT24)</f>
      </c>
      <c r="N24" s="359">
        <f>IF('[1]Tasa de Falla'!HU24="","",'[1]Tasa de Falla'!HU24)</f>
      </c>
      <c r="O24" s="359">
        <f>IF('[1]Tasa de Falla'!HV24="","",'[1]Tasa de Falla'!HV24)</f>
      </c>
      <c r="P24" s="359">
        <f>IF('[1]Tasa de Falla'!HW24="","",'[1]Tasa de Falla'!HW24)</f>
      </c>
      <c r="Q24" s="359">
        <f>IF('[1]Tasa de Falla'!HX24="","",'[1]Tasa de Falla'!HX24)</f>
      </c>
      <c r="R24" s="359">
        <f>IF('[1]Tasa de Falla'!HY24="","",'[1]Tasa de Falla'!HY24)</f>
      </c>
      <c r="S24" s="356"/>
      <c r="T24" s="351"/>
    </row>
    <row r="25" spans="2:20" s="352" customFormat="1" ht="24.75" customHeight="1">
      <c r="B25" s="353"/>
      <c r="C25" s="361">
        <f>'[1]Tasa de Falla'!C25</f>
        <v>9</v>
      </c>
      <c r="D25" s="362" t="str">
        <f>'[1]Tasa de Falla'!D25</f>
        <v>ANCHORIZ -Deriv."T" a LC 35-B.R.Tunuyan</v>
      </c>
      <c r="E25" s="362">
        <f>'[1]Tasa de Falla'!E25</f>
        <v>132</v>
      </c>
      <c r="F25" s="363">
        <f>'[1]Tasa de Falla'!F25</f>
        <v>52.9</v>
      </c>
      <c r="G25" s="359">
        <f>IF('[1]Tasa de Falla'!HN25="","",'[1]Tasa de Falla'!HN25)</f>
      </c>
      <c r="H25" s="359">
        <f>IF('[1]Tasa de Falla'!HO25="","",'[1]Tasa de Falla'!HO25)</f>
      </c>
      <c r="I25" s="359">
        <f>IF('[1]Tasa de Falla'!HP25="","",'[1]Tasa de Falla'!HP25)</f>
      </c>
      <c r="J25" s="359">
        <f>IF('[1]Tasa de Falla'!HQ25="","",'[1]Tasa de Falla'!HQ25)</f>
      </c>
      <c r="K25" s="359">
        <f>IF('[1]Tasa de Falla'!HR25="","",'[1]Tasa de Falla'!HR25)</f>
      </c>
      <c r="L25" s="359">
        <f>IF('[1]Tasa de Falla'!HS25="","",'[1]Tasa de Falla'!HS25)</f>
      </c>
      <c r="M25" s="359">
        <f>IF('[1]Tasa de Falla'!HT25="","",'[1]Tasa de Falla'!HT25)</f>
      </c>
      <c r="N25" s="359">
        <f>IF('[1]Tasa de Falla'!HU25="","",'[1]Tasa de Falla'!HU25)</f>
      </c>
      <c r="O25" s="359">
        <f>IF('[1]Tasa de Falla'!HV25="","",'[1]Tasa de Falla'!HV25)</f>
        <v>1</v>
      </c>
      <c r="P25" s="359">
        <f>IF('[1]Tasa de Falla'!HW25="","",'[1]Tasa de Falla'!HW25)</f>
      </c>
      <c r="Q25" s="359">
        <f>IF('[1]Tasa de Falla'!HX25="","",'[1]Tasa de Falla'!HX25)</f>
      </c>
      <c r="R25" s="359">
        <f>IF('[1]Tasa de Falla'!HY25="","",'[1]Tasa de Falla'!HY25)</f>
      </c>
      <c r="S25" s="356"/>
      <c r="T25" s="351"/>
    </row>
    <row r="26" spans="2:20" s="352" customFormat="1" ht="24.75" customHeight="1">
      <c r="B26" s="353"/>
      <c r="C26" s="358">
        <f>'[1]Tasa de Falla'!C26</f>
        <v>10</v>
      </c>
      <c r="D26" s="359" t="str">
        <f>'[1]Tasa de Falla'!D26</f>
        <v>CAPIZ - PEDRO VARGAS</v>
      </c>
      <c r="E26" s="359">
        <f>'[1]Tasa de Falla'!E26</f>
        <v>132</v>
      </c>
      <c r="F26" s="360">
        <f>'[1]Tasa de Falla'!F26</f>
        <v>122.1</v>
      </c>
      <c r="G26" s="359">
        <f>IF('[1]Tasa de Falla'!HN26="","",'[1]Tasa de Falla'!HN26)</f>
      </c>
      <c r="H26" s="359">
        <f>IF('[1]Tasa de Falla'!HO26="","",'[1]Tasa de Falla'!HO26)</f>
      </c>
      <c r="I26" s="359">
        <f>IF('[1]Tasa de Falla'!HP26="","",'[1]Tasa de Falla'!HP26)</f>
      </c>
      <c r="J26" s="359">
        <f>IF('[1]Tasa de Falla'!HQ26="","",'[1]Tasa de Falla'!HQ26)</f>
      </c>
      <c r="K26" s="359">
        <f>IF('[1]Tasa de Falla'!HR26="","",'[1]Tasa de Falla'!HR26)</f>
      </c>
      <c r="L26" s="359">
        <f>IF('[1]Tasa de Falla'!HS26="","",'[1]Tasa de Falla'!HS26)</f>
        <v>1</v>
      </c>
      <c r="M26" s="359">
        <f>IF('[1]Tasa de Falla'!HT26="","",'[1]Tasa de Falla'!HT26)</f>
      </c>
      <c r="N26" s="359">
        <f>IF('[1]Tasa de Falla'!HU26="","",'[1]Tasa de Falla'!HU26)</f>
      </c>
      <c r="O26" s="359">
        <f>IF('[1]Tasa de Falla'!HV26="","",'[1]Tasa de Falla'!HV26)</f>
      </c>
      <c r="P26" s="359">
        <f>IF('[1]Tasa de Falla'!HW26="","",'[1]Tasa de Falla'!HW26)</f>
      </c>
      <c r="Q26" s="359">
        <f>IF('[1]Tasa de Falla'!HX26="","",'[1]Tasa de Falla'!HX26)</f>
      </c>
      <c r="R26" s="359">
        <f>IF('[1]Tasa de Falla'!HY26="","",'[1]Tasa de Falla'!HY26)</f>
      </c>
      <c r="S26" s="356"/>
      <c r="T26" s="351"/>
    </row>
    <row r="27" spans="2:20" s="352" customFormat="1" ht="24.75" customHeight="1">
      <c r="B27" s="353"/>
      <c r="C27" s="361">
        <f>'[1]Tasa de Falla'!C27</f>
        <v>11</v>
      </c>
      <c r="D27" s="362" t="str">
        <f>'[1]Tasa de Falla'!D27</f>
        <v>SAN RAFAEL - PEDRO VARGAS</v>
      </c>
      <c r="E27" s="362">
        <f>'[1]Tasa de Falla'!E27</f>
        <v>132</v>
      </c>
      <c r="F27" s="363">
        <f>'[1]Tasa de Falla'!F27</f>
        <v>15.6</v>
      </c>
      <c r="G27" s="359">
        <f>IF('[1]Tasa de Falla'!HN27="","",'[1]Tasa de Falla'!HN27)</f>
      </c>
      <c r="H27" s="359">
        <f>IF('[1]Tasa de Falla'!HO27="","",'[1]Tasa de Falla'!HO27)</f>
      </c>
      <c r="I27" s="359">
        <f>IF('[1]Tasa de Falla'!HP27="","",'[1]Tasa de Falla'!HP27)</f>
      </c>
      <c r="J27" s="359">
        <f>IF('[1]Tasa de Falla'!HQ27="","",'[1]Tasa de Falla'!HQ27)</f>
      </c>
      <c r="K27" s="359">
        <f>IF('[1]Tasa de Falla'!HR27="","",'[1]Tasa de Falla'!HR27)</f>
      </c>
      <c r="L27" s="359">
        <f>IF('[1]Tasa de Falla'!HS27="","",'[1]Tasa de Falla'!HS27)</f>
      </c>
      <c r="M27" s="359">
        <f>IF('[1]Tasa de Falla'!HT27="","",'[1]Tasa de Falla'!HT27)</f>
      </c>
      <c r="N27" s="359">
        <f>IF('[1]Tasa de Falla'!HU27="","",'[1]Tasa de Falla'!HU27)</f>
      </c>
      <c r="O27" s="359">
        <f>IF('[1]Tasa de Falla'!HV27="","",'[1]Tasa de Falla'!HV27)</f>
      </c>
      <c r="P27" s="359">
        <f>IF('[1]Tasa de Falla'!HW27="","",'[1]Tasa de Falla'!HW27)</f>
      </c>
      <c r="Q27" s="359">
        <f>IF('[1]Tasa de Falla'!HX27="","",'[1]Tasa de Falla'!HX27)</f>
      </c>
      <c r="R27" s="359">
        <f>IF('[1]Tasa de Falla'!HY27="","",'[1]Tasa de Falla'!HY27)</f>
      </c>
      <c r="S27" s="356"/>
      <c r="T27" s="351"/>
    </row>
    <row r="28" spans="2:20" s="352" customFormat="1" ht="24.75" customHeight="1">
      <c r="B28" s="353"/>
      <c r="C28" s="358">
        <f>'[1]Tasa de Falla'!C28</f>
        <v>12</v>
      </c>
      <c r="D28" s="359" t="str">
        <f>'[1]Tasa de Falla'!D28</f>
        <v>GRAN MENDOZA - MONTE CASEROS 1</v>
      </c>
      <c r="E28" s="359">
        <f>'[1]Tasa de Falla'!E28</f>
        <v>132</v>
      </c>
      <c r="F28" s="360">
        <f>'[1]Tasa de Falla'!F28</f>
        <v>19.1</v>
      </c>
      <c r="G28" s="359">
        <f>IF('[1]Tasa de Falla'!HN28="","",'[1]Tasa de Falla'!HN28)</f>
      </c>
      <c r="H28" s="359">
        <f>IF('[1]Tasa de Falla'!HO28="","",'[1]Tasa de Falla'!HO28)</f>
      </c>
      <c r="I28" s="359">
        <f>IF('[1]Tasa de Falla'!HP28="","",'[1]Tasa de Falla'!HP28)</f>
      </c>
      <c r="J28" s="359">
        <f>IF('[1]Tasa de Falla'!HQ28="","",'[1]Tasa de Falla'!HQ28)</f>
      </c>
      <c r="K28" s="359">
        <f>IF('[1]Tasa de Falla'!HR28="","",'[1]Tasa de Falla'!HR28)</f>
      </c>
      <c r="L28" s="359">
        <f>IF('[1]Tasa de Falla'!HS28="","",'[1]Tasa de Falla'!HS28)</f>
        <v>1</v>
      </c>
      <c r="M28" s="359">
        <f>IF('[1]Tasa de Falla'!HT28="","",'[1]Tasa de Falla'!HT28)</f>
      </c>
      <c r="N28" s="359">
        <f>IF('[1]Tasa de Falla'!HU28="","",'[1]Tasa de Falla'!HU28)</f>
      </c>
      <c r="O28" s="359">
        <f>IF('[1]Tasa de Falla'!HV28="","",'[1]Tasa de Falla'!HV28)</f>
      </c>
      <c r="P28" s="359">
        <f>IF('[1]Tasa de Falla'!HW28="","",'[1]Tasa de Falla'!HW28)</f>
      </c>
      <c r="Q28" s="359">
        <f>IF('[1]Tasa de Falla'!HX28="","",'[1]Tasa de Falla'!HX28)</f>
      </c>
      <c r="R28" s="359">
        <f>IF('[1]Tasa de Falla'!HY28="","",'[1]Tasa de Falla'!HY28)</f>
      </c>
      <c r="S28" s="356"/>
      <c r="T28" s="351"/>
    </row>
    <row r="29" spans="2:20" s="352" customFormat="1" ht="24.75" customHeight="1">
      <c r="B29" s="353"/>
      <c r="C29" s="361">
        <f>'[1]Tasa de Falla'!C29</f>
        <v>13</v>
      </c>
      <c r="D29" s="362" t="str">
        <f>'[1]Tasa de Falla'!D29</f>
        <v>GRAN MENDOZA - MONTE CASEROS 2</v>
      </c>
      <c r="E29" s="362">
        <f>'[1]Tasa de Falla'!E29</f>
        <v>132</v>
      </c>
      <c r="F29" s="363">
        <f>'[1]Tasa de Falla'!F29</f>
        <v>19.1</v>
      </c>
      <c r="G29" s="359">
        <f>IF('[1]Tasa de Falla'!HN29="","",'[1]Tasa de Falla'!HN29)</f>
      </c>
      <c r="H29" s="359">
        <f>IF('[1]Tasa de Falla'!HO29="","",'[1]Tasa de Falla'!HO29)</f>
      </c>
      <c r="I29" s="359">
        <f>IF('[1]Tasa de Falla'!HP29="","",'[1]Tasa de Falla'!HP29)</f>
      </c>
      <c r="J29" s="359">
        <f>IF('[1]Tasa de Falla'!HQ29="","",'[1]Tasa de Falla'!HQ29)</f>
      </c>
      <c r="K29" s="359">
        <f>IF('[1]Tasa de Falla'!HR29="","",'[1]Tasa de Falla'!HR29)</f>
      </c>
      <c r="L29" s="359">
        <f>IF('[1]Tasa de Falla'!HS29="","",'[1]Tasa de Falla'!HS29)</f>
      </c>
      <c r="M29" s="359">
        <f>IF('[1]Tasa de Falla'!HT29="","",'[1]Tasa de Falla'!HT29)</f>
      </c>
      <c r="N29" s="359">
        <f>IF('[1]Tasa de Falla'!HU29="","",'[1]Tasa de Falla'!HU29)</f>
      </c>
      <c r="O29" s="359">
        <f>IF('[1]Tasa de Falla'!HV29="","",'[1]Tasa de Falla'!HV29)</f>
      </c>
      <c r="P29" s="359">
        <f>IF('[1]Tasa de Falla'!HW29="","",'[1]Tasa de Falla'!HW29)</f>
      </c>
      <c r="Q29" s="359">
        <f>IF('[1]Tasa de Falla'!HX29="","",'[1]Tasa de Falla'!HX29)</f>
      </c>
      <c r="R29" s="359">
        <f>IF('[1]Tasa de Falla'!HY29="","",'[1]Tasa de Falla'!HY29)</f>
      </c>
      <c r="S29" s="356"/>
      <c r="T29" s="351"/>
    </row>
    <row r="30" spans="2:20" s="352" customFormat="1" ht="24.75" customHeight="1">
      <c r="B30" s="353"/>
      <c r="C30" s="358">
        <f>'[1]Tasa de Falla'!C30</f>
        <v>14</v>
      </c>
      <c r="D30" s="359" t="str">
        <f>'[1]Tasa de Falla'!D30</f>
        <v>CRUZ DE PIEDRA - GRAN MENDOZA 1</v>
      </c>
      <c r="E30" s="359">
        <f>'[1]Tasa de Falla'!E30</f>
        <v>132</v>
      </c>
      <c r="F30" s="360">
        <f>'[1]Tasa de Falla'!F30</f>
        <v>22</v>
      </c>
      <c r="G30" s="359">
        <f>IF('[1]Tasa de Falla'!HN30="","",'[1]Tasa de Falla'!HN30)</f>
      </c>
      <c r="H30" s="359">
        <f>IF('[1]Tasa de Falla'!HO30="","",'[1]Tasa de Falla'!HO30)</f>
      </c>
      <c r="I30" s="359">
        <f>IF('[1]Tasa de Falla'!HP30="","",'[1]Tasa de Falla'!HP30)</f>
      </c>
      <c r="J30" s="359">
        <f>IF('[1]Tasa de Falla'!HQ30="","",'[1]Tasa de Falla'!HQ30)</f>
      </c>
      <c r="K30" s="359">
        <f>IF('[1]Tasa de Falla'!HR30="","",'[1]Tasa de Falla'!HR30)</f>
      </c>
      <c r="L30" s="359">
        <f>IF('[1]Tasa de Falla'!HS30="","",'[1]Tasa de Falla'!HS30)</f>
      </c>
      <c r="M30" s="359">
        <f>IF('[1]Tasa de Falla'!HT30="","",'[1]Tasa de Falla'!HT30)</f>
      </c>
      <c r="N30" s="359">
        <f>IF('[1]Tasa de Falla'!HU30="","",'[1]Tasa de Falla'!HU30)</f>
      </c>
      <c r="O30" s="359">
        <f>IF('[1]Tasa de Falla'!HV30="","",'[1]Tasa de Falla'!HV30)</f>
      </c>
      <c r="P30" s="359">
        <f>IF('[1]Tasa de Falla'!HW30="","",'[1]Tasa de Falla'!HW30)</f>
      </c>
      <c r="Q30" s="359">
        <f>IF('[1]Tasa de Falla'!HX30="","",'[1]Tasa de Falla'!HX30)</f>
      </c>
      <c r="R30" s="359">
        <f>IF('[1]Tasa de Falla'!HY30="","",'[1]Tasa de Falla'!HY30)</f>
      </c>
      <c r="S30" s="356"/>
      <c r="T30" s="351"/>
    </row>
    <row r="31" spans="2:20" s="352" customFormat="1" ht="24.75" customHeight="1">
      <c r="B31" s="353"/>
      <c r="C31" s="361">
        <f>'[1]Tasa de Falla'!C31</f>
        <v>15</v>
      </c>
      <c r="D31" s="362" t="str">
        <f>'[1]Tasa de Falla'!D31</f>
        <v>CRUZ DE PIEDRA - GRAN MENDOZA 2</v>
      </c>
      <c r="E31" s="362">
        <f>'[1]Tasa de Falla'!E31</f>
        <v>132</v>
      </c>
      <c r="F31" s="363">
        <f>'[1]Tasa de Falla'!F31</f>
        <v>22</v>
      </c>
      <c r="G31" s="359">
        <f>IF('[1]Tasa de Falla'!HN31="","",'[1]Tasa de Falla'!HN31)</f>
      </c>
      <c r="H31" s="359">
        <f>IF('[1]Tasa de Falla'!HO31="","",'[1]Tasa de Falla'!HO31)</f>
      </c>
      <c r="I31" s="359">
        <f>IF('[1]Tasa de Falla'!HP31="","",'[1]Tasa de Falla'!HP31)</f>
      </c>
      <c r="J31" s="359">
        <f>IF('[1]Tasa de Falla'!HQ31="","",'[1]Tasa de Falla'!HQ31)</f>
      </c>
      <c r="K31" s="359">
        <f>IF('[1]Tasa de Falla'!HR31="","",'[1]Tasa de Falla'!HR31)</f>
      </c>
      <c r="L31" s="359">
        <f>IF('[1]Tasa de Falla'!HS31="","",'[1]Tasa de Falla'!HS31)</f>
      </c>
      <c r="M31" s="359">
        <f>IF('[1]Tasa de Falla'!HT31="","",'[1]Tasa de Falla'!HT31)</f>
      </c>
      <c r="N31" s="359">
        <f>IF('[1]Tasa de Falla'!HU31="","",'[1]Tasa de Falla'!HU31)</f>
      </c>
      <c r="O31" s="359">
        <f>IF('[1]Tasa de Falla'!HV31="","",'[1]Tasa de Falla'!HV31)</f>
      </c>
      <c r="P31" s="359">
        <f>IF('[1]Tasa de Falla'!HW31="","",'[1]Tasa de Falla'!HW31)</f>
      </c>
      <c r="Q31" s="359">
        <f>IF('[1]Tasa de Falla'!HX31="","",'[1]Tasa de Falla'!HX31)</f>
      </c>
      <c r="R31" s="359">
        <f>IF('[1]Tasa de Falla'!HY31="","",'[1]Tasa de Falla'!HY31)</f>
      </c>
      <c r="S31" s="356"/>
      <c r="T31" s="351"/>
    </row>
    <row r="32" spans="2:20" s="352" customFormat="1" ht="24.75" customHeight="1">
      <c r="B32" s="353"/>
      <c r="C32" s="358">
        <f>'[1]Tasa de Falla'!C32</f>
        <v>16</v>
      </c>
      <c r="D32" s="359" t="str">
        <f>'[1]Tasa de Falla'!D32</f>
        <v>CRUZ DE PIEDRA - SAN JUAN</v>
      </c>
      <c r="E32" s="359">
        <f>'[1]Tasa de Falla'!E32</f>
        <v>132</v>
      </c>
      <c r="F32" s="360">
        <f>'[1]Tasa de Falla'!F32</f>
        <v>180.18</v>
      </c>
      <c r="G32" s="359" t="str">
        <f>IF('[1]Tasa de Falla'!HN32="","",'[1]Tasa de Falla'!HN32)</f>
        <v>XXXX</v>
      </c>
      <c r="H32" s="359" t="str">
        <f>IF('[1]Tasa de Falla'!HO32="","",'[1]Tasa de Falla'!HO32)</f>
        <v>XXXX</v>
      </c>
      <c r="I32" s="359" t="str">
        <f>IF('[1]Tasa de Falla'!HP32="","",'[1]Tasa de Falla'!HP32)</f>
        <v>XXXX</v>
      </c>
      <c r="J32" s="359" t="str">
        <f>IF('[1]Tasa de Falla'!HQ32="","",'[1]Tasa de Falla'!HQ32)</f>
        <v>XXXX</v>
      </c>
      <c r="K32" s="359" t="str">
        <f>IF('[1]Tasa de Falla'!HR32="","",'[1]Tasa de Falla'!HR32)</f>
        <v>XXXX</v>
      </c>
      <c r="L32" s="359" t="str">
        <f>IF('[1]Tasa de Falla'!HS32="","",'[1]Tasa de Falla'!HS32)</f>
        <v>XXXX</v>
      </c>
      <c r="M32" s="359" t="str">
        <f>IF('[1]Tasa de Falla'!HT32="","",'[1]Tasa de Falla'!HT32)</f>
        <v>XXXX</v>
      </c>
      <c r="N32" s="359" t="str">
        <f>IF('[1]Tasa de Falla'!HU32="","",'[1]Tasa de Falla'!HU32)</f>
        <v>XXXX</v>
      </c>
      <c r="O32" s="359" t="str">
        <f>IF('[1]Tasa de Falla'!HV32="","",'[1]Tasa de Falla'!HV32)</f>
        <v>XXXX</v>
      </c>
      <c r="P32" s="359" t="str">
        <f>IF('[1]Tasa de Falla'!HW32="","",'[1]Tasa de Falla'!HW32)</f>
        <v>XXXX</v>
      </c>
      <c r="Q32" s="359" t="str">
        <f>IF('[1]Tasa de Falla'!HX32="","",'[1]Tasa de Falla'!HX32)</f>
        <v>XXXX</v>
      </c>
      <c r="R32" s="359" t="str">
        <f>IF('[1]Tasa de Falla'!HY32="","",'[1]Tasa de Falla'!HY32)</f>
        <v>XXXX</v>
      </c>
      <c r="S32" s="356"/>
      <c r="T32" s="351"/>
    </row>
    <row r="33" spans="2:20" s="352" customFormat="1" ht="24.75" customHeight="1">
      <c r="B33" s="353"/>
      <c r="C33" s="361">
        <f>'[1]Tasa de Falla'!C33</f>
        <v>17</v>
      </c>
      <c r="D33" s="362" t="str">
        <f>'[1]Tasa de Falla'!D33</f>
        <v>CRUZ DE PIEDRA - LUJAN DE CUYO 1</v>
      </c>
      <c r="E33" s="362">
        <f>'[1]Tasa de Falla'!E33</f>
        <v>132</v>
      </c>
      <c r="F33" s="363">
        <f>'[1]Tasa de Falla'!F33</f>
        <v>18.1</v>
      </c>
      <c r="G33" s="359">
        <f>IF('[1]Tasa de Falla'!HN33="","",'[1]Tasa de Falla'!HN33)</f>
      </c>
      <c r="H33" s="359">
        <f>IF('[1]Tasa de Falla'!HO33="","",'[1]Tasa de Falla'!HO33)</f>
      </c>
      <c r="I33" s="359">
        <f>IF('[1]Tasa de Falla'!HP33="","",'[1]Tasa de Falla'!HP33)</f>
      </c>
      <c r="J33" s="359">
        <f>IF('[1]Tasa de Falla'!HQ33="","",'[1]Tasa de Falla'!HQ33)</f>
      </c>
      <c r="K33" s="359">
        <f>IF('[1]Tasa de Falla'!HR33="","",'[1]Tasa de Falla'!HR33)</f>
      </c>
      <c r="L33" s="359">
        <f>IF('[1]Tasa de Falla'!HS33="","",'[1]Tasa de Falla'!HS33)</f>
      </c>
      <c r="M33" s="359">
        <f>IF('[1]Tasa de Falla'!HT33="","",'[1]Tasa de Falla'!HT33)</f>
      </c>
      <c r="N33" s="359">
        <f>IF('[1]Tasa de Falla'!HU33="","",'[1]Tasa de Falla'!HU33)</f>
      </c>
      <c r="O33" s="359">
        <f>IF('[1]Tasa de Falla'!HV33="","",'[1]Tasa de Falla'!HV33)</f>
      </c>
      <c r="P33" s="359">
        <f>IF('[1]Tasa de Falla'!HW33="","",'[1]Tasa de Falla'!HW33)</f>
      </c>
      <c r="Q33" s="359">
        <f>IF('[1]Tasa de Falla'!HX33="","",'[1]Tasa de Falla'!HX33)</f>
      </c>
      <c r="R33" s="359">
        <f>IF('[1]Tasa de Falla'!HY33="","",'[1]Tasa de Falla'!HY33)</f>
      </c>
      <c r="S33" s="356"/>
      <c r="T33" s="351"/>
    </row>
    <row r="34" spans="2:20" s="352" customFormat="1" ht="24.75" customHeight="1">
      <c r="B34" s="353"/>
      <c r="C34" s="358">
        <f>'[1]Tasa de Falla'!C34</f>
        <v>18</v>
      </c>
      <c r="D34" s="359" t="str">
        <f>'[1]Tasa de Falla'!D34</f>
        <v>CRUZ DE PIEDRA - LUJAN DE CUYO 2</v>
      </c>
      <c r="E34" s="359">
        <f>'[1]Tasa de Falla'!E34</f>
        <v>132</v>
      </c>
      <c r="F34" s="360">
        <f>'[1]Tasa de Falla'!F34</f>
        <v>18.1</v>
      </c>
      <c r="G34" s="359">
        <f>IF('[1]Tasa de Falla'!HN34="","",'[1]Tasa de Falla'!HN34)</f>
      </c>
      <c r="H34" s="359">
        <f>IF('[1]Tasa de Falla'!HO34="","",'[1]Tasa de Falla'!HO34)</f>
      </c>
      <c r="I34" s="359">
        <f>IF('[1]Tasa de Falla'!HP34="","",'[1]Tasa de Falla'!HP34)</f>
      </c>
      <c r="J34" s="359">
        <f>IF('[1]Tasa de Falla'!HQ34="","",'[1]Tasa de Falla'!HQ34)</f>
      </c>
      <c r="K34" s="359">
        <f>IF('[1]Tasa de Falla'!HR34="","",'[1]Tasa de Falla'!HR34)</f>
      </c>
      <c r="L34" s="359">
        <f>IF('[1]Tasa de Falla'!HS34="","",'[1]Tasa de Falla'!HS34)</f>
      </c>
      <c r="M34" s="359">
        <f>IF('[1]Tasa de Falla'!HT34="","",'[1]Tasa de Falla'!HT34)</f>
      </c>
      <c r="N34" s="359">
        <f>IF('[1]Tasa de Falla'!HU34="","",'[1]Tasa de Falla'!HU34)</f>
      </c>
      <c r="O34" s="359">
        <f>IF('[1]Tasa de Falla'!HV34="","",'[1]Tasa de Falla'!HV34)</f>
      </c>
      <c r="P34" s="359">
        <f>IF('[1]Tasa de Falla'!HW34="","",'[1]Tasa de Falla'!HW34)</f>
      </c>
      <c r="Q34" s="359">
        <f>IF('[1]Tasa de Falla'!HX34="","",'[1]Tasa de Falla'!HX34)</f>
      </c>
      <c r="R34" s="359">
        <f>IF('[1]Tasa de Falla'!HY34="","",'[1]Tasa de Falla'!HY34)</f>
      </c>
      <c r="S34" s="356"/>
      <c r="T34" s="351"/>
    </row>
    <row r="35" spans="2:20" s="352" customFormat="1" ht="24.75" customHeight="1">
      <c r="B35" s="353"/>
      <c r="C35" s="364">
        <f>'[1]Tasa de Falla'!C35</f>
        <v>19</v>
      </c>
      <c r="D35" s="365" t="str">
        <f>'[1]Tasa de Falla'!D35</f>
        <v>C.H. NIHUIL I - PEDRO VARGAS</v>
      </c>
      <c r="E35" s="365">
        <f>'[1]Tasa de Falla'!E35</f>
        <v>132</v>
      </c>
      <c r="F35" s="366">
        <f>'[1]Tasa de Falla'!F35</f>
        <v>46.5</v>
      </c>
      <c r="G35" s="359">
        <f>IF('[1]Tasa de Falla'!HN35="","",'[1]Tasa de Falla'!HN35)</f>
      </c>
      <c r="H35" s="359">
        <f>IF('[1]Tasa de Falla'!HO35="","",'[1]Tasa de Falla'!HO35)</f>
      </c>
      <c r="I35" s="359">
        <f>IF('[1]Tasa de Falla'!HP35="","",'[1]Tasa de Falla'!HP35)</f>
      </c>
      <c r="J35" s="359">
        <f>IF('[1]Tasa de Falla'!HQ35="","",'[1]Tasa de Falla'!HQ35)</f>
      </c>
      <c r="K35" s="359">
        <f>IF('[1]Tasa de Falla'!HR35="","",'[1]Tasa de Falla'!HR35)</f>
      </c>
      <c r="L35" s="359">
        <f>IF('[1]Tasa de Falla'!HS35="","",'[1]Tasa de Falla'!HS35)</f>
      </c>
      <c r="M35" s="359">
        <f>IF('[1]Tasa de Falla'!HT35="","",'[1]Tasa de Falla'!HT35)</f>
      </c>
      <c r="N35" s="359">
        <f>IF('[1]Tasa de Falla'!HU35="","",'[1]Tasa de Falla'!HU35)</f>
      </c>
      <c r="O35" s="359">
        <f>IF('[1]Tasa de Falla'!HV35="","",'[1]Tasa de Falla'!HV35)</f>
      </c>
      <c r="P35" s="359">
        <f>IF('[1]Tasa de Falla'!HW35="","",'[1]Tasa de Falla'!HW35)</f>
      </c>
      <c r="Q35" s="359">
        <f>IF('[1]Tasa de Falla'!HX35="","",'[1]Tasa de Falla'!HX35)</f>
      </c>
      <c r="R35" s="359">
        <f>IF('[1]Tasa de Falla'!HY35="","",'[1]Tasa de Falla'!HY35)</f>
      </c>
      <c r="S35" s="356"/>
      <c r="T35" s="351"/>
    </row>
    <row r="36" spans="2:20" s="352" customFormat="1" ht="24.75" customHeight="1">
      <c r="B36" s="353"/>
      <c r="C36" s="358">
        <f>'[1]Tasa de Falla'!C36</f>
        <v>20</v>
      </c>
      <c r="D36" s="359" t="str">
        <f>'[1]Tasa de Falla'!D36</f>
        <v>N AN JUAN - SAN JUAN</v>
      </c>
      <c r="E36" s="359">
        <f>'[1]Tasa de Falla'!E36</f>
        <v>220</v>
      </c>
      <c r="F36" s="360">
        <f>'[1]Tasa de Falla'!F36</f>
        <v>4.5</v>
      </c>
      <c r="G36" s="359">
        <f>IF('[1]Tasa de Falla'!HN36="","",'[1]Tasa de Falla'!HN36)</f>
      </c>
      <c r="H36" s="359">
        <f>IF('[1]Tasa de Falla'!HO36="","",'[1]Tasa de Falla'!HO36)</f>
      </c>
      <c r="I36" s="359">
        <f>IF('[1]Tasa de Falla'!HP36="","",'[1]Tasa de Falla'!HP36)</f>
      </c>
      <c r="J36" s="359">
        <f>IF('[1]Tasa de Falla'!HQ36="","",'[1]Tasa de Falla'!HQ36)</f>
      </c>
      <c r="K36" s="359">
        <f>IF('[1]Tasa de Falla'!HR36="","",'[1]Tasa de Falla'!HR36)</f>
      </c>
      <c r="L36" s="359">
        <f>IF('[1]Tasa de Falla'!HS36="","",'[1]Tasa de Falla'!HS36)</f>
      </c>
      <c r="M36" s="359">
        <f>IF('[1]Tasa de Falla'!HT36="","",'[1]Tasa de Falla'!HT36)</f>
      </c>
      <c r="N36" s="359">
        <f>IF('[1]Tasa de Falla'!HU36="","",'[1]Tasa de Falla'!HU36)</f>
      </c>
      <c r="O36" s="359">
        <f>IF('[1]Tasa de Falla'!HV36="","",'[1]Tasa de Falla'!HV36)</f>
      </c>
      <c r="P36" s="359">
        <f>IF('[1]Tasa de Falla'!HW36="","",'[1]Tasa de Falla'!HW36)</f>
      </c>
      <c r="Q36" s="359">
        <f>IF('[1]Tasa de Falla'!HX36="","",'[1]Tasa de Falla'!HX36)</f>
      </c>
      <c r="R36" s="359">
        <f>IF('[1]Tasa de Falla'!HY36="","",'[1]Tasa de Falla'!HY36)</f>
      </c>
      <c r="S36" s="356"/>
      <c r="T36" s="351"/>
    </row>
    <row r="37" spans="2:20" s="352" customFormat="1" ht="24.75" customHeight="1">
      <c r="B37" s="353"/>
      <c r="C37" s="364">
        <f>'[1]Tasa de Falla'!C37</f>
        <v>21</v>
      </c>
      <c r="D37" s="365" t="str">
        <f>'[1]Tasa de Falla'!D37</f>
        <v>SAN JUAN - CAÑADA HONDA</v>
      </c>
      <c r="E37" s="365">
        <f>'[1]Tasa de Falla'!E37</f>
        <v>132</v>
      </c>
      <c r="F37" s="366">
        <f>'[1]Tasa de Falla'!F37</f>
        <v>54.4</v>
      </c>
      <c r="G37" s="359">
        <f>IF('[1]Tasa de Falla'!HN37="","",'[1]Tasa de Falla'!HN37)</f>
        <v>1</v>
      </c>
      <c r="H37" s="359">
        <f>IF('[1]Tasa de Falla'!HO37="","",'[1]Tasa de Falla'!HO37)</f>
      </c>
      <c r="I37" s="359">
        <f>IF('[1]Tasa de Falla'!HP37="","",'[1]Tasa de Falla'!HP37)</f>
      </c>
      <c r="J37" s="359">
        <f>IF('[1]Tasa de Falla'!HQ37="","",'[1]Tasa de Falla'!HQ37)</f>
      </c>
      <c r="K37" s="359">
        <f>IF('[1]Tasa de Falla'!HR37="","",'[1]Tasa de Falla'!HR37)</f>
      </c>
      <c r="L37" s="359">
        <f>IF('[1]Tasa de Falla'!HS37="","",'[1]Tasa de Falla'!HS37)</f>
      </c>
      <c r="M37" s="359">
        <f>IF('[1]Tasa de Falla'!HT37="","",'[1]Tasa de Falla'!HT37)</f>
      </c>
      <c r="N37" s="359">
        <f>IF('[1]Tasa de Falla'!HU37="","",'[1]Tasa de Falla'!HU37)</f>
      </c>
      <c r="O37" s="359">
        <f>IF('[1]Tasa de Falla'!HV37="","",'[1]Tasa de Falla'!HV37)</f>
      </c>
      <c r="P37" s="359">
        <f>IF('[1]Tasa de Falla'!HW37="","",'[1]Tasa de Falla'!HW37)</f>
        <v>1</v>
      </c>
      <c r="Q37" s="359">
        <f>IF('[1]Tasa de Falla'!HX37="","",'[1]Tasa de Falla'!HX37)</f>
      </c>
      <c r="R37" s="359">
        <f>IF('[1]Tasa de Falla'!HY37="","",'[1]Tasa de Falla'!HY37)</f>
      </c>
      <c r="S37" s="356"/>
      <c r="T37" s="351"/>
    </row>
    <row r="38" spans="2:20" s="352" customFormat="1" ht="24.75" customHeight="1" thickBot="1">
      <c r="B38" s="353"/>
      <c r="C38" s="367">
        <f>IF('[2]Tasa de Falla'!C36=0,"",'[2]Tasa de Falla'!C36)</f>
      </c>
      <c r="D38" s="368">
        <f>IF('[2]Tasa de Falla'!D36=0,"",'[2]Tasa de Falla'!D36)</f>
      </c>
      <c r="E38" s="369">
        <f>IF('[2]Tasa de Falla'!E36=0,"",'[2]Tasa de Falla'!E36)</f>
      </c>
      <c r="F38" s="370">
        <f>IF('[2]Tasa de Falla'!F36=0,"",'[2]Tasa de Falla'!F36)</f>
      </c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56"/>
      <c r="T38" s="351"/>
    </row>
    <row r="39" spans="2:20" s="352" customFormat="1" ht="24.75" customHeight="1" thickBot="1" thickTop="1">
      <c r="B39" s="353"/>
      <c r="C39" s="371"/>
      <c r="D39" s="372"/>
      <c r="E39" s="373" t="s">
        <v>146</v>
      </c>
      <c r="F39" s="374">
        <f>ROUND(SUM($F$17:$F$38)-SUMIF($R17:$R38,"XXXX",$F$17:$F$38),2)</f>
        <v>1250</v>
      </c>
      <c r="G39" s="375"/>
      <c r="H39" s="376"/>
      <c r="I39" s="375"/>
      <c r="J39" s="376"/>
      <c r="K39" s="375"/>
      <c r="L39" s="376"/>
      <c r="M39" s="375"/>
      <c r="N39" s="376"/>
      <c r="O39" s="375"/>
      <c r="P39" s="376"/>
      <c r="Q39" s="375"/>
      <c r="R39" s="376"/>
      <c r="S39" s="356"/>
      <c r="T39" s="351"/>
    </row>
    <row r="40" spans="2:20" s="352" customFormat="1" ht="24.75" customHeight="1" thickBot="1" thickTop="1">
      <c r="B40" s="353"/>
      <c r="C40" s="377"/>
      <c r="D40" s="378"/>
      <c r="F40" s="379" t="s">
        <v>147</v>
      </c>
      <c r="G40" s="380">
        <f aca="true" t="shared" si="0" ref="G40:R40">SUM(G17:G38)</f>
        <v>1</v>
      </c>
      <c r="H40" s="380">
        <f t="shared" si="0"/>
        <v>0</v>
      </c>
      <c r="I40" s="380">
        <f t="shared" si="0"/>
        <v>1</v>
      </c>
      <c r="J40" s="380">
        <f t="shared" si="0"/>
        <v>0</v>
      </c>
      <c r="K40" s="380">
        <f t="shared" si="0"/>
        <v>2</v>
      </c>
      <c r="L40" s="380">
        <f t="shared" si="0"/>
        <v>2</v>
      </c>
      <c r="M40" s="380">
        <f t="shared" si="0"/>
        <v>1</v>
      </c>
      <c r="N40" s="380">
        <f t="shared" si="0"/>
        <v>0</v>
      </c>
      <c r="O40" s="380">
        <f t="shared" si="0"/>
        <v>4</v>
      </c>
      <c r="P40" s="380">
        <f t="shared" si="0"/>
        <v>2</v>
      </c>
      <c r="Q40" s="380">
        <f t="shared" si="0"/>
        <v>0</v>
      </c>
      <c r="R40" s="380">
        <f t="shared" si="0"/>
        <v>0</v>
      </c>
      <c r="S40" s="356"/>
      <c r="T40" s="351"/>
    </row>
    <row r="41" spans="2:20" s="352" customFormat="1" ht="24.75" customHeight="1" thickBot="1" thickTop="1">
      <c r="B41" s="353"/>
      <c r="C41" s="377"/>
      <c r="D41" s="377"/>
      <c r="E41" s="377"/>
      <c r="F41" s="381" t="s">
        <v>148</v>
      </c>
      <c r="G41" s="382">
        <f>'[1]Tasa de Falla'!HN42</f>
        <v>0.88</v>
      </c>
      <c r="H41" s="382">
        <f>'[1]Tasa de Falla'!HO42</f>
        <v>0.88</v>
      </c>
      <c r="I41" s="382">
        <f>'[1]Tasa de Falla'!HP42</f>
        <v>0.8</v>
      </c>
      <c r="J41" s="382">
        <f>'[1]Tasa de Falla'!HQ42</f>
        <v>0.8</v>
      </c>
      <c r="K41" s="382">
        <f>'[1]Tasa de Falla'!HR42</f>
        <v>0.72</v>
      </c>
      <c r="L41" s="382">
        <f>'[1]Tasa de Falla'!HS42</f>
        <v>0.72</v>
      </c>
      <c r="M41" s="382">
        <f>'[1]Tasa de Falla'!HT42</f>
        <v>0.8</v>
      </c>
      <c r="N41" s="382">
        <f>'[1]Tasa de Falla'!HU42</f>
        <v>0.88</v>
      </c>
      <c r="O41" s="382">
        <f>'[1]Tasa de Falla'!HV42</f>
        <v>0.72</v>
      </c>
      <c r="P41" s="382">
        <f>'[1]Tasa de Falla'!HW42</f>
        <v>1.04</v>
      </c>
      <c r="Q41" s="382">
        <f>'[1]Tasa de Falla'!HX42</f>
        <v>1.2</v>
      </c>
      <c r="R41" s="382">
        <f>'[1]Tasa de Falla'!HY42</f>
        <v>1.2</v>
      </c>
      <c r="S41" s="382">
        <f>'[1]Tasa de Falla'!HZ42</f>
        <v>1.04</v>
      </c>
      <c r="T41" s="351"/>
    </row>
    <row r="42" spans="2:20" ht="18.75" customHeight="1" thickBot="1" thickTop="1">
      <c r="B42" s="339"/>
      <c r="C42" s="383"/>
      <c r="D42" s="384" t="s">
        <v>149</v>
      </c>
      <c r="E42" s="385"/>
      <c r="F42" s="386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8"/>
    </row>
    <row r="43" spans="2:20" ht="17.25" thickBot="1" thickTop="1">
      <c r="B43" s="389"/>
      <c r="C43" s="343"/>
      <c r="D43" s="343"/>
      <c r="H43" s="390" t="s">
        <v>150</v>
      </c>
      <c r="I43" s="391"/>
      <c r="J43" s="392">
        <f>S41</f>
        <v>1.04</v>
      </c>
      <c r="K43" s="393" t="s">
        <v>151</v>
      </c>
      <c r="L43" s="394"/>
      <c r="M43" s="395"/>
      <c r="N43" s="396"/>
      <c r="O43" s="396"/>
      <c r="P43" s="396"/>
      <c r="Q43" s="396"/>
      <c r="R43" s="343"/>
      <c r="S43" s="343"/>
      <c r="T43" s="344"/>
    </row>
    <row r="44" spans="2:20" ht="18.75" customHeight="1" thickBot="1" thickTop="1">
      <c r="B44" s="397"/>
      <c r="C44" s="398"/>
      <c r="D44" s="399"/>
      <c r="E44" s="399"/>
      <c r="F44" s="400"/>
      <c r="G44" s="401"/>
      <c r="H44" s="401"/>
      <c r="I44" s="401"/>
      <c r="J44" s="401"/>
      <c r="K44" s="401"/>
      <c r="L44" s="401"/>
      <c r="M44" s="401"/>
      <c r="N44" s="401"/>
      <c r="O44" s="401"/>
      <c r="P44" s="401"/>
      <c r="Q44" s="401"/>
      <c r="R44" s="401"/>
      <c r="S44" s="401"/>
      <c r="T44" s="402"/>
    </row>
    <row r="45" ht="13.5" thickTop="1">
      <c r="AA45" s="318">
        <f>ROUND(SUM(AA20:AA44),2)</f>
        <v>0</v>
      </c>
    </row>
  </sheetData>
  <sheetProtection/>
  <printOptions/>
  <pageMargins left="0.23" right="0.1968503937007874" top="0.63" bottom="0.7874015748031497" header="0.5118110236220472" footer="0.25"/>
  <pageSetup fitToHeight="1" fitToWidth="1" horizontalDpi="300" verticalDpi="300" orientation="landscape" paperSize="9" scale="48" r:id="rId2"/>
  <headerFooter alignWithMargins="0">
    <oddFooter>&amp;L&amp;"Times New Roman,Normal"&amp;8&amp;Z&amp;F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0"/>
  <dimension ref="A1:AC21"/>
  <sheetViews>
    <sheetView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21.7109375" style="299" customWidth="1"/>
    <col min="2" max="2" width="9.28125" style="299" customWidth="1"/>
    <col min="3" max="3" width="11.8515625" style="299" bestFit="1" customWidth="1"/>
    <col min="4" max="4" width="9.57421875" style="299" bestFit="1" customWidth="1"/>
    <col min="5" max="5" width="14.8515625" style="299" bestFit="1" customWidth="1"/>
    <col min="6" max="6" width="64.00390625" style="299" bestFit="1" customWidth="1"/>
    <col min="7" max="16384" width="11.421875" style="299" customWidth="1"/>
  </cols>
  <sheetData>
    <row r="1" spans="1:4" ht="12.75">
      <c r="A1" s="298" t="s">
        <v>60</v>
      </c>
      <c r="B1" s="298" t="s">
        <v>60</v>
      </c>
      <c r="C1" s="298" t="s">
        <v>61</v>
      </c>
      <c r="D1" s="298" t="s">
        <v>62</v>
      </c>
    </row>
    <row r="2" spans="1:4" ht="12.75">
      <c r="A2" s="300" t="s">
        <v>44</v>
      </c>
      <c r="B2" s="301" t="s">
        <v>63</v>
      </c>
      <c r="C2" s="300">
        <v>31</v>
      </c>
      <c r="D2" s="300">
        <v>2006</v>
      </c>
    </row>
    <row r="3" spans="1:4" ht="12.75">
      <c r="A3" s="300" t="s">
        <v>45</v>
      </c>
      <c r="B3" s="301" t="s">
        <v>64</v>
      </c>
      <c r="C3" s="300">
        <f>IF(MOD(E14,4)=0,29,28)</f>
        <v>28</v>
      </c>
      <c r="D3" s="300">
        <f>+D2+1</f>
        <v>2007</v>
      </c>
    </row>
    <row r="4" spans="1:4" ht="12.75">
      <c r="A4" s="300" t="s">
        <v>46</v>
      </c>
      <c r="B4" s="301" t="s">
        <v>65</v>
      </c>
      <c r="C4" s="300">
        <v>31</v>
      </c>
      <c r="D4" s="300">
        <v>2008</v>
      </c>
    </row>
    <row r="5" spans="1:4" ht="12.75">
      <c r="A5" s="300" t="s">
        <v>47</v>
      </c>
      <c r="B5" s="301" t="s">
        <v>66</v>
      </c>
      <c r="C5" s="300">
        <v>30</v>
      </c>
      <c r="D5" s="300">
        <v>2009</v>
      </c>
    </row>
    <row r="6" spans="1:4" ht="12.75">
      <c r="A6" s="300" t="s">
        <v>48</v>
      </c>
      <c r="B6" s="301" t="s">
        <v>67</v>
      </c>
      <c r="C6" s="300">
        <v>31</v>
      </c>
      <c r="D6" s="300">
        <v>2010</v>
      </c>
    </row>
    <row r="7" spans="1:4" ht="12.75">
      <c r="A7" s="300" t="s">
        <v>49</v>
      </c>
      <c r="B7" s="301" t="s">
        <v>68</v>
      </c>
      <c r="C7" s="300">
        <v>30</v>
      </c>
      <c r="D7" s="300">
        <v>2011</v>
      </c>
    </row>
    <row r="8" spans="1:4" ht="12.75">
      <c r="A8" s="300" t="s">
        <v>50</v>
      </c>
      <c r="B8" s="301" t="s">
        <v>69</v>
      </c>
      <c r="C8" s="300">
        <v>31</v>
      </c>
      <c r="D8" s="300">
        <v>2012</v>
      </c>
    </row>
    <row r="9" spans="1:4" ht="12.75">
      <c r="A9" s="300" t="s">
        <v>51</v>
      </c>
      <c r="B9" s="301" t="s">
        <v>70</v>
      </c>
      <c r="C9" s="300">
        <v>31</v>
      </c>
      <c r="D9" s="300">
        <v>2013</v>
      </c>
    </row>
    <row r="10" spans="1:4" ht="12.75">
      <c r="A10" s="300" t="s">
        <v>52</v>
      </c>
      <c r="B10" s="301" t="s">
        <v>71</v>
      </c>
      <c r="C10" s="300">
        <v>30</v>
      </c>
      <c r="D10" s="300">
        <v>2014</v>
      </c>
    </row>
    <row r="11" spans="1:4" ht="12.75">
      <c r="A11" s="300" t="s">
        <v>53</v>
      </c>
      <c r="B11" s="301" t="s">
        <v>72</v>
      </c>
      <c r="C11" s="300">
        <v>31</v>
      </c>
      <c r="D11" s="300"/>
    </row>
    <row r="12" spans="1:4" ht="12.75">
      <c r="A12" s="300" t="s">
        <v>54</v>
      </c>
      <c r="B12" s="301" t="s">
        <v>73</v>
      </c>
      <c r="C12" s="300">
        <v>30</v>
      </c>
      <c r="D12" s="300"/>
    </row>
    <row r="13" spans="1:9" ht="12.75">
      <c r="A13" s="300" t="s">
        <v>55</v>
      </c>
      <c r="B13" s="301" t="s">
        <v>74</v>
      </c>
      <c r="C13" s="300">
        <v>31</v>
      </c>
      <c r="D13" s="300"/>
      <c r="I13" s="302" t="s">
        <v>75</v>
      </c>
    </row>
    <row r="14" spans="1:9" ht="12.75">
      <c r="A14" s="303">
        <v>9</v>
      </c>
      <c r="B14" s="304">
        <v>6</v>
      </c>
      <c r="C14" s="303" t="str">
        <f ca="1">CELL("CONTENIDO",OFFSET(A1,B14,0))</f>
        <v>junio</v>
      </c>
      <c r="D14" s="303">
        <f ca="1">CELL("CONTENIDO",OFFSET(C1,B14,0))</f>
        <v>30</v>
      </c>
      <c r="E14" s="303">
        <f ca="1">CELL("CONTENIDO",OFFSET(D1,A14,0))</f>
        <v>2014</v>
      </c>
      <c r="F14" s="303" t="str">
        <f>"Desde el 01 al "&amp;D14&amp;" de "&amp;C14&amp;" de "&amp;E14</f>
        <v>Desde el 01 al 30 de junio de 2014</v>
      </c>
      <c r="G14" s="303" t="str">
        <f ca="1">CELL("CONTENIDO",OFFSET(B1,B14,0))</f>
        <v>06</v>
      </c>
      <c r="H14" s="303" t="str">
        <f>RIGHT(E14,2)</f>
        <v>14</v>
      </c>
      <c r="I14" s="305" t="s">
        <v>76</v>
      </c>
    </row>
    <row r="15" spans="1:8" ht="12.75">
      <c r="A15" s="303"/>
      <c r="B15" s="306" t="str">
        <f>"\\rugor\files\Transporte\Transporte\AA PROCESO AUT ARCHIVOS J\DISTROCUYO\"&amp;E14</f>
        <v>\\rugor\files\Transporte\Transporte\AA PROCESO AUT ARCHIVOS J\DISTROCUYO\2014</v>
      </c>
      <c r="C15" s="303"/>
      <c r="D15" s="303"/>
      <c r="E15" s="303"/>
      <c r="F15" s="303"/>
      <c r="G15" s="303" t="str">
        <f>"J"&amp;G14&amp;H14&amp;"CUY"</f>
        <v>J0614CUY</v>
      </c>
      <c r="H15" s="303"/>
    </row>
    <row r="16" spans="1:8" ht="12.75">
      <c r="A16" s="303"/>
      <c r="B16" s="306" t="str">
        <f>"\\rugor\files\Transporte\transporte\AA PROCESO AUT\INTERCAMBIO\"&amp;H14&amp;G14</f>
        <v>\\rugor\files\Transporte\transporte\AA PROCESO AUT\INTERCAMBIO\1406</v>
      </c>
      <c r="C16" s="303"/>
      <c r="D16" s="303"/>
      <c r="E16" s="303"/>
      <c r="F16" s="303"/>
      <c r="G16" s="303"/>
      <c r="H16" s="303"/>
    </row>
    <row r="17" spans="1:29" s="307" customFormat="1" ht="12.75">
      <c r="A17" s="298" t="s">
        <v>77</v>
      </c>
      <c r="B17" s="298" t="s">
        <v>78</v>
      </c>
      <c r="C17" s="298" t="s">
        <v>79</v>
      </c>
      <c r="D17" s="298" t="s">
        <v>80</v>
      </c>
      <c r="E17" s="298" t="s">
        <v>81</v>
      </c>
      <c r="F17" s="298" t="s">
        <v>82</v>
      </c>
      <c r="G17" s="298" t="s">
        <v>110</v>
      </c>
      <c r="H17" s="298" t="s">
        <v>83</v>
      </c>
      <c r="I17" s="298" t="s">
        <v>84</v>
      </c>
      <c r="J17" s="298" t="s">
        <v>85</v>
      </c>
      <c r="K17" s="298" t="s">
        <v>86</v>
      </c>
      <c r="L17" s="298" t="s">
        <v>87</v>
      </c>
      <c r="M17" s="298" t="s">
        <v>88</v>
      </c>
      <c r="N17" s="298" t="s">
        <v>89</v>
      </c>
      <c r="O17" s="298" t="s">
        <v>90</v>
      </c>
      <c r="P17" s="298" t="s">
        <v>91</v>
      </c>
      <c r="Q17" s="298" t="s">
        <v>92</v>
      </c>
      <c r="R17" s="298" t="s">
        <v>93</v>
      </c>
      <c r="S17" s="298" t="s">
        <v>94</v>
      </c>
      <c r="T17" s="298" t="s">
        <v>95</v>
      </c>
      <c r="U17" s="298" t="s">
        <v>96</v>
      </c>
      <c r="V17" s="298" t="s">
        <v>97</v>
      </c>
      <c r="W17" s="298" t="s">
        <v>98</v>
      </c>
      <c r="X17" s="298" t="s">
        <v>99</v>
      </c>
      <c r="Y17" s="298" t="s">
        <v>100</v>
      </c>
      <c r="Z17" s="298" t="s">
        <v>101</v>
      </c>
      <c r="AA17" s="298" t="s">
        <v>102</v>
      </c>
      <c r="AB17" s="298" t="s">
        <v>103</v>
      </c>
      <c r="AC17" s="298" t="s">
        <v>104</v>
      </c>
    </row>
    <row r="18" spans="1:29" ht="12.75">
      <c r="A18" s="308" t="s">
        <v>105</v>
      </c>
      <c r="B18" s="308">
        <v>21</v>
      </c>
      <c r="C18" s="308">
        <v>19</v>
      </c>
      <c r="D18" s="308">
        <v>12</v>
      </c>
      <c r="E18" s="308" t="str">
        <f>"LI-"&amp;$G$14</f>
        <v>LI-06</v>
      </c>
      <c r="F18" s="308" t="s">
        <v>111</v>
      </c>
      <c r="G18" s="308">
        <v>3</v>
      </c>
      <c r="H18" s="309">
        <v>5</v>
      </c>
      <c r="I18" s="309">
        <v>4</v>
      </c>
      <c r="J18" s="308">
        <v>6</v>
      </c>
      <c r="K18" s="308">
        <v>7</v>
      </c>
      <c r="L18" s="308">
        <v>8</v>
      </c>
      <c r="M18" s="308">
        <v>0</v>
      </c>
      <c r="N18" s="308">
        <v>10</v>
      </c>
      <c r="O18" s="308">
        <v>11</v>
      </c>
      <c r="P18" s="308">
        <v>14</v>
      </c>
      <c r="Q18" s="308">
        <v>26</v>
      </c>
      <c r="R18" s="308">
        <v>0</v>
      </c>
      <c r="S18" s="308">
        <v>15</v>
      </c>
      <c r="T18" s="308">
        <v>0</v>
      </c>
      <c r="U18" s="308">
        <v>0</v>
      </c>
      <c r="V18" s="308">
        <v>0</v>
      </c>
      <c r="W18" s="308">
        <v>18</v>
      </c>
      <c r="X18" s="308">
        <v>9</v>
      </c>
      <c r="Y18" s="308">
        <v>42</v>
      </c>
      <c r="Z18" s="308">
        <v>27</v>
      </c>
      <c r="AA18" s="308">
        <v>19</v>
      </c>
      <c r="AB18" s="308">
        <v>27</v>
      </c>
      <c r="AC18" s="308">
        <v>14</v>
      </c>
    </row>
    <row r="19" spans="1:29" ht="12.75">
      <c r="A19" s="310" t="s">
        <v>106</v>
      </c>
      <c r="B19" s="310">
        <v>22</v>
      </c>
      <c r="C19" s="310">
        <v>19</v>
      </c>
      <c r="D19" s="310">
        <v>13</v>
      </c>
      <c r="E19" s="310" t="str">
        <f>"T-"&amp;$G$14</f>
        <v>T-06</v>
      </c>
      <c r="F19" s="310" t="s">
        <v>112</v>
      </c>
      <c r="G19" s="308">
        <v>3</v>
      </c>
      <c r="H19" s="309">
        <v>5</v>
      </c>
      <c r="I19" s="309">
        <v>4</v>
      </c>
      <c r="J19" s="310">
        <v>6</v>
      </c>
      <c r="K19" s="310">
        <v>7</v>
      </c>
      <c r="L19" s="310">
        <v>8</v>
      </c>
      <c r="M19" s="310">
        <v>9</v>
      </c>
      <c r="N19" s="310">
        <v>11</v>
      </c>
      <c r="O19" s="310">
        <v>12</v>
      </c>
      <c r="P19" s="310">
        <v>15</v>
      </c>
      <c r="Q19" s="310">
        <v>16</v>
      </c>
      <c r="R19" s="310">
        <v>18</v>
      </c>
      <c r="S19" s="310">
        <v>28</v>
      </c>
      <c r="T19" s="310">
        <v>17</v>
      </c>
      <c r="U19" s="310">
        <v>0</v>
      </c>
      <c r="V19" s="310">
        <v>0</v>
      </c>
      <c r="W19" s="310">
        <v>22</v>
      </c>
      <c r="X19" s="308">
        <v>9</v>
      </c>
      <c r="Y19" s="310">
        <v>43</v>
      </c>
      <c r="Z19" s="310">
        <v>29</v>
      </c>
      <c r="AA19" s="310">
        <v>20</v>
      </c>
      <c r="AB19" s="310">
        <v>29</v>
      </c>
      <c r="AC19" s="310">
        <v>15</v>
      </c>
    </row>
    <row r="20" spans="1:29" ht="12.75">
      <c r="A20" s="308" t="s">
        <v>107</v>
      </c>
      <c r="B20" s="308">
        <v>22</v>
      </c>
      <c r="C20" s="308">
        <v>19</v>
      </c>
      <c r="D20" s="308">
        <v>10</v>
      </c>
      <c r="E20" s="308" t="str">
        <f>"SA-"&amp;$G$14</f>
        <v>SA-06</v>
      </c>
      <c r="F20" s="308" t="s">
        <v>113</v>
      </c>
      <c r="G20" s="308">
        <v>3</v>
      </c>
      <c r="H20" s="309">
        <v>5</v>
      </c>
      <c r="I20" s="309">
        <v>4</v>
      </c>
      <c r="J20" s="308">
        <v>6</v>
      </c>
      <c r="K20" s="308">
        <v>7</v>
      </c>
      <c r="L20" s="308">
        <v>8</v>
      </c>
      <c r="M20" s="308">
        <v>10</v>
      </c>
      <c r="N20" s="308">
        <v>11</v>
      </c>
      <c r="O20" s="308">
        <v>14</v>
      </c>
      <c r="P20" s="308">
        <v>15</v>
      </c>
      <c r="Q20" s="308">
        <v>21</v>
      </c>
      <c r="R20" s="308">
        <v>0</v>
      </c>
      <c r="S20" s="308">
        <v>0</v>
      </c>
      <c r="T20" s="308">
        <v>0</v>
      </c>
      <c r="U20" s="308">
        <v>0</v>
      </c>
      <c r="V20" s="308">
        <v>0</v>
      </c>
      <c r="W20" s="308">
        <v>24</v>
      </c>
      <c r="X20" s="308">
        <v>9</v>
      </c>
      <c r="Y20" s="308">
        <v>43</v>
      </c>
      <c r="Z20" s="308">
        <v>22</v>
      </c>
      <c r="AA20" s="308">
        <v>20</v>
      </c>
      <c r="AB20" s="308">
        <v>22</v>
      </c>
      <c r="AC20" s="308">
        <v>14</v>
      </c>
    </row>
    <row r="21" spans="1:29" s="307" customFormat="1" ht="12.75">
      <c r="A21" s="311" t="s">
        <v>108</v>
      </c>
      <c r="B21" s="311">
        <v>19</v>
      </c>
      <c r="C21" s="311">
        <v>24</v>
      </c>
      <c r="D21" s="312">
        <v>4</v>
      </c>
      <c r="E21" s="311" t="str">
        <f>"CAUSAS-VST-"&amp;$G$14</f>
        <v>CAUSAS-VST-06</v>
      </c>
      <c r="F21" s="311" t="s">
        <v>109</v>
      </c>
      <c r="G21" s="311">
        <v>3</v>
      </c>
      <c r="H21" s="311">
        <v>4</v>
      </c>
      <c r="I21" s="311">
        <v>5</v>
      </c>
      <c r="J21" s="311">
        <v>6</v>
      </c>
      <c r="K21" s="311">
        <v>7</v>
      </c>
      <c r="L21" s="311">
        <v>0</v>
      </c>
      <c r="M21" s="311">
        <v>0</v>
      </c>
      <c r="N21" s="311">
        <v>0</v>
      </c>
      <c r="O21" s="311">
        <v>0</v>
      </c>
      <c r="P21" s="311">
        <v>0</v>
      </c>
      <c r="Q21" s="311">
        <v>0</v>
      </c>
      <c r="R21" s="311">
        <v>0</v>
      </c>
      <c r="S21" s="311">
        <v>0</v>
      </c>
      <c r="T21" s="311">
        <v>0</v>
      </c>
      <c r="U21" s="311">
        <v>0</v>
      </c>
      <c r="V21" s="311">
        <v>0</v>
      </c>
      <c r="W21" s="311">
        <v>999</v>
      </c>
      <c r="X21" s="311">
        <v>999</v>
      </c>
      <c r="Y21" s="311">
        <v>0</v>
      </c>
      <c r="Z21" s="311">
        <v>0</v>
      </c>
      <c r="AA21" s="311">
        <v>0</v>
      </c>
      <c r="AB21" s="311">
        <v>0</v>
      </c>
      <c r="AC21" s="311">
        <v>0</v>
      </c>
    </row>
  </sheetData>
  <sheetProtection/>
  <hyperlinks>
    <hyperlink ref="D5" r:id="rId1" display="\\fileserver\files\Transporte\transporte\AA PROCESO AUT\DISTROCUYO\FABIAN"/>
  </hyperlinks>
  <printOptions gridLines="1"/>
  <pageMargins left="0.75" right="0.75" top="1" bottom="1" header="0.511811024" footer="0.511811024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Carola Giordano</cp:lastModifiedBy>
  <cp:lastPrinted>2015-04-22T14:07:34Z</cp:lastPrinted>
  <dcterms:created xsi:type="dcterms:W3CDTF">1998-09-02T21:31:22Z</dcterms:created>
  <dcterms:modified xsi:type="dcterms:W3CDTF">2015-05-06T13:41:53Z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