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661" activeTab="0"/>
  </bookViews>
  <sheets>
    <sheet name="tot-0402" sheetId="1" r:id="rId1"/>
    <sheet name="LI-0402" sheetId="2" r:id="rId2"/>
    <sheet name="TR-0402" sheetId="3" r:id="rId3"/>
    <sheet name="SA-0402" sheetId="4" r:id="rId4"/>
    <sheet name="SA-0402 (2)" sheetId="5" r:id="rId5"/>
    <sheet name="RE-0402" sheetId="6" r:id="rId6"/>
    <sheet name="SU (YACYLEC)" sheetId="7" r:id="rId7"/>
    <sheet name="SU (TIBA)" sheetId="8" r:id="rId8"/>
    <sheet name="SU (ENECOR)" sheetId="9" r:id="rId9"/>
    <sheet name="TRANSENER" sheetId="10" r:id="rId10"/>
  </sheets>
  <externalReferences>
    <externalReference r:id="rId13"/>
  </externalReferences>
  <definedNames>
    <definedName name="_xlnm.Print_Area" localSheetId="1">'LI-0402'!$A$1:$AD$43</definedName>
    <definedName name="_xlnm.Print_Area" localSheetId="5">'RE-0402'!$A$1:$V$42</definedName>
    <definedName name="_xlnm.Print_Area" localSheetId="3">'SA-0402'!$A$1:$U$47</definedName>
    <definedName name="_xlnm.Print_Area" localSheetId="4">'SA-0402 (2)'!$A$1:$U$47</definedName>
    <definedName name="_xlnm.Print_Area" localSheetId="8">'SU (ENECOR)'!$A$1:$W$59</definedName>
    <definedName name="_xlnm.Print_Area" localSheetId="7">'SU (TIBA)'!$A$1:$W$80</definedName>
    <definedName name="_xlnm.Print_Area" localSheetId="6">'SU (YACYLEC)'!$A$1:$AD$66</definedName>
    <definedName name="_xlnm.Print_Area" localSheetId="0">'tot-0402'!$A$1:$K$36</definedName>
    <definedName name="_xlnm.Print_Area" localSheetId="2">'TR-0402'!$A$1:$AB$45</definedName>
    <definedName name="_xlnm.Print_Area" localSheetId="9">'TRANSENER'!$A$1:$U$99</definedName>
    <definedName name="INICIO" localSheetId="1">'LI-0402'!INICIO</definedName>
    <definedName name="INICIO" localSheetId="5">'RE-0402'!INICIO</definedName>
    <definedName name="INICIO" localSheetId="3">'SA-0402'!INICIO</definedName>
    <definedName name="INICIO" localSheetId="4">'SA-0402 (2)'!INICIO</definedName>
    <definedName name="INICIO" localSheetId="2">'TR-0402'!INICIO</definedName>
    <definedName name="INICIO" localSheetId="9">'TRANSENER'!INICIO</definedName>
    <definedName name="INICIO">[0]!INICIO</definedName>
  </definedNames>
  <calcPr fullCalcOnLoad="1"/>
</workbook>
</file>

<file path=xl/sharedStrings.xml><?xml version="1.0" encoding="utf-8"?>
<sst xmlns="http://schemas.openxmlformats.org/spreadsheetml/2006/main" count="708" uniqueCount="252">
  <si>
    <t>SISTEMA DE TRANSPORTE DE ENERGÍA ELÉCTRICA EN ALTA TENSIÓN</t>
  </si>
  <si>
    <t>TRANSENER S.A.</t>
  </si>
  <si>
    <t>C</t>
  </si>
  <si>
    <t>B</t>
  </si>
  <si>
    <t>CHOCON - C.H. CHOCON 1</t>
  </si>
  <si>
    <t>A</t>
  </si>
  <si>
    <t>COLONIA ELIA - CAMPANA</t>
  </si>
  <si>
    <t>EL BRACHO - RECREO(5)</t>
  </si>
  <si>
    <t>P. DEL AGUILA - CHOCON OESTE 1</t>
  </si>
  <si>
    <t>RINCON - YACYRETA II</t>
  </si>
  <si>
    <t>ALICURA</t>
  </si>
  <si>
    <t>500/132</t>
  </si>
  <si>
    <t>ALMAFUERTE</t>
  </si>
  <si>
    <t>TRAFO 1</t>
  </si>
  <si>
    <t>EL BRACHO</t>
  </si>
  <si>
    <t>EZEIZA</t>
  </si>
  <si>
    <t>TRAFO 3</t>
  </si>
  <si>
    <t>500/220/132</t>
  </si>
  <si>
    <t>GRAN MENDOZA</t>
  </si>
  <si>
    <t>MALVINAS ARGENTINAS</t>
  </si>
  <si>
    <t>AUTOTRAFO 1</t>
  </si>
  <si>
    <t>RESISTENCIA</t>
  </si>
  <si>
    <t>ROSARIO OESTE</t>
  </si>
  <si>
    <t>SANTO TOME</t>
  </si>
  <si>
    <t>500/132/33</t>
  </si>
  <si>
    <t>BAHÍA BLANCA 500</t>
  </si>
  <si>
    <t>OLAVARRÍA 500</t>
  </si>
  <si>
    <t>CAMPANA 500</t>
  </si>
  <si>
    <t>SALIDA LINEA A BARILOCHE</t>
  </si>
  <si>
    <t>SALIDA LINEA REOLIN 2</t>
  </si>
  <si>
    <t>SALIDA LINEA A ESTATICA</t>
  </si>
  <si>
    <t>SALIDA LINEA A RÍO HONDO</t>
  </si>
  <si>
    <t>GRAL. RODRIGUEZ</t>
  </si>
  <si>
    <t>SALIDA TRAFO 2 500/220</t>
  </si>
  <si>
    <t>SALIDA TRAFO 3 500/220</t>
  </si>
  <si>
    <t>SALIDA LINEA PILAR</t>
  </si>
  <si>
    <t>P. BANDERITA</t>
  </si>
  <si>
    <t>SALIDA LINEA A PLYA PCIE. BANDERITA</t>
  </si>
  <si>
    <t xml:space="preserve"> SALIDA TRAFO MAQ. 1 Y 2</t>
  </si>
  <si>
    <t xml:space="preserve"> SALIDA LINEA R.S.PEÑA 1</t>
  </si>
  <si>
    <t>SALIDA LINEA SAN CARLOS</t>
  </si>
  <si>
    <t>VILLA LIA</t>
  </si>
  <si>
    <t>SALIDA TRAFO 220/132/13,2</t>
  </si>
  <si>
    <t>EQUIPO</t>
  </si>
  <si>
    <t xml:space="preserve">EZEIZA </t>
  </si>
  <si>
    <t>CS1</t>
  </si>
  <si>
    <t>CS2</t>
  </si>
  <si>
    <t>CS3</t>
  </si>
  <si>
    <t>CS4</t>
  </si>
  <si>
    <t>CS5</t>
  </si>
  <si>
    <t>CS6</t>
  </si>
  <si>
    <t>R6L5RS</t>
  </si>
  <si>
    <t xml:space="preserve">ENTE NACIONAL REGULADOR </t>
  </si>
  <si>
    <t>DE LA ELECTRICIDAD</t>
  </si>
  <si>
    <t>1.-</t>
  </si>
  <si>
    <t>LÍNEAS</t>
  </si>
  <si>
    <t>Equipamiento propio</t>
  </si>
  <si>
    <t>Transportista Independiente YACYLEC S.A.</t>
  </si>
  <si>
    <t>2.-</t>
  </si>
  <si>
    <t>CONEXIÓN</t>
  </si>
  <si>
    <t>Transformación</t>
  </si>
  <si>
    <t>Salidas</t>
  </si>
  <si>
    <t>3.-</t>
  </si>
  <si>
    <t>POTENCIA REACTIVA</t>
  </si>
  <si>
    <t>4.-</t>
  </si>
  <si>
    <t>SUPERVISIÓN</t>
  </si>
  <si>
    <t>Transportista Independiente TIBA S.A.</t>
  </si>
  <si>
    <t xml:space="preserve">TOTAL </t>
  </si>
  <si>
    <t>SISTEMA DE TRANSPORTE DE ENERGÍA ELÉCTRICA EN ALTA TENSIÓN - TRANSENER S.A.</t>
  </si>
  <si>
    <t>1.- LÍNEAS</t>
  </si>
  <si>
    <t>1.1.- Líneas propias</t>
  </si>
  <si>
    <t xml:space="preserve">$/100 km-h : LINEAS 500 kV </t>
  </si>
  <si>
    <t xml:space="preserve">$/100 km-h : LINEAS 220 kV </t>
  </si>
  <si>
    <t>N°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</si>
  <si>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</si>
  <si>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</si>
  <si>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</si>
  <si>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</si>
  <si>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</si>
  <si>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</si>
  <si>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</si>
  <si>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</si>
  <si>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</si>
  <si>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</si>
  <si>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Rest.
%</t>
  </si>
  <si>
    <t>R.D.</t>
  </si>
  <si>
    <t>AUT.</t>
  </si>
  <si>
    <t>PENALIZ.
PROGRAM.</t>
  </si>
  <si>
    <t>REDUCC.
PROGRAM.</t>
  </si>
  <si>
    <t>PENALIZACIÓN FORZADA
Por Salida    1ras 5 hs.   hs. Restantes</t>
  </si>
  <si>
    <t>REDUCCIÓN FORZADA
Por Salida       1ras 5 hs.     hs. Restantes</t>
  </si>
  <si>
    <t>RESTANTE
FORZADA</t>
  </si>
  <si>
    <t>REDUCCIÓN
RESTANTE</t>
  </si>
  <si>
    <t>Informó
enTérm.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</si>
  <si>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</si>
  <si>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</si>
  <si>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 - PROGRAMADA                    RP - REDUCCIÓN PROGRAMADA                    RR - REDUCCIÓN RESTANTE ( proveniente de horas anteriores )</t>
  </si>
  <si>
    <t>F - FORZADA                       R - REDUCCIÓN FORZADA                        RF - RESTANTE FORZADA ( proveniente de horas anteriores )</t>
  </si>
  <si>
    <t>REDUCC.
RESTANTE</t>
  </si>
  <si>
    <t>PENALIZAC.
PROGRAM.</t>
  </si>
  <si>
    <t>PENALIZACION FORZADA
Por Salida      1ras 5 hs.     hs. Restantes</t>
  </si>
  <si>
    <t>ENTE NACIONAL REGULADOR</t>
  </si>
  <si>
    <t>2.- CONEXIÓN</t>
  </si>
  <si>
    <t>2.1.- Transformación</t>
  </si>
  <si>
    <t>Por Transformador por cada MVA    $ =</t>
  </si>
  <si>
    <t>Coeficiente de penalización por salida forzada   =</t>
  </si>
  <si>
    <t>ESTACIÓN
TRANSFORMADORA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</si>
  <si>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</si>
  <si>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</si>
  <si>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</si>
  <si>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</si>
  <si>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</si>
  <si>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</si>
  <si>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</si>
  <si>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</si>
  <si>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</si>
  <si>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</si>
  <si>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</si>
  <si>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PENALIZAC. FORZADA
Por Salida       hs. Restantes</t>
  </si>
  <si>
    <t>SISTEMA DE TRANSPORTE DE ENERGÍA ELÉCTRICA EN ALTA TENSIÓN  -  TRANSENER S.A.</t>
  </si>
  <si>
    <t>3.- POTENCIA REACTIVA</t>
  </si>
  <si>
    <t>3.1.- Equipamiento propio</t>
  </si>
  <si>
    <t>PENALIZACIÓN FORZADA
Por Salida     hs. Restantes</t>
  </si>
  <si>
    <t>Tipo 
Sal.</t>
  </si>
  <si>
    <t>--</t>
  </si>
  <si>
    <t>SISTEMA DE TRANSPORTE DE ENERGÍA ELÉCTRICA EN ALTA TENSIÓN - TRANSENER  S.A.</t>
  </si>
  <si>
    <t>4.- SUPERVISIÓN</t>
  </si>
  <si>
    <t>a)</t>
  </si>
  <si>
    <t>Datos</t>
  </si>
  <si>
    <t>Remuneración LÍNEAS 500 kV              =</t>
  </si>
  <si>
    <t>$/100 km-h</t>
  </si>
  <si>
    <t>Porcentaje por Supervisión  =</t>
  </si>
  <si>
    <t>$/MVA</t>
  </si>
  <si>
    <t>Tiempo de servicio =</t>
  </si>
  <si>
    <t>hs</t>
  </si>
  <si>
    <t>b)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</si>
  <si>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</si>
  <si>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t>CS =</t>
  </si>
  <si>
    <t>c)</t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</si>
  <si>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</si>
  <si>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t>Tipo 
Sal</t>
  </si>
  <si>
    <t>REDUCC. FORZADA
Por Salida        1ras 5 hs.      hs. Restantes</t>
  </si>
  <si>
    <t>K (P;ENS)</t>
  </si>
  <si>
    <t>PENALIZAC. FORZADA
Por Salida    hs. Restantes</t>
  </si>
  <si>
    <t>SM =</t>
  </si>
  <si>
    <t>d)</t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</si>
  <si>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</si>
  <si>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t>LONG.</t>
  </si>
  <si>
    <t>U [kV]</t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</si>
  <si>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</si>
  <si>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</si>
  <si>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Total</t>
    </r>
  </si>
  <si>
    <t>TRANSFORMADOR</t>
  </si>
  <si>
    <t>POT. [MVA]</t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</si>
  <si>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</si>
  <si>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</si>
  <si>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t>E.T.</t>
  </si>
  <si>
    <t>e)</t>
  </si>
  <si>
    <t>SANCIÓN</t>
  </si>
  <si>
    <t>Sanción calculada</t>
  </si>
  <si>
    <t>SANCIÓN =</t>
  </si>
  <si>
    <t>Valor Mensual del Canon                        =</t>
  </si>
  <si>
    <t>Línea Rincón - Resistencia</t>
  </si>
  <si>
    <t>3 Líneas Rincón - Yacyretá</t>
  </si>
  <si>
    <t>TOTAL A PENALIZAR A TRANSENER S.A POR SUPERVISIÓN A YACYLEC S.A.</t>
  </si>
  <si>
    <t xml:space="preserve">Cargo por Transformador por MVA = </t>
  </si>
  <si>
    <t>Cant. Puntos.</t>
  </si>
  <si>
    <r>
      <t>RM</t>
    </r>
    <r>
      <rPr>
        <sz val="12"/>
        <rFont val="Times New Roman"/>
        <family val="1"/>
      </rPr>
      <t xml:space="preserve"> por Cargos de Conexión</t>
    </r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</si>
  <si>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</si>
  <si>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</si>
  <si>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</si>
  <si>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</si>
  <si>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</si>
  <si>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</si>
  <si>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</si>
  <si>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Autotrafo</t>
  </si>
  <si>
    <t>RM =</t>
  </si>
  <si>
    <t>RIO GRANDE - LUJAN</t>
  </si>
  <si>
    <t>PASO DE LA PATRIA</t>
  </si>
  <si>
    <t>Transportista Independiente ENECOR S.A.</t>
  </si>
  <si>
    <t>SALIDA LINEA SAN LORENZO</t>
  </si>
  <si>
    <t>4.1.- Transportista Independiente YACYLEC S.A.</t>
  </si>
  <si>
    <t>R1L5RS</t>
  </si>
  <si>
    <t xml:space="preserve">Salida en 500 kV en $/h </t>
  </si>
  <si>
    <t>Salida en 132 kV en $/h</t>
  </si>
  <si>
    <t>TOTAL A PENALIZAR A TRANSENER S.A POR SUPERVISIÓN A T.I.B.A.</t>
  </si>
  <si>
    <t>SALIDA LINEA STA. FE NORTE</t>
  </si>
  <si>
    <t>TOTAL A PENALIZAR A TRANSENER S.A POR SUPERVISIÓN A ENECOR S.A.</t>
  </si>
  <si>
    <t>Paso de la Patria Trafo 1</t>
  </si>
  <si>
    <t>Paso de la Patria</t>
  </si>
  <si>
    <t>Factor X =</t>
  </si>
  <si>
    <t>BAHIA BLANCA - CHOELE CHOEL 1</t>
  </si>
  <si>
    <t>ABASTO - OLAVARRIA 1</t>
  </si>
  <si>
    <t>AUTOTRAFO 2</t>
  </si>
  <si>
    <t>PIEDRA DEL AGUILA</t>
  </si>
  <si>
    <t>SALIDA PICHI PICUN LEUFU</t>
  </si>
  <si>
    <t>GRAL. RODRIGUEZ - RAMALLO</t>
  </si>
  <si>
    <t>F</t>
  </si>
  <si>
    <t>MACACHIN</t>
  </si>
  <si>
    <t>SALIDA LINEA 1 A STA. ROSA</t>
  </si>
  <si>
    <t>SALIDA LINEA 2 A STA. ROSA</t>
  </si>
  <si>
    <t>Valores remuneratorios según Res. ENRE N° 618/01 - 544/01 - 533/01</t>
  </si>
  <si>
    <t>Transporte de la hoja 1/2</t>
  </si>
  <si>
    <t>I</t>
  </si>
  <si>
    <t>II</t>
  </si>
  <si>
    <t>P</t>
  </si>
  <si>
    <t>RF</t>
  </si>
  <si>
    <t>SI</t>
  </si>
  <si>
    <t>III</t>
  </si>
  <si>
    <t>4.2.- Transportista Independiente  T.I.B.A.</t>
  </si>
  <si>
    <t>4.3.- Transportista Independiente  ENECOR S.A.</t>
  </si>
  <si>
    <t>(DTE 0402)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</si>
  <si>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</si>
  <si>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</si>
  <si>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</si>
  <si>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</si>
  <si>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</si>
  <si>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</si>
  <si>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</si>
  <si>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</si>
  <si>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</si>
  <si>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</si>
  <si>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</si>
  <si>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</si>
  <si>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</si>
  <si>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</si>
  <si>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</si>
  <si>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</si>
  <si>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</si>
  <si>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</si>
  <si>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</si>
  <si>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</si>
  <si>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</si>
  <si>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</si>
  <si>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</si>
  <si>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</si>
  <si>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NO</t>
  </si>
  <si>
    <t>SISTEMA DE TRANSPORTE DE ENERGÍA ELÉCTRICA EN ALTA TENSION</t>
  </si>
  <si>
    <t>INDISPONIBILIDADES FORZADAS DE LÍNEAS - TASA DE FALLA</t>
  </si>
  <si>
    <t>CLASE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</si>
  <si>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</si>
  <si>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</si>
  <si>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</si>
  <si>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</si>
  <si>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TASA DE FALLA</t>
  </si>
  <si>
    <t>SALIDAS x AÑO / 100 km</t>
  </si>
  <si>
    <t>Correspondiente al mes de febrero de 2004 (provisoria)</t>
  </si>
  <si>
    <t>TOTAL DE PENALIZACIONES A APLICAR</t>
  </si>
  <si>
    <t>Desde el 01 al 29 de febrero de 2004</t>
  </si>
  <si>
    <t>SALIDA STA. CATALINA 2</t>
  </si>
  <si>
    <t>LÍNEA A LOMA NEGRA</t>
  </si>
  <si>
    <t>ANEXO I-1 a la Resolución ENRE N°            1107 /2006    .-</t>
  </si>
</sst>
</file>

<file path=xl/styles.xml><?xml version="1.0" encoding="utf-8"?>
<styleSheet xmlns="http://schemas.openxmlformats.org/spreadsheetml/2006/main">
  <numFmts count="4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0.000_)"/>
    <numFmt numFmtId="180" formatCode="0.000"/>
    <numFmt numFmtId="181" formatCode="&quot;$&quot;#,##0.00;&quot;$&quot;\-#,##0.00"/>
    <numFmt numFmtId="182" formatCode="&quot;$&quot;#,##0.00"/>
    <numFmt numFmtId="183" formatCode="#&quot;.&quot;#&quot;.-&quot;"/>
    <numFmt numFmtId="184" formatCode="#&quot;.&quot;#&quot;.&quot;#&quot;.-&quot;"/>
    <numFmt numFmtId="185" formatCode="#,##0;[Red]#,##0"/>
    <numFmt numFmtId="186" formatCode="#,##0.000000"/>
    <numFmt numFmtId="187" formatCode="#,##0.00;[Red]#,##0.00"/>
    <numFmt numFmtId="188" formatCode="&quot;$&quot;\ #,##0.00"/>
    <numFmt numFmtId="189" formatCode="mmm\-yyyy"/>
    <numFmt numFmtId="190" formatCode="&quot;$&quot;\ #,##0.0;&quot;$&quot;\ \-#,##0.0"/>
    <numFmt numFmtId="191" formatCode="&quot;$&quot;\ #,##0.000;&quot;$&quot;\ \-#,##0.000"/>
    <numFmt numFmtId="192" formatCode="&quot;$&quot;\ #,##0.0000;&quot;$&quot;\ \-#,##0.0000"/>
    <numFmt numFmtId="193" formatCode="&quot;$&quot;\ #,##0.00000;&quot;$&quot;\ \-#,##0.00000"/>
    <numFmt numFmtId="194" formatCode="&quot;$&quot;\ #,##0.000000;&quot;$&quot;\ \-#,##0.000000"/>
    <numFmt numFmtId="195" formatCode="&quot;$&quot;#,##0.0;&quot;$&quot;\-#,##0.0"/>
    <numFmt numFmtId="196" formatCode="&quot;$&quot;#,##0;&quot;$&quot;\-#,##0"/>
    <numFmt numFmtId="197" formatCode="&quot;$&quot;\ #,##0.0000000;&quot;$&quot;\ \-#,##0.0000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#,##0.000_);[Red]\(#,##0.000\)"/>
    <numFmt numFmtId="202" formatCode="#,##0.0000_);[Red]\(#,##0.0000\)"/>
    <numFmt numFmtId="203" formatCode="#,##0.00000_);[Red]\(#,##0.00000\)"/>
    <numFmt numFmtId="204" formatCode="#,##0.000000_);[Red]\(#,##0.000000\)"/>
  </numFmts>
  <fonts count="1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u val="single"/>
      <sz val="20"/>
      <name val="Times New Roman"/>
      <family val="1"/>
    </font>
    <font>
      <sz val="10"/>
      <name val="Arial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20"/>
      <name val="MS Sans Serif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0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b/>
      <i/>
      <sz val="14"/>
      <name val="Times New Roman"/>
      <family val="1"/>
    </font>
    <font>
      <sz val="11"/>
      <color indexed="13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sz val="11"/>
      <color indexed="8"/>
      <name val="MS Sans Serif"/>
      <family val="2"/>
    </font>
    <font>
      <b/>
      <u val="single"/>
      <sz val="14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color indexed="10"/>
      <name val="Times New Roman"/>
      <family val="1"/>
    </font>
    <font>
      <sz val="7"/>
      <color indexed="14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b/>
      <sz val="7"/>
      <color indexed="8"/>
      <name val="Times New Roman"/>
      <family val="1"/>
    </font>
    <font>
      <b/>
      <i/>
      <u val="single"/>
      <sz val="12"/>
      <name val="Arial"/>
      <family val="0"/>
    </font>
    <font>
      <sz val="12"/>
      <name val="MS Sans Serif"/>
      <family val="0"/>
    </font>
    <font>
      <sz val="12"/>
      <color indexed="14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b/>
      <sz val="10"/>
      <color indexed="10"/>
      <name val="Times New Roman"/>
      <family val="0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u val="single"/>
      <sz val="18"/>
      <name val="Times New Roman"/>
      <family val="1"/>
    </font>
    <font>
      <sz val="14"/>
      <name val="MS Sans Serif"/>
      <family val="0"/>
    </font>
    <font>
      <b/>
      <sz val="10"/>
      <color indexed="48"/>
      <name val="Times New Roman"/>
      <family val="0"/>
    </font>
    <font>
      <sz val="11"/>
      <color indexed="26"/>
      <name val="MS Sans Serif"/>
      <family val="2"/>
    </font>
    <font>
      <sz val="10"/>
      <color indexed="26"/>
      <name val="Times New Roman"/>
      <family val="1"/>
    </font>
    <font>
      <b/>
      <sz val="10"/>
      <color indexed="26"/>
      <name val="Times New Roman"/>
      <family val="0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11"/>
      <color indexed="60"/>
      <name val="MS Sans Serif"/>
      <family val="2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indexed="11"/>
      <name val="MS Sans Serif"/>
      <family val="2"/>
    </font>
    <font>
      <sz val="10"/>
      <color indexed="11"/>
      <name val="Times New Roman"/>
      <family val="1"/>
    </font>
    <font>
      <b/>
      <sz val="10"/>
      <color indexed="11"/>
      <name val="Times New Roman"/>
      <family val="1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Times New Roman"/>
      <family val="0"/>
    </font>
    <font>
      <sz val="10"/>
      <color indexed="9"/>
      <name val="Times New Roman"/>
      <family val="1"/>
    </font>
    <font>
      <sz val="11"/>
      <color indexed="61"/>
      <name val="MS Sans Serif"/>
      <family val="2"/>
    </font>
    <font>
      <b/>
      <sz val="10"/>
      <color indexed="61"/>
      <name val="Times New Roman"/>
      <family val="0"/>
    </font>
    <font>
      <sz val="11"/>
      <color indexed="54"/>
      <name val="MS Sans Serif"/>
      <family val="2"/>
    </font>
    <font>
      <b/>
      <sz val="10"/>
      <color indexed="54"/>
      <name val="Times New Roman"/>
      <family val="0"/>
    </font>
    <font>
      <sz val="11"/>
      <color indexed="56"/>
      <name val="MS Sans Serif"/>
      <family val="2"/>
    </font>
    <font>
      <b/>
      <sz val="10"/>
      <color indexed="56"/>
      <name val="Times New Roman"/>
      <family val="1"/>
    </font>
    <font>
      <sz val="11"/>
      <color indexed="58"/>
      <name val="MS Sans Serif"/>
      <family val="2"/>
    </font>
    <font>
      <b/>
      <sz val="10"/>
      <color indexed="5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b/>
      <sz val="12"/>
      <color indexed="34"/>
      <name val="Times New Roman"/>
      <family val="0"/>
    </font>
    <font>
      <sz val="10"/>
      <color indexed="9"/>
      <name val="MS Sans Serif"/>
      <family val="2"/>
    </font>
    <font>
      <b/>
      <i/>
      <u val="single"/>
      <sz val="12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b/>
      <i/>
      <sz val="10"/>
      <name val="Times New Roman"/>
      <family val="0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sz val="10"/>
      <color indexed="3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  <font>
      <b/>
      <i/>
      <sz val="12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8"/>
        <bgColor indexed="64"/>
      </patternFill>
    </fill>
    <fill>
      <patternFill patternType="lightGray"/>
    </fill>
  </fills>
  <borders count="74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58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22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6" fontId="4" fillId="0" borderId="1" xfId="0" applyNumberFormat="1" applyFont="1" applyBorder="1" applyAlignment="1" applyProtection="1">
      <alignment horizontal="center"/>
      <protection/>
    </xf>
    <xf numFmtId="4" fontId="4" fillId="2" borderId="1" xfId="0" applyNumberFormat="1" applyFont="1" applyFill="1" applyBorder="1" applyAlignment="1" applyProtection="1" quotePrefix="1">
      <alignment horizontal="center"/>
      <protection/>
    </xf>
    <xf numFmtId="172" fontId="4" fillId="2" borderId="1" xfId="0" applyNumberFormat="1" applyFont="1" applyFill="1" applyBorder="1" applyAlignment="1" applyProtection="1" quotePrefix="1">
      <alignment horizontal="center"/>
      <protection/>
    </xf>
    <xf numFmtId="176" fontId="4" fillId="0" borderId="2" xfId="0" applyNumberFormat="1" applyFont="1" applyBorder="1" applyAlignment="1" applyProtection="1">
      <alignment horizontal="center"/>
      <protection/>
    </xf>
    <xf numFmtId="179" fontId="4" fillId="0" borderId="2" xfId="0" applyNumberFormat="1" applyFont="1" applyBorder="1" applyAlignment="1" applyProtection="1" quotePrefix="1">
      <alignment horizontal="center"/>
      <protection/>
    </xf>
    <xf numFmtId="4" fontId="16" fillId="0" borderId="2" xfId="0" applyNumberFormat="1" applyFont="1" applyFill="1" applyBorder="1" applyAlignment="1">
      <alignment horizontal="right"/>
    </xf>
    <xf numFmtId="172" fontId="4" fillId="0" borderId="1" xfId="0" applyNumberFormat="1" applyFont="1" applyFill="1" applyBorder="1" applyAlignment="1" applyProtection="1" quotePrefix="1">
      <alignment horizontal="center"/>
      <protection/>
    </xf>
    <xf numFmtId="0" fontId="4" fillId="0" borderId="4" xfId="0" applyFont="1" applyBorder="1" applyAlignment="1">
      <alignment horizontal="center"/>
    </xf>
    <xf numFmtId="176" fontId="4" fillId="0" borderId="5" xfId="0" applyNumberFormat="1" applyFont="1" applyBorder="1" applyAlignment="1" applyProtection="1">
      <alignment horizontal="center"/>
      <protection/>
    </xf>
    <xf numFmtId="179" fontId="4" fillId="0" borderId="5" xfId="0" applyNumberFormat="1" applyFont="1" applyBorder="1" applyAlignment="1" applyProtection="1" quotePrefix="1">
      <alignment horizontal="center"/>
      <protection/>
    </xf>
    <xf numFmtId="4" fontId="5" fillId="0" borderId="5" xfId="0" applyNumberFormat="1" applyFont="1" applyBorder="1" applyAlignment="1" applyProtection="1">
      <alignment horizontal="center"/>
      <protection/>
    </xf>
    <xf numFmtId="2" fontId="16" fillId="0" borderId="6" xfId="0" applyNumberFormat="1" applyFont="1" applyFill="1" applyBorder="1" applyAlignment="1">
      <alignment horizontal="right"/>
    </xf>
    <xf numFmtId="172" fontId="5" fillId="0" borderId="0" xfId="0" applyNumberFormat="1" applyFont="1" applyBorder="1" applyAlignment="1" applyProtection="1">
      <alignment horizontal="center"/>
      <protection/>
    </xf>
    <xf numFmtId="173" fontId="4" fillId="0" borderId="0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9" fontId="4" fillId="0" borderId="0" xfId="0" applyNumberFormat="1" applyFont="1" applyBorder="1" applyAlignment="1" applyProtection="1" quotePrefix="1">
      <alignment horizontal="center"/>
      <protection/>
    </xf>
    <xf numFmtId="2" fontId="15" fillId="0" borderId="7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4" fillId="0" borderId="4" xfId="0" applyFont="1" applyFill="1" applyBorder="1" applyAlignment="1">
      <alignment horizontal="center"/>
    </xf>
    <xf numFmtId="172" fontId="4" fillId="0" borderId="4" xfId="0" applyNumberFormat="1" applyFont="1" applyFill="1" applyBorder="1" applyAlignment="1" applyProtection="1">
      <alignment horizontal="center"/>
      <protection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172" fontId="4" fillId="0" borderId="4" xfId="0" applyNumberFormat="1" applyFont="1" applyBorder="1" applyAlignment="1" applyProtection="1">
      <alignment horizontal="center"/>
      <protection/>
    </xf>
    <xf numFmtId="1" fontId="4" fillId="0" borderId="10" xfId="0" applyNumberFormat="1" applyFont="1" applyBorder="1" applyAlignment="1" applyProtection="1" quotePrefix="1">
      <alignment horizontal="center"/>
      <protection/>
    </xf>
    <xf numFmtId="176" fontId="4" fillId="0" borderId="1" xfId="0" applyNumberFormat="1" applyFont="1" applyFill="1" applyBorder="1" applyAlignment="1" applyProtection="1">
      <alignment horizontal="center"/>
      <protection/>
    </xf>
    <xf numFmtId="22" fontId="4" fillId="0" borderId="1" xfId="0" applyNumberFormat="1" applyFont="1" applyFill="1" applyBorder="1" applyAlignment="1">
      <alignment horizontal="center"/>
    </xf>
    <xf numFmtId="22" fontId="4" fillId="0" borderId="1" xfId="0" applyNumberFormat="1" applyFont="1" applyFill="1" applyBorder="1" applyAlignment="1" applyProtection="1">
      <alignment horizontal="center"/>
      <protection/>
    </xf>
    <xf numFmtId="4" fontId="4" fillId="0" borderId="1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176" fontId="4" fillId="0" borderId="1" xfId="0" applyNumberFormat="1" applyFont="1" applyBorder="1" applyAlignment="1" applyProtection="1" quotePrefix="1">
      <alignment horizontal="center"/>
      <protection/>
    </xf>
    <xf numFmtId="176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76" fontId="4" fillId="0" borderId="5" xfId="0" applyNumberFormat="1" applyFont="1" applyFill="1" applyBorder="1" applyAlignment="1" applyProtection="1">
      <alignment horizontal="center"/>
      <protection/>
    </xf>
    <xf numFmtId="38" fontId="4" fillId="0" borderId="5" xfId="0" applyNumberFormat="1" applyFont="1" applyFill="1" applyBorder="1" applyAlignment="1" applyProtection="1">
      <alignment horizontal="center"/>
      <protection/>
    </xf>
    <xf numFmtId="172" fontId="4" fillId="0" borderId="5" xfId="0" applyNumberFormat="1" applyFont="1" applyFill="1" applyBorder="1" applyAlignment="1" applyProtection="1" quotePrefix="1">
      <alignment horizontal="center"/>
      <protection/>
    </xf>
    <xf numFmtId="176" fontId="19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2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172" fontId="5" fillId="0" borderId="1" xfId="0" applyNumberFormat="1" applyFont="1" applyBorder="1" applyAlignment="1" applyProtection="1" quotePrefix="1">
      <alignment horizontal="center"/>
      <protection/>
    </xf>
    <xf numFmtId="22" fontId="4" fillId="0" borderId="13" xfId="0" applyNumberFormat="1" applyFont="1" applyBorder="1" applyAlignment="1">
      <alignment horizontal="center"/>
    </xf>
    <xf numFmtId="22" fontId="4" fillId="0" borderId="1" xfId="0" applyNumberFormat="1" applyFont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172" fontId="4" fillId="0" borderId="3" xfId="0" applyNumberFormat="1" applyFont="1" applyBorder="1" applyAlignment="1" applyProtection="1">
      <alignment horizontal="center"/>
      <protection/>
    </xf>
    <xf numFmtId="176" fontId="4" fillId="0" borderId="1" xfId="0" applyNumberFormat="1" applyFont="1" applyBorder="1" applyAlignment="1">
      <alignment horizontal="center"/>
    </xf>
    <xf numFmtId="4" fontId="18" fillId="0" borderId="1" xfId="0" applyNumberFormat="1" applyFont="1" applyFill="1" applyBorder="1" applyAlignment="1">
      <alignment horizontal="right"/>
    </xf>
    <xf numFmtId="176" fontId="4" fillId="0" borderId="11" xfId="0" applyNumberFormat="1" applyFont="1" applyBorder="1" applyAlignment="1" applyProtection="1">
      <alignment horizontal="center"/>
      <protection/>
    </xf>
    <xf numFmtId="4" fontId="20" fillId="0" borderId="0" xfId="0" applyNumberFormat="1" applyFont="1" applyFill="1" applyBorder="1" applyAlignment="1">
      <alignment horizontal="center"/>
    </xf>
    <xf numFmtId="7" fontId="12" fillId="0" borderId="14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6" fillId="0" borderId="9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176" fontId="4" fillId="0" borderId="4" xfId="0" applyNumberFormat="1" applyFont="1" applyBorder="1" applyAlignment="1" applyProtection="1">
      <alignment horizontal="center"/>
      <protection/>
    </xf>
    <xf numFmtId="22" fontId="4" fillId="0" borderId="16" xfId="0" applyNumberFormat="1" applyFont="1" applyBorder="1" applyAlignment="1">
      <alignment horizontal="center"/>
    </xf>
    <xf numFmtId="22" fontId="4" fillId="0" borderId="15" xfId="0" applyNumberFormat="1" applyFont="1" applyBorder="1" applyAlignment="1" applyProtection="1">
      <alignment horizontal="center"/>
      <protection/>
    </xf>
    <xf numFmtId="2" fontId="4" fillId="0" borderId="4" xfId="0" applyNumberFormat="1" applyFont="1" applyFill="1" applyBorder="1" applyAlignment="1" applyProtection="1" quotePrefix="1">
      <alignment horizontal="center"/>
      <protection/>
    </xf>
    <xf numFmtId="172" fontId="4" fillId="0" borderId="4" xfId="0" applyNumberFormat="1" applyFont="1" applyFill="1" applyBorder="1" applyAlignment="1" applyProtection="1" quotePrefix="1">
      <alignment horizontal="center"/>
      <protection/>
    </xf>
    <xf numFmtId="176" fontId="4" fillId="0" borderId="8" xfId="0" applyNumberFormat="1" applyFont="1" applyBorder="1" applyAlignment="1" applyProtection="1">
      <alignment horizontal="center"/>
      <protection/>
    </xf>
    <xf numFmtId="7" fontId="12" fillId="0" borderId="17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5" fillId="0" borderId="0" xfId="0" applyFont="1" applyFill="1" applyBorder="1" applyAlignment="1" applyProtection="1">
      <alignment horizontal="centerContinuous"/>
      <protection/>
    </xf>
    <xf numFmtId="0" fontId="26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3" fillId="0" borderId="0" xfId="0" applyFont="1" applyBorder="1" applyAlignment="1">
      <alignment/>
    </xf>
    <xf numFmtId="0" fontId="2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20" xfId="0" applyFont="1" applyBorder="1" applyAlignment="1">
      <alignment/>
    </xf>
    <xf numFmtId="0" fontId="11" fillId="0" borderId="21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22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4" fillId="0" borderId="21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0" fontId="14" fillId="0" borderId="22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7" fontId="13" fillId="0" borderId="0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31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/>
    </xf>
    <xf numFmtId="7" fontId="31" fillId="0" borderId="0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13" fillId="0" borderId="23" xfId="0" applyFont="1" applyBorder="1" applyAlignment="1">
      <alignment horizontal="center"/>
    </xf>
    <xf numFmtId="7" fontId="13" fillId="0" borderId="24" xfId="0" applyNumberFormat="1" applyFont="1" applyBorder="1" applyAlignment="1">
      <alignment horizontal="center"/>
    </xf>
    <xf numFmtId="0" fontId="29" fillId="0" borderId="25" xfId="0" applyFont="1" applyBorder="1" applyAlignment="1">
      <alignment/>
    </xf>
    <xf numFmtId="0" fontId="29" fillId="0" borderId="26" xfId="0" applyNumberFormat="1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7" xfId="0" applyFont="1" applyBorder="1" applyAlignment="1">
      <alignment/>
    </xf>
    <xf numFmtId="0" fontId="29" fillId="0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7" fontId="29" fillId="0" borderId="0" xfId="0" applyNumberFormat="1" applyFont="1" applyBorder="1" applyAlignment="1">
      <alignment/>
    </xf>
    <xf numFmtId="176" fontId="29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 applyProtection="1">
      <alignment horizontal="left"/>
      <protection/>
    </xf>
    <xf numFmtId="0" fontId="4" fillId="0" borderId="2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22" fontId="4" fillId="0" borderId="0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2" xfId="0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10" fillId="0" borderId="21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22" xfId="0" applyFont="1" applyFill="1" applyBorder="1" applyAlignment="1">
      <alignment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22" xfId="0" applyFont="1" applyFill="1" applyBorder="1" applyAlignment="1">
      <alignment horizontal="centerContinuous"/>
    </xf>
    <xf numFmtId="0" fontId="0" fillId="0" borderId="23" xfId="0" applyFont="1" applyBorder="1" applyAlignment="1" applyProtection="1">
      <alignment horizontal="center"/>
      <protection/>
    </xf>
    <xf numFmtId="0" fontId="33" fillId="0" borderId="17" xfId="0" applyFont="1" applyBorder="1" applyAlignment="1">
      <alignment horizontal="center" vertical="center"/>
    </xf>
    <xf numFmtId="176" fontId="33" fillId="0" borderId="17" xfId="0" applyNumberFormat="1" applyFont="1" applyBorder="1" applyAlignment="1" applyProtection="1">
      <alignment horizontal="center" vertical="center"/>
      <protection/>
    </xf>
    <xf numFmtId="0" fontId="33" fillId="0" borderId="17" xfId="0" applyFont="1" applyBorder="1" applyAlignment="1" applyProtection="1">
      <alignment horizontal="center" vertical="center"/>
      <protection/>
    </xf>
    <xf numFmtId="0" fontId="33" fillId="0" borderId="23" xfId="0" applyFont="1" applyBorder="1" applyAlignment="1" applyProtection="1">
      <alignment horizontal="center" vertical="center"/>
      <protection/>
    </xf>
    <xf numFmtId="0" fontId="33" fillId="0" borderId="24" xfId="0" applyFont="1" applyBorder="1" applyAlignment="1" applyProtection="1">
      <alignment horizontal="center" vertical="center"/>
      <protection/>
    </xf>
    <xf numFmtId="172" fontId="33" fillId="0" borderId="24" xfId="0" applyNumberFormat="1" applyFont="1" applyBorder="1" applyAlignment="1" applyProtection="1">
      <alignment horizontal="center" vertical="center" wrapText="1"/>
      <protection/>
    </xf>
    <xf numFmtId="0" fontId="33" fillId="0" borderId="29" xfId="0" applyFont="1" applyBorder="1" applyAlignment="1" applyProtection="1">
      <alignment horizontal="center" vertical="center" wrapText="1"/>
      <protection/>
    </xf>
    <xf numFmtId="0" fontId="33" fillId="0" borderId="23" xfId="0" applyFont="1" applyBorder="1" applyAlignment="1" applyProtection="1">
      <alignment horizontal="center" vertical="center" wrapText="1"/>
      <protection/>
    </xf>
    <xf numFmtId="0" fontId="33" fillId="0" borderId="17" xfId="0" applyFont="1" applyBorder="1" applyAlignment="1" applyProtection="1">
      <alignment horizontal="center" vertical="center" wrapText="1"/>
      <protection/>
    </xf>
    <xf numFmtId="0" fontId="33" fillId="0" borderId="24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16" fillId="0" borderId="2" xfId="0" applyFont="1" applyBorder="1" applyAlignment="1">
      <alignment/>
    </xf>
    <xf numFmtId="0" fontId="26" fillId="0" borderId="0" xfId="0" applyFont="1" applyAlignment="1">
      <alignment horizontal="centerContinuous"/>
    </xf>
    <xf numFmtId="0" fontId="11" fillId="0" borderId="21" xfId="0" applyFont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7" fillId="0" borderId="0" xfId="0" applyFont="1" applyFill="1" applyAlignment="1">
      <alignment horizontal="centerContinuous"/>
    </xf>
    <xf numFmtId="0" fontId="2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21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21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34" fillId="0" borderId="22" xfId="0" applyFont="1" applyFill="1" applyBorder="1" applyAlignment="1">
      <alignment horizontal="centerContinuous"/>
    </xf>
    <xf numFmtId="0" fontId="0" fillId="0" borderId="23" xfId="0" applyFont="1" applyFill="1" applyBorder="1" applyAlignment="1" applyProtection="1" quotePrefix="1">
      <alignment horizontal="left"/>
      <protection/>
    </xf>
    <xf numFmtId="0" fontId="0" fillId="0" borderId="29" xfId="0" applyFont="1" applyFill="1" applyBorder="1" applyAlignment="1" applyProtection="1">
      <alignment horizontal="center"/>
      <protection/>
    </xf>
    <xf numFmtId="172" fontId="0" fillId="0" borderId="24" xfId="0" applyNumberFormat="1" applyFont="1" applyFill="1" applyBorder="1" applyAlignment="1" applyProtection="1">
      <alignment horizontal="center"/>
      <protection/>
    </xf>
    <xf numFmtId="0" fontId="33" fillId="0" borderId="17" xfId="0" applyFont="1" applyFill="1" applyBorder="1" applyAlignment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  <protection/>
    </xf>
    <xf numFmtId="0" fontId="33" fillId="0" borderId="23" xfId="0" applyFont="1" applyFill="1" applyBorder="1" applyAlignment="1" applyProtection="1">
      <alignment horizontal="center" vertical="center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 applyProtection="1" quotePrefix="1">
      <alignment horizontal="center" vertical="center" wrapText="1"/>
      <protection/>
    </xf>
    <xf numFmtId="0" fontId="33" fillId="0" borderId="1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/>
    </xf>
    <xf numFmtId="4" fontId="18" fillId="0" borderId="2" xfId="0" applyNumberFormat="1" applyFont="1" applyFill="1" applyBorder="1" applyAlignment="1">
      <alignment horizontal="right"/>
    </xf>
    <xf numFmtId="176" fontId="35" fillId="0" borderId="3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4" fillId="0" borderId="2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72" fontId="5" fillId="0" borderId="3" xfId="0" applyNumberFormat="1" applyFont="1" applyBorder="1" applyAlignment="1" applyProtection="1">
      <alignment horizontal="center"/>
      <protection/>
    </xf>
    <xf numFmtId="176" fontId="4" fillId="0" borderId="3" xfId="0" applyNumberFormat="1" applyFont="1" applyBorder="1" applyAlignment="1" applyProtection="1">
      <alignment horizontal="center"/>
      <protection/>
    </xf>
    <xf numFmtId="2" fontId="15" fillId="0" borderId="3" xfId="0" applyNumberFormat="1" applyFont="1" applyBorder="1" applyAlignment="1">
      <alignment horizontal="center"/>
    </xf>
    <xf numFmtId="176" fontId="5" fillId="0" borderId="3" xfId="0" applyNumberFormat="1" applyFont="1" applyBorder="1" applyAlignment="1" applyProtection="1" quotePrefix="1">
      <alignment horizontal="center"/>
      <protection/>
    </xf>
    <xf numFmtId="176" fontId="4" fillId="0" borderId="3" xfId="0" applyNumberFormat="1" applyFont="1" applyBorder="1" applyAlignment="1">
      <alignment horizontal="center"/>
    </xf>
    <xf numFmtId="176" fontId="19" fillId="0" borderId="3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10" fillId="0" borderId="22" xfId="0" applyFont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22" xfId="0" applyFont="1" applyBorder="1" applyAlignment="1">
      <alignment horizontal="centerContinuous"/>
    </xf>
    <xf numFmtId="0" fontId="32" fillId="0" borderId="21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 applyAlignment="1" applyProtection="1">
      <alignment horizontal="centerContinuous"/>
      <protection/>
    </xf>
    <xf numFmtId="0" fontId="32" fillId="0" borderId="22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 applyProtection="1">
      <alignment horizontal="left"/>
      <protection/>
    </xf>
    <xf numFmtId="0" fontId="33" fillId="0" borderId="29" xfId="0" applyFont="1" applyBorder="1" applyAlignment="1">
      <alignment horizontal="center" vertical="center" wrapText="1"/>
    </xf>
    <xf numFmtId="0" fontId="33" fillId="0" borderId="24" xfId="0" applyFont="1" applyBorder="1" applyAlignment="1" applyProtection="1">
      <alignment horizontal="center" vertical="center" wrapText="1"/>
      <protection/>
    </xf>
    <xf numFmtId="176" fontId="18" fillId="0" borderId="1" xfId="0" applyNumberFormat="1" applyFont="1" applyFill="1" applyBorder="1" applyAlignment="1">
      <alignment horizontal="center"/>
    </xf>
    <xf numFmtId="7" fontId="35" fillId="0" borderId="6" xfId="0" applyNumberFormat="1" applyFont="1" applyFill="1" applyBorder="1" applyAlignment="1">
      <alignment horizontal="right"/>
    </xf>
    <xf numFmtId="2" fontId="4" fillId="0" borderId="31" xfId="0" applyNumberFormat="1" applyFont="1" applyFill="1" applyBorder="1" applyAlignment="1" applyProtection="1" quotePrefix="1">
      <alignment horizontal="center"/>
      <protection/>
    </xf>
    <xf numFmtId="0" fontId="4" fillId="0" borderId="32" xfId="0" applyFont="1" applyBorder="1" applyAlignment="1">
      <alignment/>
    </xf>
    <xf numFmtId="0" fontId="31" fillId="0" borderId="0" xfId="0" applyFont="1" applyBorder="1" applyAlignment="1">
      <alignment/>
    </xf>
    <xf numFmtId="0" fontId="3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172" fontId="4" fillId="0" borderId="0" xfId="0" applyNumberFormat="1" applyFont="1" applyBorder="1" applyAlignment="1" applyProtection="1">
      <alignment horizontal="center"/>
      <protection/>
    </xf>
    <xf numFmtId="2" fontId="1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176" fontId="22" fillId="0" borderId="0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0" fillId="0" borderId="22" xfId="0" applyFont="1" applyBorder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22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36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 quotePrefix="1">
      <alignment horizontal="left"/>
      <protection/>
    </xf>
    <xf numFmtId="0" fontId="0" fillId="0" borderId="29" xfId="0" applyFont="1" applyBorder="1" applyAlignment="1" applyProtection="1">
      <alignment horizontal="center"/>
      <protection/>
    </xf>
    <xf numFmtId="172" fontId="0" fillId="0" borderId="24" xfId="0" applyNumberFormat="1" applyFont="1" applyBorder="1" applyAlignment="1" applyProtection="1">
      <alignment horizontal="center"/>
      <protection/>
    </xf>
    <xf numFmtId="0" fontId="33" fillId="0" borderId="17" xfId="0" applyFont="1" applyBorder="1" applyAlignment="1" applyProtection="1" quotePrefix="1">
      <alignment horizontal="center" vertical="center" wrapText="1"/>
      <protection/>
    </xf>
    <xf numFmtId="0" fontId="38" fillId="0" borderId="17" xfId="0" applyFont="1" applyFill="1" applyBorder="1" applyAlignment="1">
      <alignment horizontal="center" vertical="center" wrapText="1"/>
    </xf>
    <xf numFmtId="176" fontId="18" fillId="0" borderId="4" xfId="0" applyNumberFormat="1" applyFont="1" applyFill="1" applyBorder="1" applyAlignment="1">
      <alignment horizontal="center"/>
    </xf>
    <xf numFmtId="176" fontId="18" fillId="0" borderId="6" xfId="0" applyNumberFormat="1" applyFont="1" applyFill="1" applyBorder="1" applyAlignment="1">
      <alignment horizontal="center"/>
    </xf>
    <xf numFmtId="180" fontId="0" fillId="0" borderId="24" xfId="0" applyNumberFormat="1" applyFont="1" applyBorder="1" applyAlignment="1">
      <alignment horizontal="center"/>
    </xf>
    <xf numFmtId="7" fontId="13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41" fillId="0" borderId="36" xfId="0" applyFont="1" applyBorder="1" applyAlignment="1">
      <alignment horizontal="center"/>
    </xf>
    <xf numFmtId="0" fontId="43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>
      <alignment horizontal="center"/>
    </xf>
    <xf numFmtId="0" fontId="43" fillId="0" borderId="0" xfId="0" applyFont="1" applyBorder="1" applyAlignment="1" applyProtection="1">
      <alignment horizontal="left" vertical="top"/>
      <protection/>
    </xf>
    <xf numFmtId="0" fontId="41" fillId="0" borderId="0" xfId="0" applyFont="1" applyAlignment="1">
      <alignment/>
    </xf>
    <xf numFmtId="0" fontId="41" fillId="0" borderId="21" xfId="0" applyFont="1" applyBorder="1" applyAlignment="1">
      <alignment/>
    </xf>
    <xf numFmtId="172" fontId="44" fillId="0" borderId="0" xfId="0" applyNumberFormat="1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horizontal="center"/>
      <protection/>
    </xf>
    <xf numFmtId="173" fontId="41" fillId="0" borderId="0" xfId="0" applyNumberFormat="1" applyFont="1" applyBorder="1" applyAlignment="1" applyProtection="1">
      <alignment horizontal="center"/>
      <protection/>
    </xf>
    <xf numFmtId="176" fontId="41" fillId="0" borderId="0" xfId="0" applyNumberFormat="1" applyFont="1" applyBorder="1" applyAlignment="1" applyProtection="1">
      <alignment horizontal="center"/>
      <protection/>
    </xf>
    <xf numFmtId="179" fontId="41" fillId="0" borderId="0" xfId="0" applyNumberFormat="1" applyFont="1" applyBorder="1" applyAlignment="1" applyProtection="1" quotePrefix="1">
      <alignment horizontal="center"/>
      <protection/>
    </xf>
    <xf numFmtId="2" fontId="45" fillId="0" borderId="0" xfId="0" applyNumberFormat="1" applyFont="1" applyBorder="1" applyAlignment="1" applyProtection="1">
      <alignment horizontal="center"/>
      <protection/>
    </xf>
    <xf numFmtId="7" fontId="46" fillId="0" borderId="0" xfId="0" applyNumberFormat="1" applyFont="1" applyFill="1" applyBorder="1" applyAlignment="1" applyProtection="1">
      <alignment horizontal="right"/>
      <protection/>
    </xf>
    <xf numFmtId="4" fontId="41" fillId="0" borderId="22" xfId="0" applyNumberFormat="1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41" fillId="0" borderId="21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2" fontId="41" fillId="0" borderId="0" xfId="0" applyNumberFormat="1" applyFont="1" applyFill="1" applyBorder="1" applyAlignment="1">
      <alignment/>
    </xf>
    <xf numFmtId="7" fontId="48" fillId="0" borderId="0" xfId="0" applyNumberFormat="1" applyFont="1" applyFill="1" applyBorder="1" applyAlignment="1">
      <alignment horizontal="right"/>
    </xf>
    <xf numFmtId="4" fontId="47" fillId="0" borderId="0" xfId="0" applyNumberFormat="1" applyFont="1" applyFill="1" applyBorder="1" applyAlignment="1">
      <alignment horizontal="center"/>
    </xf>
    <xf numFmtId="0" fontId="41" fillId="0" borderId="22" xfId="0" applyFont="1" applyFill="1" applyBorder="1" applyAlignment="1">
      <alignment/>
    </xf>
    <xf numFmtId="0" fontId="41" fillId="0" borderId="0" xfId="0" applyFont="1" applyBorder="1" applyAlignment="1">
      <alignment/>
    </xf>
    <xf numFmtId="7" fontId="46" fillId="0" borderId="0" xfId="0" applyNumberFormat="1" applyFont="1" applyFill="1" applyBorder="1" applyAlignment="1">
      <alignment horizontal="right"/>
    </xf>
    <xf numFmtId="0" fontId="41" fillId="0" borderId="22" xfId="0" applyFont="1" applyBorder="1" applyAlignment="1">
      <alignment/>
    </xf>
    <xf numFmtId="0" fontId="20" fillId="0" borderId="0" xfId="0" applyFont="1" applyBorder="1" applyAlignment="1">
      <alignment/>
    </xf>
    <xf numFmtId="0" fontId="49" fillId="0" borderId="0" xfId="0" applyFont="1" applyBorder="1" applyAlignment="1" quotePrefix="1">
      <alignment horizontal="left"/>
    </xf>
    <xf numFmtId="176" fontId="16" fillId="0" borderId="0" xfId="0" applyNumberFormat="1" applyFont="1" applyBorder="1" applyAlignment="1" applyProtection="1">
      <alignment horizontal="left"/>
      <protection/>
    </xf>
    <xf numFmtId="0" fontId="50" fillId="0" borderId="0" xfId="0" applyFont="1" applyAlignment="1">
      <alignment/>
    </xf>
    <xf numFmtId="173" fontId="29" fillId="0" borderId="0" xfId="0" applyNumberFormat="1" applyFont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 horizontal="left"/>
      <protection/>
    </xf>
    <xf numFmtId="0" fontId="29" fillId="0" borderId="5" xfId="0" applyFont="1" applyBorder="1" applyAlignment="1">
      <alignment horizontal="center"/>
    </xf>
    <xf numFmtId="0" fontId="29" fillId="0" borderId="1" xfId="0" applyFont="1" applyBorder="1" applyAlignment="1">
      <alignment/>
    </xf>
    <xf numFmtId="172" fontId="29" fillId="0" borderId="2" xfId="0" applyNumberFormat="1" applyFont="1" applyBorder="1" applyAlignment="1" applyProtection="1">
      <alignment/>
      <protection/>
    </xf>
    <xf numFmtId="172" fontId="29" fillId="0" borderId="1" xfId="0" applyNumberFormat="1" applyFont="1" applyBorder="1" applyAlignment="1" applyProtection="1">
      <alignment horizontal="center"/>
      <protection/>
    </xf>
    <xf numFmtId="0" fontId="29" fillId="0" borderId="37" xfId="0" applyFont="1" applyBorder="1" applyAlignment="1">
      <alignment horizontal="center"/>
    </xf>
    <xf numFmtId="172" fontId="52" fillId="0" borderId="5" xfId="0" applyNumberFormat="1" applyFont="1" applyBorder="1" applyAlignment="1" applyProtection="1">
      <alignment horizontal="center"/>
      <protection/>
    </xf>
    <xf numFmtId="0" fontId="29" fillId="0" borderId="5" xfId="0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176" fontId="29" fillId="0" borderId="5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>
      <alignment horizontal="center"/>
    </xf>
    <xf numFmtId="172" fontId="52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 horizontal="center"/>
      <protection/>
    </xf>
    <xf numFmtId="179" fontId="29" fillId="0" borderId="0" xfId="0" applyNumberFormat="1" applyFont="1" applyBorder="1" applyAlignment="1" applyProtection="1" quotePrefix="1">
      <alignment horizontal="center"/>
      <protection/>
    </xf>
    <xf numFmtId="2" fontId="29" fillId="0" borderId="38" xfId="0" applyNumberFormat="1" applyFont="1" applyBorder="1" applyAlignment="1" applyProtection="1">
      <alignment horizontal="center"/>
      <protection/>
    </xf>
    <xf numFmtId="0" fontId="29" fillId="0" borderId="21" xfId="0" applyFont="1" applyBorder="1" applyAlignment="1">
      <alignment/>
    </xf>
    <xf numFmtId="2" fontId="53" fillId="0" borderId="0" xfId="0" applyNumberFormat="1" applyFont="1" applyBorder="1" applyAlignment="1" applyProtection="1">
      <alignment horizontal="left"/>
      <protection/>
    </xf>
    <xf numFmtId="176" fontId="53" fillId="0" borderId="0" xfId="0" applyNumberFormat="1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/>
      <protection/>
    </xf>
    <xf numFmtId="173" fontId="53" fillId="0" borderId="0" xfId="0" applyNumberFormat="1" applyFont="1" applyBorder="1" applyAlignment="1" applyProtection="1">
      <alignment horizontal="center"/>
      <protection/>
    </xf>
    <xf numFmtId="179" fontId="53" fillId="0" borderId="0" xfId="0" applyNumberFormat="1" applyFont="1" applyBorder="1" applyAlignment="1" applyProtection="1" quotePrefix="1">
      <alignment horizontal="center"/>
      <protection/>
    </xf>
    <xf numFmtId="0" fontId="53" fillId="0" borderId="0" xfId="0" applyFont="1" applyAlignment="1">
      <alignment/>
    </xf>
    <xf numFmtId="2" fontId="53" fillId="0" borderId="0" xfId="0" applyNumberFormat="1" applyFont="1" applyBorder="1" applyAlignment="1" applyProtection="1">
      <alignment horizontal="center"/>
      <protection/>
    </xf>
    <xf numFmtId="176" fontId="53" fillId="0" borderId="0" xfId="0" applyNumberFormat="1" applyFont="1" applyBorder="1" applyAlignment="1" applyProtection="1" quotePrefix="1">
      <alignment horizontal="center"/>
      <protection/>
    </xf>
    <xf numFmtId="4" fontId="53" fillId="0" borderId="0" xfId="0" applyNumberFormat="1" applyFont="1" applyBorder="1" applyAlignment="1" applyProtection="1">
      <alignment horizontal="center"/>
      <protection/>
    </xf>
    <xf numFmtId="4" fontId="29" fillId="0" borderId="2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54" fillId="0" borderId="0" xfId="0" applyNumberFormat="1" applyFont="1" applyBorder="1" applyAlignment="1" applyProtection="1">
      <alignment horizontal="left"/>
      <protection/>
    </xf>
    <xf numFmtId="2" fontId="51" fillId="0" borderId="0" xfId="0" applyNumberFormat="1" applyFont="1" applyBorder="1" applyAlignment="1" applyProtection="1">
      <alignment horizontal="center"/>
      <protection/>
    </xf>
    <xf numFmtId="176" fontId="52" fillId="0" borderId="0" xfId="0" applyNumberFormat="1" applyFont="1" applyBorder="1" applyAlignment="1" applyProtection="1" quotePrefix="1">
      <alignment horizontal="center"/>
      <protection/>
    </xf>
    <xf numFmtId="4" fontId="52" fillId="0" borderId="0" xfId="0" applyNumberFormat="1" applyFont="1" applyBorder="1" applyAlignment="1" applyProtection="1">
      <alignment horizontal="center"/>
      <protection/>
    </xf>
    <xf numFmtId="176" fontId="53" fillId="0" borderId="0" xfId="0" applyNumberFormat="1" applyFont="1" applyBorder="1" applyAlignment="1" applyProtection="1" quotePrefix="1">
      <alignment horizontal="right"/>
      <protection/>
    </xf>
    <xf numFmtId="0" fontId="29" fillId="0" borderId="0" xfId="0" applyFont="1" applyAlignment="1">
      <alignment horizontal="centerContinuous"/>
    </xf>
    <xf numFmtId="7" fontId="29" fillId="0" borderId="0" xfId="0" applyNumberFormat="1" applyFont="1" applyBorder="1" applyAlignment="1">
      <alignment horizontal="right"/>
    </xf>
    <xf numFmtId="176" fontId="30" fillId="0" borderId="0" xfId="0" applyNumberFormat="1" applyFont="1" applyBorder="1" applyAlignment="1" applyProtection="1">
      <alignment horizontal="left"/>
      <protection/>
    </xf>
    <xf numFmtId="1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Alignment="1">
      <alignment horizontal="center"/>
    </xf>
    <xf numFmtId="7" fontId="29" fillId="0" borderId="0" xfId="0" applyNumberFormat="1" applyFont="1" applyAlignment="1">
      <alignment horizontal="right"/>
    </xf>
    <xf numFmtId="0" fontId="50" fillId="0" borderId="0" xfId="0" applyFont="1" applyAlignment="1" quotePrefix="1">
      <alignment/>
    </xf>
    <xf numFmtId="7" fontId="29" fillId="0" borderId="0" xfId="0" applyNumberFormat="1" applyFont="1" applyBorder="1" applyAlignment="1" applyProtection="1">
      <alignment horizontal="center"/>
      <protection/>
    </xf>
    <xf numFmtId="7" fontId="29" fillId="0" borderId="0" xfId="0" applyNumberFormat="1" applyFont="1" applyBorder="1" applyAlignment="1" applyProtection="1">
      <alignment horizontal="left"/>
      <protection/>
    </xf>
    <xf numFmtId="0" fontId="29" fillId="0" borderId="27" xfId="0" applyFont="1" applyFill="1" applyBorder="1" applyAlignment="1">
      <alignment/>
    </xf>
    <xf numFmtId="0" fontId="0" fillId="0" borderId="19" xfId="0" applyBorder="1" applyAlignment="1">
      <alignment/>
    </xf>
    <xf numFmtId="176" fontId="4" fillId="0" borderId="0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59" fillId="3" borderId="23" xfId="0" applyFont="1" applyFill="1" applyBorder="1" applyAlignment="1" applyProtection="1">
      <alignment horizontal="centerContinuous" vertical="center" wrapText="1"/>
      <protection/>
    </xf>
    <xf numFmtId="0" fontId="60" fillId="3" borderId="29" xfId="0" applyFont="1" applyFill="1" applyBorder="1" applyAlignment="1">
      <alignment horizontal="centerContinuous"/>
    </xf>
    <xf numFmtId="0" fontId="59" fillId="3" borderId="24" xfId="0" applyFont="1" applyFill="1" applyBorder="1" applyAlignment="1">
      <alignment horizontal="centerContinuous" vertical="center"/>
    </xf>
    <xf numFmtId="0" fontId="61" fillId="3" borderId="17" xfId="0" applyFont="1" applyFill="1" applyBorder="1" applyAlignment="1" applyProtection="1">
      <alignment horizontal="center" vertical="center"/>
      <protection/>
    </xf>
    <xf numFmtId="176" fontId="62" fillId="3" borderId="1" xfId="0" applyNumberFormat="1" applyFont="1" applyFill="1" applyBorder="1" applyAlignment="1" applyProtection="1">
      <alignment horizontal="center"/>
      <protection/>
    </xf>
    <xf numFmtId="176" fontId="62" fillId="3" borderId="5" xfId="0" applyNumberFormat="1" applyFont="1" applyFill="1" applyBorder="1" applyAlignment="1" applyProtection="1">
      <alignment horizontal="center"/>
      <protection/>
    </xf>
    <xf numFmtId="4" fontId="4" fillId="0" borderId="2" xfId="0" applyNumberFormat="1" applyFont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left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>
      <alignment horizontal="center"/>
    </xf>
    <xf numFmtId="0" fontId="62" fillId="3" borderId="33" xfId="0" applyFont="1" applyFill="1" applyBorder="1" applyAlignment="1">
      <alignment horizontal="center"/>
    </xf>
    <xf numFmtId="0" fontId="62" fillId="3" borderId="4" xfId="0" applyFont="1" applyFill="1" applyBorder="1" applyAlignment="1">
      <alignment horizontal="center"/>
    </xf>
    <xf numFmtId="0" fontId="62" fillId="3" borderId="1" xfId="0" applyFont="1" applyFill="1" applyBorder="1" applyAlignment="1" applyProtection="1">
      <alignment horizontal="center"/>
      <protection/>
    </xf>
    <xf numFmtId="0" fontId="62" fillId="3" borderId="12" xfId="0" applyFont="1" applyFill="1" applyBorder="1" applyAlignment="1" applyProtection="1">
      <alignment horizontal="center"/>
      <protection/>
    </xf>
    <xf numFmtId="176" fontId="62" fillId="3" borderId="4" xfId="0" applyNumberFormat="1" applyFont="1" applyFill="1" applyBorder="1" applyAlignment="1" applyProtection="1">
      <alignment horizontal="center"/>
      <protection/>
    </xf>
    <xf numFmtId="0" fontId="62" fillId="3" borderId="0" xfId="0" applyFont="1" applyFill="1" applyBorder="1" applyAlignment="1">
      <alignment horizontal="center"/>
    </xf>
    <xf numFmtId="172" fontId="62" fillId="3" borderId="9" xfId="0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/>
    </xf>
    <xf numFmtId="0" fontId="14" fillId="0" borderId="22" xfId="0" applyFont="1" applyFill="1" applyBorder="1" applyAlignment="1">
      <alignment/>
    </xf>
    <xf numFmtId="0" fontId="33" fillId="0" borderId="17" xfId="21" applyFont="1" applyBorder="1" applyAlignment="1">
      <alignment horizontal="center" vertical="center"/>
      <protection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172" fontId="4" fillId="0" borderId="1" xfId="0" applyNumberFormat="1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4" fillId="0" borderId="39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172" fontId="4" fillId="0" borderId="39" xfId="0" applyNumberFormat="1" applyFont="1" applyBorder="1" applyAlignment="1" applyProtection="1">
      <alignment horizontal="center"/>
      <protection/>
    </xf>
    <xf numFmtId="1" fontId="4" fillId="0" borderId="41" xfId="0" applyNumberFormat="1" applyFont="1" applyBorder="1" applyAlignment="1" applyProtection="1" quotePrefix="1">
      <alignment horizontal="center"/>
      <protection/>
    </xf>
    <xf numFmtId="22" fontId="4" fillId="0" borderId="5" xfId="0" applyNumberFormat="1" applyFont="1" applyFill="1" applyBorder="1" applyAlignment="1">
      <alignment horizontal="center"/>
    </xf>
    <xf numFmtId="22" fontId="4" fillId="0" borderId="5" xfId="0" applyNumberFormat="1" applyFont="1" applyFill="1" applyBorder="1" applyAlignment="1" applyProtection="1">
      <alignment horizontal="center"/>
      <protection/>
    </xf>
    <xf numFmtId="4" fontId="4" fillId="0" borderId="5" xfId="0" applyNumberFormat="1" applyFont="1" applyFill="1" applyBorder="1" applyAlignment="1" applyProtection="1">
      <alignment horizontal="center"/>
      <protection/>
    </xf>
    <xf numFmtId="3" fontId="4" fillId="0" borderId="5" xfId="0" applyNumberFormat="1" applyFont="1" applyFill="1" applyBorder="1" applyAlignment="1" applyProtection="1">
      <alignment horizontal="center"/>
      <protection/>
    </xf>
    <xf numFmtId="176" fontId="4" fillId="0" borderId="11" xfId="0" applyNumberFormat="1" applyFont="1" applyFill="1" applyBorder="1" applyAlignment="1">
      <alignment horizontal="center"/>
    </xf>
    <xf numFmtId="4" fontId="18" fillId="0" borderId="11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 applyProtection="1" quotePrefix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22" fontId="4" fillId="0" borderId="0" xfId="0" applyNumberFormat="1" applyFont="1" applyFill="1" applyBorder="1" applyAlignment="1">
      <alignment horizontal="center"/>
    </xf>
    <xf numFmtId="22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 quotePrefix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2" fontId="1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 applyProtection="1" quotePrefix="1">
      <alignment horizontal="center"/>
      <protection/>
    </xf>
    <xf numFmtId="4" fontId="18" fillId="0" borderId="17" xfId="0" applyNumberFormat="1" applyFont="1" applyFill="1" applyBorder="1" applyAlignment="1">
      <alignment horizontal="right"/>
    </xf>
    <xf numFmtId="1" fontId="29" fillId="0" borderId="0" xfId="0" applyNumberFormat="1" applyFont="1" applyBorder="1" applyAlignment="1" applyProtection="1">
      <alignment horizontal="center"/>
      <protection/>
    </xf>
    <xf numFmtId="0" fontId="63" fillId="0" borderId="0" xfId="0" applyFont="1" applyAlignment="1">
      <alignment horizontal="centerContinuous"/>
    </xf>
    <xf numFmtId="0" fontId="33" fillId="0" borderId="0" xfId="0" applyFont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67" fillId="4" borderId="1" xfId="0" applyFont="1" applyFill="1" applyBorder="1" applyAlignment="1">
      <alignment/>
    </xf>
    <xf numFmtId="0" fontId="66" fillId="4" borderId="17" xfId="0" applyFont="1" applyFill="1" applyBorder="1" applyAlignment="1">
      <alignment horizontal="center" vertical="center" wrapText="1"/>
    </xf>
    <xf numFmtId="0" fontId="67" fillId="4" borderId="42" xfId="0" applyFont="1" applyFill="1" applyBorder="1" applyAlignment="1">
      <alignment/>
    </xf>
    <xf numFmtId="0" fontId="55" fillId="5" borderId="2" xfId="0" applyFont="1" applyFill="1" applyBorder="1" applyAlignment="1">
      <alignment/>
    </xf>
    <xf numFmtId="0" fontId="58" fillId="5" borderId="17" xfId="0" applyFont="1" applyFill="1" applyBorder="1" applyAlignment="1">
      <alignment horizontal="center" vertical="center" wrapText="1"/>
    </xf>
    <xf numFmtId="0" fontId="55" fillId="5" borderId="42" xfId="0" applyFont="1" applyFill="1" applyBorder="1" applyAlignment="1">
      <alignment/>
    </xf>
    <xf numFmtId="176" fontId="5" fillId="3" borderId="43" xfId="0" applyNumberFormat="1" applyFont="1" applyFill="1" applyBorder="1" applyAlignment="1" applyProtection="1" quotePrefix="1">
      <alignment horizontal="center"/>
      <protection/>
    </xf>
    <xf numFmtId="4" fontId="5" fillId="3" borderId="2" xfId="0" applyNumberFormat="1" applyFont="1" applyFill="1" applyBorder="1" applyAlignment="1" applyProtection="1">
      <alignment horizontal="center"/>
      <protection/>
    </xf>
    <xf numFmtId="0" fontId="69" fillId="6" borderId="23" xfId="0" applyFont="1" applyFill="1" applyBorder="1" applyAlignment="1">
      <alignment horizontal="centerContinuous" vertical="center" wrapText="1"/>
    </xf>
    <xf numFmtId="0" fontId="70" fillId="6" borderId="29" xfId="0" applyFont="1" applyFill="1" applyBorder="1" applyAlignment="1">
      <alignment horizontal="centerContinuous"/>
    </xf>
    <xf numFmtId="0" fontId="69" fillId="6" borderId="24" xfId="0" applyFont="1" applyFill="1" applyBorder="1" applyAlignment="1">
      <alignment horizontal="centerContinuous" vertical="center"/>
    </xf>
    <xf numFmtId="176" fontId="71" fillId="6" borderId="43" xfId="0" applyNumberFormat="1" applyFont="1" applyFill="1" applyBorder="1" applyAlignment="1" applyProtection="1" quotePrefix="1">
      <alignment horizontal="center"/>
      <protection/>
    </xf>
    <xf numFmtId="4" fontId="71" fillId="6" borderId="2" xfId="0" applyNumberFormat="1" applyFont="1" applyFill="1" applyBorder="1" applyAlignment="1" applyProtection="1">
      <alignment horizontal="center"/>
      <protection/>
    </xf>
    <xf numFmtId="0" fontId="4" fillId="3" borderId="44" xfId="0" applyFont="1" applyFill="1" applyBorder="1" applyAlignment="1">
      <alignment/>
    </xf>
    <xf numFmtId="0" fontId="4" fillId="3" borderId="45" xfId="0" applyFont="1" applyFill="1" applyBorder="1" applyAlignment="1">
      <alignment/>
    </xf>
    <xf numFmtId="0" fontId="4" fillId="3" borderId="46" xfId="0" applyFont="1" applyFill="1" applyBorder="1" applyAlignment="1">
      <alignment/>
    </xf>
    <xf numFmtId="0" fontId="71" fillId="6" borderId="44" xfId="0" applyFont="1" applyFill="1" applyBorder="1" applyAlignment="1">
      <alignment/>
    </xf>
    <xf numFmtId="0" fontId="71" fillId="6" borderId="45" xfId="0" applyFont="1" applyFill="1" applyBorder="1" applyAlignment="1">
      <alignment/>
    </xf>
    <xf numFmtId="0" fontId="71" fillId="6" borderId="46" xfId="0" applyFont="1" applyFill="1" applyBorder="1" applyAlignment="1">
      <alignment/>
    </xf>
    <xf numFmtId="176" fontId="71" fillId="6" borderId="13" xfId="0" applyNumberFormat="1" applyFont="1" applyFill="1" applyBorder="1" applyAlignment="1" applyProtection="1" quotePrefix="1">
      <alignment horizontal="center"/>
      <protection/>
    </xf>
    <xf numFmtId="176" fontId="5" fillId="3" borderId="13" xfId="0" applyNumberFormat="1" applyFont="1" applyFill="1" applyBorder="1" applyAlignment="1" applyProtection="1" quotePrefix="1">
      <alignment horizontal="center"/>
      <protection/>
    </xf>
    <xf numFmtId="0" fontId="4" fillId="0" borderId="42" xfId="0" applyFont="1" applyBorder="1" applyAlignment="1">
      <alignment/>
    </xf>
    <xf numFmtId="0" fontId="74" fillId="7" borderId="42" xfId="0" applyFont="1" applyFill="1" applyBorder="1" applyAlignment="1">
      <alignment/>
    </xf>
    <xf numFmtId="4" fontId="74" fillId="7" borderId="1" xfId="0" applyNumberFormat="1" applyFont="1" applyFill="1" applyBorder="1" applyAlignment="1" applyProtection="1">
      <alignment horizontal="center"/>
      <protection/>
    </xf>
    <xf numFmtId="0" fontId="73" fillId="7" borderId="17" xfId="0" applyFont="1" applyFill="1" applyBorder="1" applyAlignment="1">
      <alignment horizontal="center" vertical="center" wrapText="1"/>
    </xf>
    <xf numFmtId="0" fontId="76" fillId="8" borderId="17" xfId="0" applyFont="1" applyFill="1" applyBorder="1" applyAlignment="1">
      <alignment horizontal="center" vertical="center" wrapText="1"/>
    </xf>
    <xf numFmtId="0" fontId="77" fillId="8" borderId="42" xfId="0" applyFont="1" applyFill="1" applyBorder="1" applyAlignment="1">
      <alignment/>
    </xf>
    <xf numFmtId="4" fontId="77" fillId="8" borderId="1" xfId="0" applyNumberFormat="1" applyFont="1" applyFill="1" applyBorder="1" applyAlignment="1" applyProtection="1">
      <alignment horizontal="center"/>
      <protection/>
    </xf>
    <xf numFmtId="2" fontId="68" fillId="4" borderId="17" xfId="0" applyNumberFormat="1" applyFont="1" applyFill="1" applyBorder="1" applyAlignment="1" applyProtection="1">
      <alignment horizontal="center"/>
      <protection/>
    </xf>
    <xf numFmtId="2" fontId="56" fillId="5" borderId="17" xfId="0" applyNumberFormat="1" applyFont="1" applyFill="1" applyBorder="1" applyAlignment="1" applyProtection="1">
      <alignment horizontal="center"/>
      <protection/>
    </xf>
    <xf numFmtId="2" fontId="57" fillId="3" borderId="17" xfId="0" applyNumberFormat="1" applyFont="1" applyFill="1" applyBorder="1" applyAlignment="1" applyProtection="1">
      <alignment horizontal="center"/>
      <protection/>
    </xf>
    <xf numFmtId="2" fontId="72" fillId="6" borderId="17" xfId="0" applyNumberFormat="1" applyFont="1" applyFill="1" applyBorder="1" applyAlignment="1" applyProtection="1">
      <alignment horizontal="center"/>
      <protection/>
    </xf>
    <xf numFmtId="2" fontId="75" fillId="7" borderId="17" xfId="0" applyNumberFormat="1" applyFont="1" applyFill="1" applyBorder="1" applyAlignment="1" applyProtection="1">
      <alignment horizontal="center"/>
      <protection/>
    </xf>
    <xf numFmtId="2" fontId="78" fillId="8" borderId="17" xfId="0" applyNumberFormat="1" applyFont="1" applyFill="1" applyBorder="1" applyAlignment="1" applyProtection="1">
      <alignment horizontal="center"/>
      <protection/>
    </xf>
    <xf numFmtId="0" fontId="80" fillId="9" borderId="1" xfId="0" applyFont="1" applyFill="1" applyBorder="1" applyAlignment="1">
      <alignment/>
    </xf>
    <xf numFmtId="0" fontId="80" fillId="9" borderId="5" xfId="0" applyFont="1" applyFill="1" applyBorder="1" applyAlignment="1" applyProtection="1">
      <alignment horizontal="center"/>
      <protection/>
    </xf>
    <xf numFmtId="0" fontId="81" fillId="10" borderId="17" xfId="0" applyFont="1" applyFill="1" applyBorder="1" applyAlignment="1" applyProtection="1">
      <alignment horizontal="center" vertical="center"/>
      <protection/>
    </xf>
    <xf numFmtId="0" fontId="82" fillId="10" borderId="1" xfId="0" applyFont="1" applyFill="1" applyBorder="1" applyAlignment="1">
      <alignment/>
    </xf>
    <xf numFmtId="172" fontId="33" fillId="0" borderId="17" xfId="0" applyNumberFormat="1" applyFont="1" applyBorder="1" applyAlignment="1" applyProtection="1">
      <alignment horizontal="center" vertical="center" wrapText="1"/>
      <protection/>
    </xf>
    <xf numFmtId="176" fontId="79" fillId="9" borderId="17" xfId="0" applyNumberFormat="1" applyFont="1" applyFill="1" applyBorder="1" applyAlignment="1" applyProtection="1">
      <alignment horizontal="center" vertical="center"/>
      <protection/>
    </xf>
    <xf numFmtId="172" fontId="4" fillId="0" borderId="1" xfId="0" applyNumberFormat="1" applyFont="1" applyBorder="1" applyAlignment="1" applyProtection="1">
      <alignment horizontal="center"/>
      <protection/>
    </xf>
    <xf numFmtId="0" fontId="80" fillId="9" borderId="1" xfId="0" applyFont="1" applyFill="1" applyBorder="1" applyAlignment="1" applyProtection="1">
      <alignment horizontal="center"/>
      <protection/>
    </xf>
    <xf numFmtId="0" fontId="80" fillId="9" borderId="42" xfId="0" applyFont="1" applyFill="1" applyBorder="1" applyAlignment="1">
      <alignment/>
    </xf>
    <xf numFmtId="0" fontId="82" fillId="10" borderId="42" xfId="0" applyFont="1" applyFill="1" applyBorder="1" applyAlignment="1">
      <alignment/>
    </xf>
    <xf numFmtId="0" fontId="4" fillId="0" borderId="42" xfId="0" applyFont="1" applyBorder="1" applyAlignment="1">
      <alignment horizontal="center"/>
    </xf>
    <xf numFmtId="176" fontId="61" fillId="3" borderId="17" xfId="0" applyNumberFormat="1" applyFont="1" applyFill="1" applyBorder="1" applyAlignment="1" applyProtection="1">
      <alignment horizontal="center" vertical="center"/>
      <protection/>
    </xf>
    <xf numFmtId="0" fontId="62" fillId="3" borderId="47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172" fontId="4" fillId="0" borderId="47" xfId="0" applyNumberFormat="1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>
      <alignment horizontal="center"/>
    </xf>
    <xf numFmtId="0" fontId="83" fillId="11" borderId="17" xfId="0" applyFont="1" applyFill="1" applyBorder="1" applyAlignment="1" applyProtection="1">
      <alignment horizontal="center" vertical="center"/>
      <protection/>
    </xf>
    <xf numFmtId="0" fontId="85" fillId="11" borderId="47" xfId="0" applyFont="1" applyFill="1" applyBorder="1" applyAlignment="1">
      <alignment horizontal="center"/>
    </xf>
    <xf numFmtId="0" fontId="85" fillId="11" borderId="4" xfId="0" applyFont="1" applyFill="1" applyBorder="1" applyAlignment="1">
      <alignment horizontal="center"/>
    </xf>
    <xf numFmtId="172" fontId="85" fillId="11" borderId="1" xfId="0" applyNumberFormat="1" applyFont="1" applyFill="1" applyBorder="1" applyAlignment="1" applyProtection="1">
      <alignment horizontal="center"/>
      <protection/>
    </xf>
    <xf numFmtId="172" fontId="85" fillId="11" borderId="5" xfId="0" applyNumberFormat="1" applyFont="1" applyFill="1" applyBorder="1" applyAlignment="1" applyProtection="1">
      <alignment horizontal="center"/>
      <protection/>
    </xf>
    <xf numFmtId="0" fontId="86" fillId="7" borderId="17" xfId="0" applyFont="1" applyFill="1" applyBorder="1" applyAlignment="1">
      <alignment horizontal="center" vertical="center" wrapText="1"/>
    </xf>
    <xf numFmtId="0" fontId="87" fillId="7" borderId="47" xfId="0" applyFont="1" applyFill="1" applyBorder="1" applyAlignment="1">
      <alignment horizontal="center"/>
    </xf>
    <xf numFmtId="0" fontId="87" fillId="7" borderId="4" xfId="0" applyFont="1" applyFill="1" applyBorder="1" applyAlignment="1">
      <alignment horizontal="center"/>
    </xf>
    <xf numFmtId="2" fontId="87" fillId="7" borderId="1" xfId="0" applyNumberFormat="1" applyFont="1" applyFill="1" applyBorder="1" applyAlignment="1">
      <alignment horizontal="center"/>
    </xf>
    <xf numFmtId="2" fontId="87" fillId="7" borderId="5" xfId="0" applyNumberFormat="1" applyFont="1" applyFill="1" applyBorder="1" applyAlignment="1">
      <alignment horizontal="center"/>
    </xf>
    <xf numFmtId="4" fontId="87" fillId="7" borderId="17" xfId="0" applyNumberFormat="1" applyFont="1" applyFill="1" applyBorder="1" applyAlignment="1">
      <alignment horizontal="center"/>
    </xf>
    <xf numFmtId="0" fontId="88" fillId="5" borderId="17" xfId="0" applyFont="1" applyFill="1" applyBorder="1" applyAlignment="1">
      <alignment horizontal="center" vertical="center" wrapText="1"/>
    </xf>
    <xf numFmtId="0" fontId="89" fillId="5" borderId="47" xfId="0" applyFont="1" applyFill="1" applyBorder="1" applyAlignment="1">
      <alignment horizontal="center"/>
    </xf>
    <xf numFmtId="0" fontId="89" fillId="5" borderId="4" xfId="0" applyFont="1" applyFill="1" applyBorder="1" applyAlignment="1">
      <alignment horizontal="center"/>
    </xf>
    <xf numFmtId="2" fontId="89" fillId="5" borderId="1" xfId="0" applyNumberFormat="1" applyFont="1" applyFill="1" applyBorder="1" applyAlignment="1">
      <alignment horizontal="center"/>
    </xf>
    <xf numFmtId="2" fontId="89" fillId="5" borderId="5" xfId="0" applyNumberFormat="1" applyFont="1" applyFill="1" applyBorder="1" applyAlignment="1">
      <alignment horizontal="center"/>
    </xf>
    <xf numFmtId="4" fontId="89" fillId="5" borderId="17" xfId="0" applyNumberFormat="1" applyFont="1" applyFill="1" applyBorder="1" applyAlignment="1">
      <alignment horizontal="center"/>
    </xf>
    <xf numFmtId="0" fontId="57" fillId="3" borderId="44" xfId="0" applyFont="1" applyFill="1" applyBorder="1" applyAlignment="1">
      <alignment horizontal="center"/>
    </xf>
    <xf numFmtId="0" fontId="57" fillId="3" borderId="46" xfId="0" applyFont="1" applyFill="1" applyBorder="1" applyAlignment="1">
      <alignment horizontal="center"/>
    </xf>
    <xf numFmtId="0" fontId="57" fillId="3" borderId="16" xfId="0" applyFont="1" applyFill="1" applyBorder="1" applyAlignment="1">
      <alignment horizontal="center"/>
    </xf>
    <xf numFmtId="0" fontId="57" fillId="3" borderId="10" xfId="0" applyFont="1" applyFill="1" applyBorder="1" applyAlignment="1">
      <alignment horizontal="center"/>
    </xf>
    <xf numFmtId="176" fontId="57" fillId="3" borderId="16" xfId="0" applyNumberFormat="1" applyFont="1" applyFill="1" applyBorder="1" applyAlignment="1" applyProtection="1" quotePrefix="1">
      <alignment horizontal="center"/>
      <protection/>
    </xf>
    <xf numFmtId="176" fontId="57" fillId="3" borderId="10" xfId="0" applyNumberFormat="1" applyFont="1" applyFill="1" applyBorder="1" applyAlignment="1" applyProtection="1" quotePrefix="1">
      <alignment horizontal="center"/>
      <protection/>
    </xf>
    <xf numFmtId="176" fontId="57" fillId="3" borderId="48" xfId="0" applyNumberFormat="1" applyFont="1" applyFill="1" applyBorder="1" applyAlignment="1" applyProtection="1" quotePrefix="1">
      <alignment horizontal="center"/>
      <protection/>
    </xf>
    <xf numFmtId="176" fontId="57" fillId="3" borderId="41" xfId="0" applyNumberFormat="1" applyFont="1" applyFill="1" applyBorder="1" applyAlignment="1" applyProtection="1" quotePrefix="1">
      <alignment horizontal="center"/>
      <protection/>
    </xf>
    <xf numFmtId="4" fontId="57" fillId="3" borderId="49" xfId="0" applyNumberFormat="1" applyFont="1" applyFill="1" applyBorder="1" applyAlignment="1">
      <alignment horizontal="center"/>
    </xf>
    <xf numFmtId="4" fontId="57" fillId="3" borderId="24" xfId="0" applyNumberFormat="1" applyFont="1" applyFill="1" applyBorder="1" applyAlignment="1">
      <alignment horizontal="center"/>
    </xf>
    <xf numFmtId="0" fontId="90" fillId="12" borderId="23" xfId="0" applyFont="1" applyFill="1" applyBorder="1" applyAlignment="1" applyProtection="1">
      <alignment horizontal="centerContinuous" vertical="center" wrapText="1"/>
      <protection/>
    </xf>
    <xf numFmtId="0" fontId="90" fillId="12" borderId="24" xfId="0" applyFont="1" applyFill="1" applyBorder="1" applyAlignment="1">
      <alignment horizontal="centerContinuous" vertical="center"/>
    </xf>
    <xf numFmtId="0" fontId="91" fillId="12" borderId="50" xfId="0" applyFont="1" applyFill="1" applyBorder="1" applyAlignment="1">
      <alignment horizontal="center"/>
    </xf>
    <xf numFmtId="0" fontId="91" fillId="12" borderId="51" xfId="0" applyFont="1" applyFill="1" applyBorder="1" applyAlignment="1">
      <alignment horizontal="center"/>
    </xf>
    <xf numFmtId="0" fontId="91" fillId="12" borderId="16" xfId="0" applyFont="1" applyFill="1" applyBorder="1" applyAlignment="1">
      <alignment horizontal="center"/>
    </xf>
    <xf numFmtId="0" fontId="91" fillId="12" borderId="10" xfId="0" applyFont="1" applyFill="1" applyBorder="1" applyAlignment="1">
      <alignment horizontal="center"/>
    </xf>
    <xf numFmtId="176" fontId="91" fillId="12" borderId="16" xfId="0" applyNumberFormat="1" applyFont="1" applyFill="1" applyBorder="1" applyAlignment="1" applyProtection="1" quotePrefix="1">
      <alignment horizontal="center"/>
      <protection/>
    </xf>
    <xf numFmtId="176" fontId="91" fillId="12" borderId="10" xfId="0" applyNumberFormat="1" applyFont="1" applyFill="1" applyBorder="1" applyAlignment="1" applyProtection="1" quotePrefix="1">
      <alignment horizontal="center"/>
      <protection/>
    </xf>
    <xf numFmtId="176" fontId="91" fillId="12" borderId="52" xfId="0" applyNumberFormat="1" applyFont="1" applyFill="1" applyBorder="1" applyAlignment="1" applyProtection="1" quotePrefix="1">
      <alignment horizontal="center"/>
      <protection/>
    </xf>
    <xf numFmtId="176" fontId="91" fillId="12" borderId="53" xfId="0" applyNumberFormat="1" applyFont="1" applyFill="1" applyBorder="1" applyAlignment="1" applyProtection="1" quotePrefix="1">
      <alignment horizontal="center"/>
      <protection/>
    </xf>
    <xf numFmtId="4" fontId="91" fillId="12" borderId="49" xfId="0" applyNumberFormat="1" applyFont="1" applyFill="1" applyBorder="1" applyAlignment="1">
      <alignment horizontal="center"/>
    </xf>
    <xf numFmtId="4" fontId="91" fillId="12" borderId="54" xfId="0" applyNumberFormat="1" applyFont="1" applyFill="1" applyBorder="1" applyAlignment="1">
      <alignment horizontal="center"/>
    </xf>
    <xf numFmtId="0" fontId="90" fillId="12" borderId="17" xfId="0" applyFont="1" applyFill="1" applyBorder="1" applyAlignment="1">
      <alignment horizontal="center" vertical="center" wrapText="1"/>
    </xf>
    <xf numFmtId="0" fontId="66" fillId="13" borderId="17" xfId="0" applyFont="1" applyFill="1" applyBorder="1" applyAlignment="1">
      <alignment horizontal="center" vertical="center" wrapText="1"/>
    </xf>
    <xf numFmtId="0" fontId="68" fillId="13" borderId="47" xfId="0" applyFont="1" applyFill="1" applyBorder="1" applyAlignment="1">
      <alignment horizontal="center"/>
    </xf>
    <xf numFmtId="0" fontId="68" fillId="13" borderId="4" xfId="0" applyFont="1" applyFill="1" applyBorder="1" applyAlignment="1">
      <alignment horizontal="center"/>
    </xf>
    <xf numFmtId="176" fontId="68" fillId="13" borderId="1" xfId="0" applyNumberFormat="1" applyFont="1" applyFill="1" applyBorder="1" applyAlignment="1" applyProtection="1" quotePrefix="1">
      <alignment horizontal="center"/>
      <protection/>
    </xf>
    <xf numFmtId="176" fontId="68" fillId="13" borderId="5" xfId="0" applyNumberFormat="1" applyFont="1" applyFill="1" applyBorder="1" applyAlignment="1" applyProtection="1" quotePrefix="1">
      <alignment horizontal="center"/>
      <protection/>
    </xf>
    <xf numFmtId="0" fontId="92" fillId="7" borderId="17" xfId="0" applyFont="1" applyFill="1" applyBorder="1" applyAlignment="1">
      <alignment horizontal="center" vertical="center" wrapText="1"/>
    </xf>
    <xf numFmtId="0" fontId="93" fillId="7" borderId="47" xfId="0" applyFont="1" applyFill="1" applyBorder="1" applyAlignment="1">
      <alignment horizontal="center"/>
    </xf>
    <xf numFmtId="0" fontId="93" fillId="7" borderId="4" xfId="0" applyFont="1" applyFill="1" applyBorder="1" applyAlignment="1">
      <alignment horizontal="center"/>
    </xf>
    <xf numFmtId="176" fontId="93" fillId="7" borderId="4" xfId="0" applyNumberFormat="1" applyFont="1" applyFill="1" applyBorder="1" applyAlignment="1" applyProtection="1" quotePrefix="1">
      <alignment horizontal="center"/>
      <protection/>
    </xf>
    <xf numFmtId="176" fontId="93" fillId="7" borderId="5" xfId="0" applyNumberFormat="1" applyFont="1" applyFill="1" applyBorder="1" applyAlignment="1" applyProtection="1" quotePrefix="1">
      <alignment horizontal="center"/>
      <protection/>
    </xf>
    <xf numFmtId="0" fontId="85" fillId="10" borderId="1" xfId="0" applyFont="1" applyFill="1" applyBorder="1" applyAlignment="1" applyProtection="1">
      <alignment horizontal="center"/>
      <protection/>
    </xf>
    <xf numFmtId="0" fontId="83" fillId="10" borderId="17" xfId="0" applyFont="1" applyFill="1" applyBorder="1" applyAlignment="1" applyProtection="1">
      <alignment horizontal="center" vertical="center"/>
      <protection/>
    </xf>
    <xf numFmtId="172" fontId="85" fillId="10" borderId="1" xfId="0" applyNumberFormat="1" applyFont="1" applyFill="1" applyBorder="1" applyAlignment="1" applyProtection="1">
      <alignment horizontal="center"/>
      <protection/>
    </xf>
    <xf numFmtId="0" fontId="85" fillId="10" borderId="42" xfId="0" applyFont="1" applyFill="1" applyBorder="1" applyAlignment="1" applyProtection="1">
      <alignment horizontal="center"/>
      <protection/>
    </xf>
    <xf numFmtId="0" fontId="91" fillId="12" borderId="1" xfId="0" applyFont="1" applyFill="1" applyBorder="1" applyAlignment="1" applyProtection="1">
      <alignment horizontal="center"/>
      <protection/>
    </xf>
    <xf numFmtId="2" fontId="91" fillId="12" borderId="1" xfId="0" applyNumberFormat="1" applyFont="1" applyFill="1" applyBorder="1" applyAlignment="1">
      <alignment horizontal="center"/>
    </xf>
    <xf numFmtId="0" fontId="91" fillId="12" borderId="42" xfId="0" applyFont="1" applyFill="1" applyBorder="1" applyAlignment="1" applyProtection="1">
      <alignment horizontal="center"/>
      <protection/>
    </xf>
    <xf numFmtId="4" fontId="91" fillId="12" borderId="17" xfId="0" applyNumberFormat="1" applyFont="1" applyFill="1" applyBorder="1" applyAlignment="1">
      <alignment horizontal="center"/>
    </xf>
    <xf numFmtId="0" fontId="58" fillId="5" borderId="23" xfId="0" applyFont="1" applyFill="1" applyBorder="1" applyAlignment="1" applyProtection="1">
      <alignment horizontal="centerContinuous" vertical="center" wrapText="1"/>
      <protection/>
    </xf>
    <xf numFmtId="0" fontId="58" fillId="5" borderId="24" xfId="0" applyFont="1" applyFill="1" applyBorder="1" applyAlignment="1">
      <alignment horizontal="centerContinuous" vertical="center"/>
    </xf>
    <xf numFmtId="176" fontId="56" fillId="5" borderId="44" xfId="0" applyNumberFormat="1" applyFont="1" applyFill="1" applyBorder="1" applyAlignment="1" applyProtection="1" quotePrefix="1">
      <alignment horizontal="center"/>
      <protection/>
    </xf>
    <xf numFmtId="176" fontId="56" fillId="5" borderId="46" xfId="0" applyNumberFormat="1" applyFont="1" applyFill="1" applyBorder="1" applyAlignment="1" applyProtection="1" quotePrefix="1">
      <alignment horizontal="center"/>
      <protection/>
    </xf>
    <xf numFmtId="176" fontId="56" fillId="5" borderId="13" xfId="0" applyNumberFormat="1" applyFont="1" applyFill="1" applyBorder="1" applyAlignment="1" applyProtection="1" quotePrefix="1">
      <alignment horizontal="center"/>
      <protection/>
    </xf>
    <xf numFmtId="176" fontId="56" fillId="5" borderId="55" xfId="0" applyNumberFormat="1" applyFont="1" applyFill="1" applyBorder="1" applyAlignment="1" applyProtection="1" quotePrefix="1">
      <alignment horizontal="center"/>
      <protection/>
    </xf>
    <xf numFmtId="4" fontId="56" fillId="5" borderId="49" xfId="0" applyNumberFormat="1" applyFont="1" applyFill="1" applyBorder="1" applyAlignment="1">
      <alignment horizontal="center"/>
    </xf>
    <xf numFmtId="4" fontId="56" fillId="5" borderId="54" xfId="0" applyNumberFormat="1" applyFont="1" applyFill="1" applyBorder="1" applyAlignment="1">
      <alignment horizontal="center"/>
    </xf>
    <xf numFmtId="176" fontId="84" fillId="4" borderId="1" xfId="0" applyNumberFormat="1" applyFont="1" applyFill="1" applyBorder="1" applyAlignment="1" applyProtection="1" quotePrefix="1">
      <alignment horizontal="center"/>
      <protection/>
    </xf>
    <xf numFmtId="4" fontId="84" fillId="4" borderId="17" xfId="0" applyNumberFormat="1" applyFont="1" applyFill="1" applyBorder="1" applyAlignment="1">
      <alignment horizontal="center"/>
    </xf>
    <xf numFmtId="0" fontId="83" fillId="4" borderId="17" xfId="0" applyFont="1" applyFill="1" applyBorder="1" applyAlignment="1">
      <alignment horizontal="center" vertical="center" wrapText="1"/>
    </xf>
    <xf numFmtId="176" fontId="84" fillId="4" borderId="42" xfId="0" applyNumberFormat="1" applyFont="1" applyFill="1" applyBorder="1" applyAlignment="1" applyProtection="1" quotePrefix="1">
      <alignment horizontal="center"/>
      <protection/>
    </xf>
    <xf numFmtId="0" fontId="38" fillId="7" borderId="17" xfId="0" applyFont="1" applyFill="1" applyBorder="1" applyAlignment="1">
      <alignment horizontal="center" vertical="center" wrapText="1"/>
    </xf>
    <xf numFmtId="0" fontId="94" fillId="7" borderId="47" xfId="0" applyFont="1" applyFill="1" applyBorder="1" applyAlignment="1">
      <alignment horizontal="center"/>
    </xf>
    <xf numFmtId="2" fontId="94" fillId="7" borderId="4" xfId="0" applyNumberFormat="1" applyFont="1" applyFill="1" applyBorder="1" applyAlignment="1">
      <alignment horizontal="center"/>
    </xf>
    <xf numFmtId="4" fontId="94" fillId="7" borderId="17" xfId="0" applyNumberFormat="1" applyFont="1" applyFill="1" applyBorder="1" applyAlignment="1">
      <alignment horizontal="center"/>
    </xf>
    <xf numFmtId="0" fontId="66" fillId="14" borderId="23" xfId="0" applyFont="1" applyFill="1" applyBorder="1" applyAlignment="1" applyProtection="1">
      <alignment horizontal="centerContinuous" vertical="center" wrapText="1"/>
      <protection/>
    </xf>
    <xf numFmtId="0" fontId="66" fillId="14" borderId="24" xfId="0" applyFont="1" applyFill="1" applyBorder="1" applyAlignment="1">
      <alignment horizontal="centerContinuous" vertical="center"/>
    </xf>
    <xf numFmtId="0" fontId="68" fillId="14" borderId="44" xfId="0" applyFont="1" applyFill="1" applyBorder="1" applyAlignment="1">
      <alignment horizontal="center"/>
    </xf>
    <xf numFmtId="0" fontId="68" fillId="14" borderId="46" xfId="0" applyFont="1" applyFill="1" applyBorder="1" applyAlignment="1">
      <alignment horizontal="center"/>
    </xf>
    <xf numFmtId="176" fontId="68" fillId="14" borderId="16" xfId="0" applyNumberFormat="1" applyFont="1" applyFill="1" applyBorder="1" applyAlignment="1" applyProtection="1" quotePrefix="1">
      <alignment horizontal="center"/>
      <protection/>
    </xf>
    <xf numFmtId="176" fontId="68" fillId="14" borderId="10" xfId="0" applyNumberFormat="1" applyFont="1" applyFill="1" applyBorder="1" applyAlignment="1" applyProtection="1" quotePrefix="1">
      <alignment horizontal="center"/>
      <protection/>
    </xf>
    <xf numFmtId="4" fontId="68" fillId="14" borderId="49" xfId="0" applyNumberFormat="1" applyFont="1" applyFill="1" applyBorder="1" applyAlignment="1">
      <alignment horizontal="center"/>
    </xf>
    <xf numFmtId="4" fontId="68" fillId="14" borderId="24" xfId="0" applyNumberFormat="1" applyFont="1" applyFill="1" applyBorder="1" applyAlignment="1">
      <alignment horizontal="center"/>
    </xf>
    <xf numFmtId="0" fontId="69" fillId="5" borderId="17" xfId="0" applyFont="1" applyFill="1" applyBorder="1" applyAlignment="1">
      <alignment horizontal="center" vertical="center" wrapText="1"/>
    </xf>
    <xf numFmtId="0" fontId="72" fillId="5" borderId="47" xfId="0" applyFont="1" applyFill="1" applyBorder="1" applyAlignment="1">
      <alignment horizontal="center"/>
    </xf>
    <xf numFmtId="176" fontId="72" fillId="5" borderId="4" xfId="0" applyNumberFormat="1" applyFont="1" applyFill="1" applyBorder="1" applyAlignment="1" applyProtection="1" quotePrefix="1">
      <alignment horizontal="center"/>
      <protection/>
    </xf>
    <xf numFmtId="4" fontId="72" fillId="5" borderId="17" xfId="0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172" fontId="62" fillId="3" borderId="1" xfId="0" applyNumberFormat="1" applyFont="1" applyFill="1" applyBorder="1" applyAlignment="1" applyProtection="1">
      <alignment horizontal="center"/>
      <protection/>
    </xf>
    <xf numFmtId="172" fontId="62" fillId="3" borderId="5" xfId="0" applyNumberFormat="1" applyFont="1" applyFill="1" applyBorder="1" applyAlignment="1" applyProtection="1">
      <alignment horizontal="center"/>
      <protection/>
    </xf>
    <xf numFmtId="4" fontId="68" fillId="13" borderId="17" xfId="0" applyNumberFormat="1" applyFont="1" applyFill="1" applyBorder="1" applyAlignment="1">
      <alignment horizontal="center"/>
    </xf>
    <xf numFmtId="4" fontId="93" fillId="7" borderId="17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176" fontId="85" fillId="4" borderId="5" xfId="0" applyNumberFormat="1" applyFont="1" applyFill="1" applyBorder="1" applyAlignment="1" applyProtection="1" quotePrefix="1">
      <alignment horizontal="center"/>
      <protection/>
    </xf>
    <xf numFmtId="173" fontId="95" fillId="3" borderId="5" xfId="0" applyNumberFormat="1" applyFont="1" applyFill="1" applyBorder="1" applyAlignment="1" applyProtection="1">
      <alignment horizontal="center"/>
      <protection/>
    </xf>
    <xf numFmtId="176" fontId="96" fillId="10" borderId="1" xfId="0" applyNumberFormat="1" applyFont="1" applyFill="1" applyBorder="1" applyAlignment="1" applyProtection="1">
      <alignment horizontal="center"/>
      <protection/>
    </xf>
    <xf numFmtId="176" fontId="96" fillId="10" borderId="5" xfId="0" applyNumberFormat="1" applyFont="1" applyFill="1" applyBorder="1" applyAlignment="1" applyProtection="1">
      <alignment horizontal="center"/>
      <protection/>
    </xf>
    <xf numFmtId="0" fontId="29" fillId="0" borderId="42" xfId="0" applyFont="1" applyBorder="1" applyAlignment="1">
      <alignment horizontal="center"/>
    </xf>
    <xf numFmtId="0" fontId="95" fillId="3" borderId="1" xfId="0" applyFont="1" applyFill="1" applyBorder="1" applyAlignment="1" applyProtection="1">
      <alignment horizontal="center"/>
      <protection/>
    </xf>
    <xf numFmtId="172" fontId="29" fillId="0" borderId="42" xfId="0" applyNumberFormat="1" applyFont="1" applyBorder="1" applyAlignment="1" applyProtection="1">
      <alignment horizontal="center"/>
      <protection/>
    </xf>
    <xf numFmtId="172" fontId="95" fillId="3" borderId="42" xfId="0" applyNumberFormat="1" applyFont="1" applyFill="1" applyBorder="1" applyAlignment="1" applyProtection="1">
      <alignment horizontal="center"/>
      <protection/>
    </xf>
    <xf numFmtId="0" fontId="96" fillId="10" borderId="42" xfId="0" applyFont="1" applyFill="1" applyBorder="1" applyAlignment="1">
      <alignment horizontal="center"/>
    </xf>
    <xf numFmtId="2" fontId="96" fillId="11" borderId="17" xfId="0" applyNumberFormat="1" applyFont="1" applyFill="1" applyBorder="1" applyAlignment="1" applyProtection="1">
      <alignment horizontal="center"/>
      <protection/>
    </xf>
    <xf numFmtId="2" fontId="21" fillId="15" borderId="17" xfId="0" applyNumberFormat="1" applyFont="1" applyFill="1" applyBorder="1" applyAlignment="1" applyProtection="1">
      <alignment horizontal="center"/>
      <protection/>
    </xf>
    <xf numFmtId="0" fontId="97" fillId="4" borderId="23" xfId="0" applyFont="1" applyFill="1" applyBorder="1" applyAlignment="1" applyProtection="1">
      <alignment horizontal="centerContinuous" vertical="center" wrapText="1"/>
      <protection/>
    </xf>
    <xf numFmtId="0" fontId="98" fillId="4" borderId="29" xfId="0" applyFont="1" applyFill="1" applyBorder="1" applyAlignment="1">
      <alignment horizontal="centerContinuous"/>
    </xf>
    <xf numFmtId="0" fontId="97" fillId="4" borderId="24" xfId="0" applyFont="1" applyFill="1" applyBorder="1" applyAlignment="1">
      <alignment horizontal="centerContinuous" vertical="center"/>
    </xf>
    <xf numFmtId="2" fontId="99" fillId="4" borderId="17" xfId="0" applyNumberFormat="1" applyFont="1" applyFill="1" applyBorder="1" applyAlignment="1" applyProtection="1">
      <alignment horizontal="center"/>
      <protection/>
    </xf>
    <xf numFmtId="0" fontId="83" fillId="11" borderId="17" xfId="0" applyFont="1" applyFill="1" applyBorder="1" applyAlignment="1">
      <alignment horizontal="center" vertical="center" wrapText="1"/>
    </xf>
    <xf numFmtId="0" fontId="38" fillId="15" borderId="17" xfId="0" applyFont="1" applyFill="1" applyBorder="1" applyAlignment="1">
      <alignment horizontal="center" vertical="center" wrapText="1"/>
    </xf>
    <xf numFmtId="0" fontId="83" fillId="16" borderId="23" xfId="0" applyFont="1" applyFill="1" applyBorder="1" applyAlignment="1">
      <alignment horizontal="centerContinuous" vertical="center" wrapText="1"/>
    </xf>
    <xf numFmtId="0" fontId="100" fillId="16" borderId="29" xfId="0" applyFont="1" applyFill="1" applyBorder="1" applyAlignment="1">
      <alignment horizontal="centerContinuous"/>
    </xf>
    <xf numFmtId="0" fontId="83" fillId="16" borderId="24" xfId="0" applyFont="1" applyFill="1" applyBorder="1" applyAlignment="1">
      <alignment horizontal="centerContinuous" vertical="center"/>
    </xf>
    <xf numFmtId="2" fontId="96" fillId="16" borderId="17" xfId="0" applyNumberFormat="1" applyFont="1" applyFill="1" applyBorder="1" applyAlignment="1" applyProtection="1">
      <alignment horizontal="center"/>
      <protection/>
    </xf>
    <xf numFmtId="0" fontId="83" fillId="7" borderId="17" xfId="0" applyFont="1" applyFill="1" applyBorder="1" applyAlignment="1">
      <alignment horizontal="centerContinuous" vertical="center" wrapText="1"/>
    </xf>
    <xf numFmtId="2" fontId="96" fillId="7" borderId="17" xfId="0" applyNumberFormat="1" applyFont="1" applyFill="1" applyBorder="1" applyAlignment="1" applyProtection="1">
      <alignment horizontal="center"/>
      <protection/>
    </xf>
    <xf numFmtId="0" fontId="83" fillId="17" borderId="17" xfId="0" applyFont="1" applyFill="1" applyBorder="1" applyAlignment="1">
      <alignment horizontal="centerContinuous" vertical="center" wrapText="1"/>
    </xf>
    <xf numFmtId="2" fontId="96" fillId="17" borderId="17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 horizontal="centerContinuous"/>
      <protection/>
    </xf>
    <xf numFmtId="0" fontId="65" fillId="3" borderId="1" xfId="0" applyFont="1" applyFill="1" applyBorder="1" applyAlignment="1">
      <alignment horizontal="center"/>
    </xf>
    <xf numFmtId="176" fontId="65" fillId="3" borderId="1" xfId="0" applyNumberFormat="1" applyFont="1" applyFill="1" applyBorder="1" applyAlignment="1" applyProtection="1">
      <alignment horizontal="center"/>
      <protection/>
    </xf>
    <xf numFmtId="176" fontId="65" fillId="3" borderId="5" xfId="0" applyNumberFormat="1" applyFont="1" applyFill="1" applyBorder="1" applyAlignment="1" applyProtection="1">
      <alignment horizontal="center"/>
      <protection/>
    </xf>
    <xf numFmtId="7" fontId="16" fillId="0" borderId="42" xfId="0" applyNumberFormat="1" applyFont="1" applyBorder="1" applyAlignment="1">
      <alignment/>
    </xf>
    <xf numFmtId="7" fontId="18" fillId="0" borderId="47" xfId="0" applyNumberFormat="1" applyFont="1" applyFill="1" applyBorder="1" applyAlignment="1">
      <alignment horizontal="center"/>
    </xf>
    <xf numFmtId="183" fontId="13" fillId="0" borderId="0" xfId="0" applyNumberFormat="1" applyFont="1" applyBorder="1" applyAlignment="1">
      <alignment horizontal="right"/>
    </xf>
    <xf numFmtId="184" fontId="29" fillId="0" borderId="19" xfId="0" applyNumberFormat="1" applyFont="1" applyBorder="1" applyAlignment="1">
      <alignment/>
    </xf>
    <xf numFmtId="184" fontId="11" fillId="0" borderId="0" xfId="0" applyNumberFormat="1" applyFont="1" applyBorder="1" applyAlignment="1">
      <alignment horizontal="centerContinuous"/>
    </xf>
    <xf numFmtId="184" fontId="1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 horizontal="right"/>
    </xf>
    <xf numFmtId="183" fontId="13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7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 applyProtection="1">
      <alignment horizontal="left"/>
      <protection/>
    </xf>
    <xf numFmtId="7" fontId="29" fillId="0" borderId="0" xfId="0" applyNumberFormat="1" applyFont="1" applyBorder="1" applyAlignment="1">
      <alignment horizontal="centerContinuous"/>
    </xf>
    <xf numFmtId="0" fontId="29" fillId="0" borderId="0" xfId="0" applyFont="1" applyAlignment="1">
      <alignment horizontal="right"/>
    </xf>
    <xf numFmtId="10" fontId="29" fillId="0" borderId="0" xfId="0" applyNumberFormat="1" applyFont="1" applyBorder="1" applyAlignment="1" applyProtection="1">
      <alignment horizontal="right"/>
      <protection/>
    </xf>
    <xf numFmtId="0" fontId="83" fillId="18" borderId="23" xfId="0" applyFont="1" applyFill="1" applyBorder="1" applyAlignment="1" applyProtection="1">
      <alignment horizontal="centerContinuous" vertical="center" wrapText="1"/>
      <protection/>
    </xf>
    <xf numFmtId="0" fontId="83" fillId="18" borderId="24" xfId="0" applyFont="1" applyFill="1" applyBorder="1" applyAlignment="1">
      <alignment horizontal="centerContinuous" vertical="center"/>
    </xf>
    <xf numFmtId="0" fontId="85" fillId="18" borderId="44" xfId="0" applyFont="1" applyFill="1" applyBorder="1" applyAlignment="1">
      <alignment horizontal="center"/>
    </xf>
    <xf numFmtId="0" fontId="85" fillId="18" borderId="46" xfId="0" applyFont="1" applyFill="1" applyBorder="1" applyAlignment="1">
      <alignment horizontal="left"/>
    </xf>
    <xf numFmtId="176" fontId="84" fillId="18" borderId="16" xfId="0" applyNumberFormat="1" applyFont="1" applyFill="1" applyBorder="1" applyAlignment="1" applyProtection="1" quotePrefix="1">
      <alignment horizontal="center"/>
      <protection/>
    </xf>
    <xf numFmtId="176" fontId="84" fillId="18" borderId="10" xfId="0" applyNumberFormat="1" applyFont="1" applyFill="1" applyBorder="1" applyAlignment="1" applyProtection="1" quotePrefix="1">
      <alignment horizontal="center"/>
      <protection/>
    </xf>
    <xf numFmtId="176" fontId="85" fillId="18" borderId="48" xfId="0" applyNumberFormat="1" applyFont="1" applyFill="1" applyBorder="1" applyAlignment="1" applyProtection="1" quotePrefix="1">
      <alignment horizontal="center"/>
      <protection/>
    </xf>
    <xf numFmtId="176" fontId="85" fillId="18" borderId="41" xfId="0" applyNumberFormat="1" applyFont="1" applyFill="1" applyBorder="1" applyAlignment="1" applyProtection="1" quotePrefix="1">
      <alignment horizontal="center"/>
      <protection/>
    </xf>
    <xf numFmtId="0" fontId="83" fillId="19" borderId="17" xfId="0" applyFont="1" applyFill="1" applyBorder="1" applyAlignment="1">
      <alignment horizontal="center" vertical="center" wrapText="1"/>
    </xf>
    <xf numFmtId="2" fontId="84" fillId="19" borderId="1" xfId="0" applyNumberFormat="1" applyFont="1" applyFill="1" applyBorder="1" applyAlignment="1">
      <alignment horizontal="center"/>
    </xf>
    <xf numFmtId="2" fontId="85" fillId="19" borderId="5" xfId="0" applyNumberFormat="1" applyFont="1" applyFill="1" applyBorder="1" applyAlignment="1">
      <alignment horizontal="center"/>
    </xf>
    <xf numFmtId="0" fontId="83" fillId="4" borderId="17" xfId="0" applyFont="1" applyFill="1" applyBorder="1" applyAlignment="1">
      <alignment horizontal="centerContinuous" vertical="center" wrapText="1"/>
    </xf>
    <xf numFmtId="0" fontId="62" fillId="3" borderId="42" xfId="0" applyFont="1" applyFill="1" applyBorder="1" applyAlignment="1">
      <alignment horizontal="center"/>
    </xf>
    <xf numFmtId="0" fontId="85" fillId="19" borderId="42" xfId="0" applyFont="1" applyFill="1" applyBorder="1" applyAlignment="1">
      <alignment horizontal="center"/>
    </xf>
    <xf numFmtId="0" fontId="85" fillId="4" borderId="42" xfId="0" applyFont="1" applyFill="1" applyBorder="1" applyAlignment="1">
      <alignment horizontal="left"/>
    </xf>
    <xf numFmtId="0" fontId="101" fillId="0" borderId="0" xfId="0" applyFont="1" applyBorder="1" applyAlignment="1" quotePrefix="1">
      <alignment horizontal="left"/>
    </xf>
    <xf numFmtId="0" fontId="29" fillId="0" borderId="22" xfId="0" applyFont="1" applyFill="1" applyBorder="1" applyAlignment="1">
      <alignment/>
    </xf>
    <xf numFmtId="181" fontId="29" fillId="0" borderId="0" xfId="0" applyNumberFormat="1" applyFont="1" applyBorder="1" applyAlignment="1">
      <alignment/>
    </xf>
    <xf numFmtId="2" fontId="29" fillId="0" borderId="0" xfId="0" applyNumberFormat="1" applyFont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 quotePrefix="1">
      <alignment horizontal="center"/>
      <protection/>
    </xf>
    <xf numFmtId="0" fontId="29" fillId="0" borderId="0" xfId="0" applyFont="1" applyAlignment="1" quotePrefix="1">
      <alignment/>
    </xf>
    <xf numFmtId="181" fontId="29" fillId="0" borderId="0" xfId="0" applyNumberFormat="1" applyFont="1" applyBorder="1" applyAlignment="1" applyProtection="1">
      <alignment horizontal="centerContinuous"/>
      <protection/>
    </xf>
    <xf numFmtId="176" fontId="108" fillId="4" borderId="56" xfId="0" applyNumberFormat="1" applyFont="1" applyFill="1" applyBorder="1" applyAlignment="1" applyProtection="1" quotePrefix="1">
      <alignment horizontal="center"/>
      <protection/>
    </xf>
    <xf numFmtId="181" fontId="53" fillId="0" borderId="0" xfId="0" applyNumberFormat="1" applyFont="1" applyBorder="1" applyAlignment="1" applyProtection="1">
      <alignment horizontal="centerContinuous"/>
      <protection/>
    </xf>
    <xf numFmtId="0" fontId="13" fillId="0" borderId="0" xfId="0" applyFont="1" applyBorder="1" applyAlignment="1">
      <alignment horizontal="center"/>
    </xf>
    <xf numFmtId="176" fontId="53" fillId="0" borderId="0" xfId="0" applyNumberFormat="1" applyFont="1" applyBorder="1" applyAlignment="1" applyProtection="1" quotePrefix="1">
      <alignment horizontal="left"/>
      <protection/>
    </xf>
    <xf numFmtId="176" fontId="12" fillId="0" borderId="0" xfId="0" applyNumberFormat="1" applyFont="1" applyBorder="1" applyAlignment="1" applyProtection="1">
      <alignment horizontal="left"/>
      <protection/>
    </xf>
    <xf numFmtId="179" fontId="12" fillId="0" borderId="0" xfId="0" applyNumberFormat="1" applyFont="1" applyBorder="1" applyAlignment="1" applyProtection="1">
      <alignment horizontal="left"/>
      <protection/>
    </xf>
    <xf numFmtId="0" fontId="14" fillId="0" borderId="21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76" fontId="14" fillId="0" borderId="0" xfId="0" applyNumberFormat="1" applyFont="1" applyBorder="1" applyAlignment="1" applyProtection="1">
      <alignment horizontal="left" vertical="center"/>
      <protection/>
    </xf>
    <xf numFmtId="0" fontId="64" fillId="0" borderId="0" xfId="0" applyFont="1" applyAlignment="1" quotePrefix="1">
      <alignment vertical="center"/>
    </xf>
    <xf numFmtId="0" fontId="14" fillId="0" borderId="0" xfId="0" applyFont="1" applyBorder="1" applyAlignment="1" applyProtection="1">
      <alignment horizontal="center" vertical="center"/>
      <protection/>
    </xf>
    <xf numFmtId="173" fontId="14" fillId="0" borderId="0" xfId="0" applyNumberFormat="1" applyFont="1" applyBorder="1" applyAlignment="1" applyProtection="1">
      <alignment horizontal="center" vertical="center"/>
      <protection/>
    </xf>
    <xf numFmtId="0" fontId="64" fillId="0" borderId="0" xfId="0" applyFont="1" applyAlignment="1">
      <alignment vertical="center"/>
    </xf>
    <xf numFmtId="4" fontId="13" fillId="0" borderId="23" xfId="0" applyNumberFormat="1" applyFont="1" applyBorder="1" applyAlignment="1" applyProtection="1">
      <alignment horizontal="center" vertical="center"/>
      <protection/>
    </xf>
    <xf numFmtId="7" fontId="102" fillId="0" borderId="24" xfId="0" applyNumberFormat="1" applyFont="1" applyFill="1" applyBorder="1" applyAlignment="1">
      <alignment horizontal="center" vertical="center"/>
    </xf>
    <xf numFmtId="176" fontId="14" fillId="0" borderId="0" xfId="0" applyNumberFormat="1" applyFont="1" applyBorder="1" applyAlignment="1" applyProtection="1">
      <alignment horizontal="center" vertical="center"/>
      <protection/>
    </xf>
    <xf numFmtId="179" fontId="14" fillId="0" borderId="0" xfId="0" applyNumberFormat="1" applyFont="1" applyBorder="1" applyAlignment="1" applyProtection="1" quotePrefix="1">
      <alignment horizontal="center" vertical="center"/>
      <protection/>
    </xf>
    <xf numFmtId="2" fontId="103" fillId="0" borderId="0" xfId="0" applyNumberFormat="1" applyFont="1" applyBorder="1" applyAlignment="1" applyProtection="1">
      <alignment horizontal="center" vertical="center"/>
      <protection/>
    </xf>
    <xf numFmtId="176" fontId="104" fillId="0" borderId="0" xfId="0" applyNumberFormat="1" applyFont="1" applyBorder="1" applyAlignment="1" applyProtection="1" quotePrefix="1">
      <alignment horizontal="center" vertical="center"/>
      <protection/>
    </xf>
    <xf numFmtId="4" fontId="14" fillId="0" borderId="22" xfId="0" applyNumberFormat="1" applyFont="1" applyFill="1" applyBorder="1" applyAlignment="1">
      <alignment horizontal="center" vertical="center"/>
    </xf>
    <xf numFmtId="180" fontId="82" fillId="10" borderId="1" xfId="0" applyNumberFormat="1" applyFont="1" applyFill="1" applyBorder="1" applyAlignment="1" applyProtection="1">
      <alignment horizontal="center"/>
      <protection/>
    </xf>
    <xf numFmtId="180" fontId="82" fillId="10" borderId="5" xfId="0" applyNumberFormat="1" applyFont="1" applyFill="1" applyBorder="1" applyAlignment="1" applyProtection="1">
      <alignment horizontal="center"/>
      <protection/>
    </xf>
    <xf numFmtId="180" fontId="62" fillId="3" borderId="1" xfId="0" applyNumberFormat="1" applyFont="1" applyFill="1" applyBorder="1" applyAlignment="1" applyProtection="1">
      <alignment horizontal="center"/>
      <protection/>
    </xf>
    <xf numFmtId="180" fontId="16" fillId="0" borderId="23" xfId="0" applyNumberFormat="1" applyFont="1" applyBorder="1" applyAlignment="1">
      <alignment horizontal="centerContinuous"/>
    </xf>
    <xf numFmtId="180" fontId="29" fillId="0" borderId="0" xfId="0" applyNumberFormat="1" applyFont="1" applyBorder="1" applyAlignment="1">
      <alignment horizontal="center"/>
    </xf>
    <xf numFmtId="7" fontId="16" fillId="0" borderId="38" xfId="0" applyNumberFormat="1" applyFont="1" applyFill="1" applyBorder="1" applyAlignment="1">
      <alignment/>
    </xf>
    <xf numFmtId="7" fontId="36" fillId="0" borderId="1" xfId="0" applyNumberFormat="1" applyFont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>
      <alignment horizontal="center"/>
    </xf>
    <xf numFmtId="0" fontId="105" fillId="0" borderId="0" xfId="0" applyFont="1" applyAlignment="1">
      <alignment horizontal="right" vertical="top"/>
    </xf>
    <xf numFmtId="0" fontId="106" fillId="0" borderId="0" xfId="0" applyFont="1" applyFill="1" applyAlignment="1">
      <alignment/>
    </xf>
    <xf numFmtId="0" fontId="107" fillId="0" borderId="0" xfId="0" applyFont="1" applyAlignment="1">
      <alignment horizontal="centerContinuous"/>
    </xf>
    <xf numFmtId="0" fontId="106" fillId="0" borderId="0" xfId="0" applyFont="1" applyAlignment="1">
      <alignment horizontal="centerContinuous"/>
    </xf>
    <xf numFmtId="0" fontId="106" fillId="0" borderId="0" xfId="0" applyFont="1" applyAlignment="1">
      <alignment/>
    </xf>
    <xf numFmtId="176" fontId="12" fillId="0" borderId="23" xfId="0" applyNumberFormat="1" applyFont="1" applyBorder="1" applyAlignment="1" applyProtection="1">
      <alignment horizontal="center"/>
      <protection/>
    </xf>
    <xf numFmtId="181" fontId="29" fillId="0" borderId="24" xfId="0" applyNumberFormat="1" applyFont="1" applyBorder="1" applyAlignment="1" applyProtection="1">
      <alignment horizontal="centerContinuous"/>
      <protection/>
    </xf>
    <xf numFmtId="0" fontId="84" fillId="11" borderId="42" xfId="0" applyFont="1" applyFill="1" applyBorder="1" applyAlignment="1">
      <alignment horizontal="center"/>
    </xf>
    <xf numFmtId="0" fontId="94" fillId="15" borderId="42" xfId="0" applyFont="1" applyFill="1" applyBorder="1" applyAlignment="1">
      <alignment horizontal="center"/>
    </xf>
    <xf numFmtId="176" fontId="108" fillId="4" borderId="44" xfId="0" applyNumberFormat="1" applyFont="1" applyFill="1" applyBorder="1" applyAlignment="1" applyProtection="1" quotePrefix="1">
      <alignment horizontal="center"/>
      <protection/>
    </xf>
    <xf numFmtId="4" fontId="108" fillId="4" borderId="57" xfId="0" applyNumberFormat="1" applyFont="1" applyFill="1" applyBorder="1" applyAlignment="1" applyProtection="1">
      <alignment horizontal="center"/>
      <protection/>
    </xf>
    <xf numFmtId="176" fontId="84" fillId="16" borderId="44" xfId="0" applyNumberFormat="1" applyFont="1" applyFill="1" applyBorder="1" applyAlignment="1" applyProtection="1" quotePrefix="1">
      <alignment horizontal="center"/>
      <protection/>
    </xf>
    <xf numFmtId="176" fontId="84" fillId="16" borderId="56" xfId="0" applyNumberFormat="1" applyFont="1" applyFill="1" applyBorder="1" applyAlignment="1" applyProtection="1" quotePrefix="1">
      <alignment horizontal="center"/>
      <protection/>
    </xf>
    <xf numFmtId="4" fontId="84" fillId="16" borderId="57" xfId="0" applyNumberFormat="1" applyFont="1" applyFill="1" applyBorder="1" applyAlignment="1" applyProtection="1">
      <alignment horizontal="center"/>
      <protection/>
    </xf>
    <xf numFmtId="4" fontId="84" fillId="7" borderId="42" xfId="0" applyNumberFormat="1" applyFont="1" applyFill="1" applyBorder="1" applyAlignment="1" applyProtection="1">
      <alignment horizontal="center"/>
      <protection/>
    </xf>
    <xf numFmtId="4" fontId="84" fillId="17" borderId="42" xfId="0" applyNumberFormat="1" applyFont="1" applyFill="1" applyBorder="1" applyAlignment="1" applyProtection="1">
      <alignment horizontal="center"/>
      <protection/>
    </xf>
    <xf numFmtId="0" fontId="4" fillId="0" borderId="57" xfId="0" applyFont="1" applyBorder="1" applyAlignment="1">
      <alignment horizontal="left"/>
    </xf>
    <xf numFmtId="0" fontId="16" fillId="0" borderId="57" xfId="0" applyFont="1" applyBorder="1" applyAlignment="1">
      <alignment horizontal="center"/>
    </xf>
    <xf numFmtId="4" fontId="4" fillId="0" borderId="1" xfId="0" applyNumberFormat="1" applyFont="1" applyFill="1" applyBorder="1" applyAlignment="1" applyProtection="1" quotePrefix="1">
      <alignment horizontal="center"/>
      <protection/>
    </xf>
    <xf numFmtId="2" fontId="84" fillId="11" borderId="1" xfId="0" applyNumberFormat="1" applyFont="1" applyFill="1" applyBorder="1" applyAlignment="1" applyProtection="1">
      <alignment horizontal="center"/>
      <protection/>
    </xf>
    <xf numFmtId="2" fontId="94" fillId="15" borderId="1" xfId="0" applyNumberFormat="1" applyFont="1" applyFill="1" applyBorder="1" applyAlignment="1" applyProtection="1">
      <alignment horizontal="center"/>
      <protection/>
    </xf>
    <xf numFmtId="176" fontId="108" fillId="4" borderId="13" xfId="0" applyNumberFormat="1" applyFont="1" applyFill="1" applyBorder="1" applyAlignment="1" applyProtection="1" quotePrefix="1">
      <alignment horizontal="center"/>
      <protection/>
    </xf>
    <xf numFmtId="176" fontId="108" fillId="4" borderId="43" xfId="0" applyNumberFormat="1" applyFont="1" applyFill="1" applyBorder="1" applyAlignment="1" applyProtection="1" quotePrefix="1">
      <alignment horizontal="center"/>
      <protection/>
    </xf>
    <xf numFmtId="4" fontId="108" fillId="4" borderId="2" xfId="0" applyNumberFormat="1" applyFont="1" applyFill="1" applyBorder="1" applyAlignment="1" applyProtection="1">
      <alignment horizontal="center"/>
      <protection/>
    </xf>
    <xf numFmtId="176" fontId="84" fillId="16" borderId="13" xfId="0" applyNumberFormat="1" applyFont="1" applyFill="1" applyBorder="1" applyAlignment="1" applyProtection="1" quotePrefix="1">
      <alignment horizontal="center"/>
      <protection/>
    </xf>
    <xf numFmtId="176" fontId="84" fillId="16" borderId="43" xfId="0" applyNumberFormat="1" applyFont="1" applyFill="1" applyBorder="1" applyAlignment="1" applyProtection="1" quotePrefix="1">
      <alignment horizontal="center"/>
      <protection/>
    </xf>
    <xf numFmtId="4" fontId="84" fillId="16" borderId="2" xfId="0" applyNumberFormat="1" applyFont="1" applyFill="1" applyBorder="1" applyAlignment="1" applyProtection="1">
      <alignment horizontal="center"/>
      <protection/>
    </xf>
    <xf numFmtId="4" fontId="84" fillId="7" borderId="1" xfId="0" applyNumberFormat="1" applyFont="1" applyFill="1" applyBorder="1" applyAlignment="1" applyProtection="1">
      <alignment horizontal="center"/>
      <protection/>
    </xf>
    <xf numFmtId="4" fontId="84" fillId="17" borderId="1" xfId="0" applyNumberFormat="1" applyFont="1" applyFill="1" applyBorder="1" applyAlignment="1" applyProtection="1">
      <alignment horizontal="center"/>
      <protection/>
    </xf>
    <xf numFmtId="2" fontId="84" fillId="11" borderId="5" xfId="0" applyNumberFormat="1" applyFont="1" applyFill="1" applyBorder="1" applyAlignment="1" applyProtection="1">
      <alignment horizontal="center"/>
      <protection/>
    </xf>
    <xf numFmtId="2" fontId="94" fillId="15" borderId="5" xfId="0" applyNumberFormat="1" applyFont="1" applyFill="1" applyBorder="1" applyAlignment="1" applyProtection="1">
      <alignment horizontal="center"/>
      <protection/>
    </xf>
    <xf numFmtId="176" fontId="108" fillId="4" borderId="52" xfId="0" applyNumberFormat="1" applyFont="1" applyFill="1" applyBorder="1" applyAlignment="1" applyProtection="1" quotePrefix="1">
      <alignment horizontal="center"/>
      <protection/>
    </xf>
    <xf numFmtId="176" fontId="108" fillId="4" borderId="58" xfId="0" applyNumberFormat="1" applyFont="1" applyFill="1" applyBorder="1" applyAlignment="1" applyProtection="1" quotePrefix="1">
      <alignment horizontal="center"/>
      <protection/>
    </xf>
    <xf numFmtId="4" fontId="108" fillId="4" borderId="11" xfId="0" applyNumberFormat="1" applyFont="1" applyFill="1" applyBorder="1" applyAlignment="1" applyProtection="1">
      <alignment horizontal="center"/>
      <protection/>
    </xf>
    <xf numFmtId="176" fontId="84" fillId="16" borderId="52" xfId="0" applyNumberFormat="1" applyFont="1" applyFill="1" applyBorder="1" applyAlignment="1" applyProtection="1" quotePrefix="1">
      <alignment horizontal="center"/>
      <protection/>
    </xf>
    <xf numFmtId="176" fontId="84" fillId="16" borderId="58" xfId="0" applyNumberFormat="1" applyFont="1" applyFill="1" applyBorder="1" applyAlignment="1" applyProtection="1" quotePrefix="1">
      <alignment horizontal="center"/>
      <protection/>
    </xf>
    <xf numFmtId="4" fontId="84" fillId="16" borderId="11" xfId="0" applyNumberFormat="1" applyFont="1" applyFill="1" applyBorder="1" applyAlignment="1" applyProtection="1">
      <alignment horizontal="center"/>
      <protection/>
    </xf>
    <xf numFmtId="4" fontId="84" fillId="7" borderId="5" xfId="0" applyNumberFormat="1" applyFont="1" applyFill="1" applyBorder="1" applyAlignment="1" applyProtection="1">
      <alignment horizontal="center"/>
      <protection/>
    </xf>
    <xf numFmtId="4" fontId="84" fillId="17" borderId="5" xfId="0" applyNumberFormat="1" applyFont="1" applyFill="1" applyBorder="1" applyAlignment="1" applyProtection="1">
      <alignment horizontal="center"/>
      <protection/>
    </xf>
    <xf numFmtId="176" fontId="35" fillId="0" borderId="5" xfId="0" applyNumberFormat="1" applyFont="1" applyFill="1" applyBorder="1" applyAlignment="1">
      <alignment horizontal="center"/>
    </xf>
    <xf numFmtId="7" fontId="16" fillId="0" borderId="17" xfId="0" applyNumberFormat="1" applyFont="1" applyBorder="1" applyAlignment="1" applyProtection="1">
      <alignment horizontal="right"/>
      <protection/>
    </xf>
    <xf numFmtId="2" fontId="96" fillId="0" borderId="29" xfId="0" applyNumberFormat="1" applyFont="1" applyFill="1" applyBorder="1" applyAlignment="1" applyProtection="1">
      <alignment horizontal="center"/>
      <protection/>
    </xf>
    <xf numFmtId="2" fontId="21" fillId="0" borderId="29" xfId="0" applyNumberFormat="1" applyFont="1" applyFill="1" applyBorder="1" applyAlignment="1" applyProtection="1">
      <alignment horizontal="center"/>
      <protection/>
    </xf>
    <xf numFmtId="2" fontId="99" fillId="0" borderId="29" xfId="0" applyNumberFormat="1" applyFont="1" applyFill="1" applyBorder="1" applyAlignment="1" applyProtection="1">
      <alignment horizontal="center"/>
      <protection/>
    </xf>
    <xf numFmtId="0" fontId="61" fillId="20" borderId="17" xfId="0" applyFont="1" applyFill="1" applyBorder="1" applyAlignment="1" applyProtection="1">
      <alignment horizontal="center" vertical="center"/>
      <protection/>
    </xf>
    <xf numFmtId="0" fontId="33" fillId="0" borderId="23" xfId="0" applyFont="1" applyFill="1" applyBorder="1" applyAlignment="1" applyProtection="1">
      <alignment horizontal="centerContinuous" vertical="center"/>
      <protection/>
    </xf>
    <xf numFmtId="0" fontId="33" fillId="0" borderId="29" xfId="0" applyFont="1" applyFill="1" applyBorder="1" applyAlignment="1" applyProtection="1">
      <alignment horizontal="centerContinuous" vertical="center"/>
      <protection/>
    </xf>
    <xf numFmtId="0" fontId="83" fillId="20" borderId="59" xfId="0" applyFont="1" applyFill="1" applyBorder="1" applyAlignment="1">
      <alignment vertical="center" wrapText="1"/>
    </xf>
    <xf numFmtId="0" fontId="83" fillId="20" borderId="36" xfId="0" applyFont="1" applyFill="1" applyBorder="1" applyAlignment="1">
      <alignment vertical="center" wrapText="1"/>
    </xf>
    <xf numFmtId="0" fontId="83" fillId="20" borderId="38" xfId="0" applyFont="1" applyFill="1" applyBorder="1" applyAlignment="1">
      <alignment vertical="center" wrapText="1"/>
    </xf>
    <xf numFmtId="0" fontId="65" fillId="20" borderId="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85" fillId="20" borderId="35" xfId="0" applyFont="1" applyFill="1" applyBorder="1" applyAlignment="1">
      <alignment horizontal="left"/>
    </xf>
    <xf numFmtId="0" fontId="85" fillId="20" borderId="0" xfId="0" applyFont="1" applyFill="1" applyBorder="1" applyAlignment="1">
      <alignment horizontal="left"/>
    </xf>
    <xf numFmtId="0" fontId="85" fillId="20" borderId="34" xfId="0" applyFont="1" applyFill="1" applyBorder="1" applyAlignment="1">
      <alignment horizontal="left"/>
    </xf>
    <xf numFmtId="176" fontId="65" fillId="20" borderId="1" xfId="0" applyNumberFormat="1" applyFont="1" applyFill="1" applyBorder="1" applyAlignment="1" applyProtection="1">
      <alignment horizontal="center"/>
      <protection/>
    </xf>
    <xf numFmtId="176" fontId="4" fillId="0" borderId="12" xfId="0" applyNumberFormat="1" applyFont="1" applyBorder="1" applyAlignment="1" applyProtection="1">
      <alignment horizontal="centerContinuous"/>
      <protection/>
    </xf>
    <xf numFmtId="176" fontId="4" fillId="0" borderId="2" xfId="0" applyNumberFormat="1" applyFont="1" applyBorder="1" applyAlignment="1" applyProtection="1">
      <alignment horizontal="centerContinuous"/>
      <protection/>
    </xf>
    <xf numFmtId="176" fontId="84" fillId="20" borderId="35" xfId="0" applyNumberFormat="1" applyFont="1" applyFill="1" applyBorder="1" applyAlignment="1" applyProtection="1" quotePrefix="1">
      <alignment horizontal="center"/>
      <protection/>
    </xf>
    <xf numFmtId="176" fontId="84" fillId="20" borderId="0" xfId="0" applyNumberFormat="1" applyFont="1" applyFill="1" applyBorder="1" applyAlignment="1" applyProtection="1" quotePrefix="1">
      <alignment horizontal="center"/>
      <protection/>
    </xf>
    <xf numFmtId="176" fontId="84" fillId="20" borderId="34" xfId="0" applyNumberFormat="1" applyFont="1" applyFill="1" applyBorder="1" applyAlignment="1" applyProtection="1" quotePrefix="1">
      <alignment horizontal="center"/>
      <protection/>
    </xf>
    <xf numFmtId="176" fontId="65" fillId="20" borderId="5" xfId="0" applyNumberFormat="1" applyFont="1" applyFill="1" applyBorder="1" applyAlignment="1" applyProtection="1">
      <alignment horizontal="center"/>
      <protection/>
    </xf>
    <xf numFmtId="176" fontId="4" fillId="0" borderId="60" xfId="0" applyNumberFormat="1" applyFont="1" applyBorder="1" applyAlignment="1" applyProtection="1">
      <alignment horizontal="centerContinuous"/>
      <protection/>
    </xf>
    <xf numFmtId="176" fontId="4" fillId="0" borderId="11" xfId="0" applyNumberFormat="1" applyFont="1" applyBorder="1" applyAlignment="1" applyProtection="1">
      <alignment horizontal="centerContinuous"/>
      <protection/>
    </xf>
    <xf numFmtId="176" fontId="85" fillId="20" borderId="60" xfId="0" applyNumberFormat="1" applyFont="1" applyFill="1" applyBorder="1" applyAlignment="1" applyProtection="1" quotePrefix="1">
      <alignment horizontal="center"/>
      <protection/>
    </xf>
    <xf numFmtId="176" fontId="85" fillId="20" borderId="28" xfId="0" applyNumberFormat="1" applyFont="1" applyFill="1" applyBorder="1" applyAlignment="1" applyProtection="1" quotePrefix="1">
      <alignment horizontal="center"/>
      <protection/>
    </xf>
    <xf numFmtId="176" fontId="85" fillId="20" borderId="11" xfId="0" applyNumberFormat="1" applyFont="1" applyFill="1" applyBorder="1" applyAlignment="1" applyProtection="1" quotePrefix="1">
      <alignment horizontal="center"/>
      <protection/>
    </xf>
    <xf numFmtId="176" fontId="4" fillId="0" borderId="0" xfId="0" applyNumberFormat="1" applyFont="1" applyBorder="1" applyAlignment="1" applyProtection="1" quotePrefix="1">
      <alignment horizontal="centerContinuous"/>
      <protection/>
    </xf>
    <xf numFmtId="176" fontId="4" fillId="0" borderId="0" xfId="0" applyNumberFormat="1" applyFont="1" applyBorder="1" applyAlignment="1" applyProtection="1">
      <alignment horizontal="centerContinuous"/>
      <protection/>
    </xf>
    <xf numFmtId="4" fontId="18" fillId="0" borderId="0" xfId="0" applyNumberFormat="1" applyFont="1" applyFill="1" applyBorder="1" applyAlignment="1">
      <alignment horizontal="right"/>
    </xf>
    <xf numFmtId="7" fontId="12" fillId="0" borderId="0" xfId="0" applyNumberFormat="1" applyFont="1" applyBorder="1" applyAlignment="1">
      <alignment horizontal="centerContinuous"/>
    </xf>
    <xf numFmtId="176" fontId="29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178" fontId="29" fillId="0" borderId="0" xfId="0" applyNumberFormat="1" applyFont="1" applyBorder="1" applyAlignment="1" applyProtection="1">
      <alignment horizontal="center"/>
      <protection/>
    </xf>
    <xf numFmtId="7" fontId="29" fillId="0" borderId="3" xfId="0" applyNumberFormat="1" applyFont="1" applyBorder="1" applyAlignment="1">
      <alignment horizontal="centerContinuous"/>
    </xf>
    <xf numFmtId="0" fontId="25" fillId="0" borderId="0" xfId="0" applyFont="1" applyFill="1" applyBorder="1" applyAlignment="1" applyProtection="1">
      <alignment horizontal="center"/>
      <protection/>
    </xf>
    <xf numFmtId="0" fontId="16" fillId="0" borderId="61" xfId="0" applyFont="1" applyBorder="1" applyAlignment="1">
      <alignment horizontal="centerContinuous"/>
    </xf>
    <xf numFmtId="0" fontId="16" fillId="0" borderId="62" xfId="0" applyFont="1" applyBorder="1" applyAlignment="1">
      <alignment horizontal="centerContinuous"/>
    </xf>
    <xf numFmtId="180" fontId="16" fillId="0" borderId="63" xfId="0" applyNumberFormat="1" applyFont="1" applyBorder="1" applyAlignment="1">
      <alignment horizontal="center"/>
    </xf>
    <xf numFmtId="0" fontId="16" fillId="0" borderId="64" xfId="0" applyFont="1" applyBorder="1" applyAlignment="1">
      <alignment horizontal="centerContinuous"/>
    </xf>
    <xf numFmtId="0" fontId="16" fillId="0" borderId="65" xfId="0" applyFont="1" applyBorder="1" applyAlignment="1">
      <alignment horizontal="centerContinuous"/>
    </xf>
    <xf numFmtId="180" fontId="16" fillId="0" borderId="66" xfId="0" applyNumberFormat="1" applyFont="1" applyFill="1" applyBorder="1" applyAlignment="1">
      <alignment horizontal="center"/>
    </xf>
    <xf numFmtId="0" fontId="16" fillId="0" borderId="67" xfId="0" applyFont="1" applyBorder="1" applyAlignment="1">
      <alignment horizontal="centerContinuous"/>
    </xf>
    <xf numFmtId="0" fontId="16" fillId="0" borderId="68" xfId="0" applyFont="1" applyBorder="1" applyAlignment="1">
      <alignment horizontal="centerContinuous"/>
    </xf>
    <xf numFmtId="172" fontId="16" fillId="0" borderId="0" xfId="0" applyNumberFormat="1" applyFont="1" applyBorder="1" applyAlignment="1" applyProtection="1" quotePrefix="1">
      <alignment horizontal="center"/>
      <protection/>
    </xf>
    <xf numFmtId="0" fontId="16" fillId="0" borderId="0" xfId="0" applyFont="1" applyFill="1" applyBorder="1" applyAlignment="1">
      <alignment horizontal="centerContinuous"/>
    </xf>
    <xf numFmtId="1" fontId="29" fillId="0" borderId="0" xfId="0" applyNumberFormat="1" applyFont="1" applyBorder="1" applyAlignment="1" applyProtection="1">
      <alignment horizontal="centerContinuous"/>
      <protection/>
    </xf>
    <xf numFmtId="0" fontId="25" fillId="0" borderId="0" xfId="0" applyFont="1" applyFill="1" applyBorder="1" applyAlignment="1" applyProtection="1">
      <alignment horizontal="left"/>
      <protection/>
    </xf>
    <xf numFmtId="1" fontId="0" fillId="0" borderId="69" xfId="0" applyNumberFormat="1" applyBorder="1" applyAlignment="1">
      <alignment horizontal="center"/>
    </xf>
    <xf numFmtId="1" fontId="16" fillId="0" borderId="63" xfId="0" applyNumberFormat="1" applyFont="1" applyBorder="1" applyAlignment="1">
      <alignment horizontal="center"/>
    </xf>
    <xf numFmtId="1" fontId="16" fillId="0" borderId="66" xfId="0" applyNumberFormat="1" applyFont="1" applyFill="1" applyBorder="1" applyAlignment="1">
      <alignment horizontal="center"/>
    </xf>
    <xf numFmtId="181" fontId="12" fillId="0" borderId="24" xfId="0" applyNumberFormat="1" applyFont="1" applyBorder="1" applyAlignment="1" applyProtection="1">
      <alignment horizontal="centerContinuous"/>
      <protection/>
    </xf>
    <xf numFmtId="2" fontId="96" fillId="0" borderId="28" xfId="0" applyNumberFormat="1" applyFont="1" applyFill="1" applyBorder="1" applyAlignment="1" applyProtection="1">
      <alignment horizontal="center"/>
      <protection/>
    </xf>
    <xf numFmtId="2" fontId="21" fillId="0" borderId="28" xfId="0" applyNumberFormat="1" applyFont="1" applyFill="1" applyBorder="1" applyAlignment="1" applyProtection="1">
      <alignment horizontal="center"/>
      <protection/>
    </xf>
    <xf numFmtId="2" fontId="99" fillId="0" borderId="28" xfId="0" applyNumberFormat="1" applyFont="1" applyFill="1" applyBorder="1" applyAlignment="1" applyProtection="1">
      <alignment horizontal="center"/>
      <protection/>
    </xf>
    <xf numFmtId="0" fontId="4" fillId="0" borderId="42" xfId="0" applyFont="1" applyFill="1" applyBorder="1" applyAlignment="1">
      <alignment horizontal="centerContinuous"/>
    </xf>
    <xf numFmtId="176" fontId="4" fillId="0" borderId="1" xfId="0" applyNumberFormat="1" applyFont="1" applyBorder="1" applyAlignment="1" applyProtection="1">
      <alignment horizontal="centerContinuous"/>
      <protection/>
    </xf>
    <xf numFmtId="176" fontId="4" fillId="0" borderId="5" xfId="0" applyNumberFormat="1" applyFont="1" applyBorder="1" applyAlignment="1" applyProtection="1">
      <alignment horizontal="centerContinuous"/>
      <protection/>
    </xf>
    <xf numFmtId="0" fontId="6" fillId="0" borderId="57" xfId="0" applyFont="1" applyBorder="1" applyAlignment="1" applyProtection="1">
      <alignment horizontal="center"/>
      <protection/>
    </xf>
    <xf numFmtId="0" fontId="4" fillId="0" borderId="39" xfId="0" applyFont="1" applyBorder="1" applyAlignment="1">
      <alignment horizontal="center"/>
    </xf>
    <xf numFmtId="0" fontId="6" fillId="0" borderId="70" xfId="0" applyFont="1" applyBorder="1" applyAlignment="1" applyProtection="1">
      <alignment horizontal="center"/>
      <protection/>
    </xf>
    <xf numFmtId="0" fontId="6" fillId="0" borderId="71" xfId="0" applyFont="1" applyBorder="1" applyAlignment="1" applyProtection="1">
      <alignment horizontal="center"/>
      <protection/>
    </xf>
    <xf numFmtId="172" fontId="5" fillId="0" borderId="39" xfId="0" applyNumberFormat="1" applyFont="1" applyBorder="1" applyAlignment="1" applyProtection="1" quotePrefix="1">
      <alignment horizontal="center"/>
      <protection/>
    </xf>
    <xf numFmtId="176" fontId="62" fillId="3" borderId="39" xfId="0" applyNumberFormat="1" applyFont="1" applyFill="1" applyBorder="1" applyAlignment="1" applyProtection="1">
      <alignment horizontal="center"/>
      <protection/>
    </xf>
    <xf numFmtId="22" fontId="4" fillId="0" borderId="48" xfId="0" applyNumberFormat="1" applyFont="1" applyBorder="1" applyAlignment="1">
      <alignment horizontal="center"/>
    </xf>
    <xf numFmtId="22" fontId="4" fillId="0" borderId="39" xfId="0" applyNumberFormat="1" applyFont="1" applyBorder="1" applyAlignment="1" applyProtection="1">
      <alignment horizontal="center"/>
      <protection/>
    </xf>
    <xf numFmtId="2" fontId="4" fillId="0" borderId="39" xfId="0" applyNumberFormat="1" applyFont="1" applyFill="1" applyBorder="1" applyAlignment="1" applyProtection="1" quotePrefix="1">
      <alignment horizontal="center"/>
      <protection/>
    </xf>
    <xf numFmtId="172" fontId="4" fillId="0" borderId="39" xfId="0" applyNumberFormat="1" applyFont="1" applyFill="1" applyBorder="1" applyAlignment="1" applyProtection="1" quotePrefix="1">
      <alignment horizontal="center"/>
      <protection/>
    </xf>
    <xf numFmtId="176" fontId="4" fillId="0" borderId="71" xfId="0" applyNumberFormat="1" applyFont="1" applyBorder="1" applyAlignment="1" applyProtection="1">
      <alignment horizontal="center"/>
      <protection/>
    </xf>
    <xf numFmtId="176" fontId="4" fillId="0" borderId="70" xfId="0" applyNumberFormat="1" applyFont="1" applyBorder="1" applyAlignment="1" applyProtection="1">
      <alignment horizontal="center"/>
      <protection/>
    </xf>
    <xf numFmtId="172" fontId="85" fillId="10" borderId="39" xfId="0" applyNumberFormat="1" applyFont="1" applyFill="1" applyBorder="1" applyAlignment="1" applyProtection="1">
      <alignment horizontal="center"/>
      <protection/>
    </xf>
    <xf numFmtId="2" fontId="91" fillId="12" borderId="39" xfId="0" applyNumberFormat="1" applyFont="1" applyFill="1" applyBorder="1" applyAlignment="1">
      <alignment horizontal="center"/>
    </xf>
    <xf numFmtId="176" fontId="56" fillId="5" borderId="48" xfId="0" applyNumberFormat="1" applyFont="1" applyFill="1" applyBorder="1" applyAlignment="1" applyProtection="1" quotePrefix="1">
      <alignment horizontal="center"/>
      <protection/>
    </xf>
    <xf numFmtId="176" fontId="56" fillId="5" borderId="41" xfId="0" applyNumberFormat="1" applyFont="1" applyFill="1" applyBorder="1" applyAlignment="1" applyProtection="1" quotePrefix="1">
      <alignment horizontal="center"/>
      <protection/>
    </xf>
    <xf numFmtId="176" fontId="84" fillId="4" borderId="39" xfId="0" applyNumberFormat="1" applyFont="1" applyFill="1" applyBorder="1" applyAlignment="1" applyProtection="1" quotePrefix="1">
      <alignment horizontal="center"/>
      <protection/>
    </xf>
    <xf numFmtId="176" fontId="4" fillId="0" borderId="39" xfId="0" applyNumberFormat="1" applyFont="1" applyBorder="1" applyAlignment="1">
      <alignment horizontal="center"/>
    </xf>
    <xf numFmtId="4" fontId="18" fillId="0" borderId="39" xfId="0" applyNumberFormat="1" applyFont="1" applyFill="1" applyBorder="1" applyAlignment="1">
      <alignment horizontal="right"/>
    </xf>
    <xf numFmtId="0" fontId="105" fillId="0" borderId="0" xfId="0" applyFont="1" applyAlignment="1">
      <alignment horizontal="right" vertical="top"/>
    </xf>
    <xf numFmtId="0" fontId="105" fillId="0" borderId="0" xfId="0" applyFont="1" applyFill="1" applyAlignment="1">
      <alignment horizontal="right" vertical="top"/>
    </xf>
    <xf numFmtId="172" fontId="16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80" fontId="0" fillId="0" borderId="0" xfId="0" applyNumberFormat="1" applyFont="1" applyBorder="1" applyAlignment="1">
      <alignment horizontal="centerContinuous"/>
    </xf>
    <xf numFmtId="7" fontId="12" fillId="0" borderId="14" xfId="0" applyNumberFormat="1" applyFont="1" applyFill="1" applyBorder="1" applyAlignment="1" applyProtection="1">
      <alignment horizontal="right"/>
      <protection/>
    </xf>
    <xf numFmtId="0" fontId="0" fillId="0" borderId="23" xfId="0" applyFont="1" applyBorder="1" applyAlignment="1" applyProtection="1">
      <alignment horizontal="left" vertical="center"/>
      <protection/>
    </xf>
    <xf numFmtId="18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80" fontId="0" fillId="0" borderId="24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180" fontId="16" fillId="0" borderId="72" xfId="0" applyNumberFormat="1" applyFont="1" applyBorder="1" applyAlignment="1">
      <alignment horizontal="center"/>
    </xf>
    <xf numFmtId="1" fontId="16" fillId="0" borderId="72" xfId="0" applyNumberFormat="1" applyFont="1" applyBorder="1" applyAlignment="1">
      <alignment horizontal="center"/>
    </xf>
    <xf numFmtId="0" fontId="111" fillId="0" borderId="0" xfId="0" applyNumberFormat="1" applyFont="1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72" fontId="4" fillId="0" borderId="1" xfId="0" applyNumberFormat="1" applyFont="1" applyFill="1" applyBorder="1" applyAlignment="1" applyProtection="1">
      <alignment horizontal="center"/>
      <protection locked="0"/>
    </xf>
    <xf numFmtId="173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23" applyFont="1" applyFill="1" applyBorder="1" applyAlignment="1" applyProtection="1">
      <alignment horizontal="center"/>
      <protection locked="0"/>
    </xf>
    <xf numFmtId="172" fontId="4" fillId="0" borderId="1" xfId="23" applyNumberFormat="1" applyFont="1" applyFill="1" applyBorder="1" applyAlignment="1" applyProtection="1">
      <alignment horizontal="center"/>
      <protection locked="0"/>
    </xf>
    <xf numFmtId="173" fontId="4" fillId="0" borderId="1" xfId="23" applyNumberFormat="1" applyFont="1" applyFill="1" applyBorder="1" applyAlignment="1" applyProtection="1">
      <alignment horizontal="center"/>
      <protection locked="0"/>
    </xf>
    <xf numFmtId="172" fontId="4" fillId="0" borderId="1" xfId="0" applyNumberFormat="1" applyFont="1" applyBorder="1" applyAlignment="1" applyProtection="1">
      <alignment horizontal="center"/>
      <protection locked="0"/>
    </xf>
    <xf numFmtId="173" fontId="4" fillId="0" borderId="1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172" fontId="5" fillId="0" borderId="5" xfId="0" applyNumberFormat="1" applyFont="1" applyBorder="1" applyAlignment="1" applyProtection="1">
      <alignment horizontal="center"/>
      <protection locked="0"/>
    </xf>
    <xf numFmtId="173" fontId="4" fillId="0" borderId="5" xfId="0" applyNumberFormat="1" applyFont="1" applyBorder="1" applyAlignment="1" applyProtection="1">
      <alignment horizontal="center"/>
      <protection locked="0"/>
    </xf>
    <xf numFmtId="22" fontId="4" fillId="0" borderId="2" xfId="0" applyNumberFormat="1" applyFont="1" applyFill="1" applyBorder="1" applyAlignment="1" applyProtection="1">
      <alignment horizontal="center"/>
      <protection locked="0"/>
    </xf>
    <xf numFmtId="22" fontId="4" fillId="0" borderId="9" xfId="0" applyNumberFormat="1" applyFont="1" applyFill="1" applyBorder="1" applyAlignment="1" applyProtection="1">
      <alignment horizontal="center"/>
      <protection locked="0"/>
    </xf>
    <xf numFmtId="22" fontId="4" fillId="0" borderId="2" xfId="23" applyNumberFormat="1" applyFont="1" applyFill="1" applyBorder="1" applyAlignment="1" applyProtection="1">
      <alignment horizontal="center"/>
      <protection locked="0"/>
    </xf>
    <xf numFmtId="22" fontId="4" fillId="0" borderId="12" xfId="23" applyNumberFormat="1" applyFont="1" applyFill="1" applyBorder="1" applyAlignment="1" applyProtection="1">
      <alignment horizontal="center"/>
      <protection locked="0"/>
    </xf>
    <xf numFmtId="22" fontId="4" fillId="0" borderId="2" xfId="0" applyNumberFormat="1" applyFont="1" applyBorder="1" applyAlignment="1" applyProtection="1">
      <alignment horizontal="center"/>
      <protection locked="0"/>
    </xf>
    <xf numFmtId="22" fontId="4" fillId="0" borderId="9" xfId="0" applyNumberFormat="1" applyFont="1" applyBorder="1" applyAlignment="1" applyProtection="1">
      <alignment horizontal="center"/>
      <protection locked="0"/>
    </xf>
    <xf numFmtId="22" fontId="4" fillId="0" borderId="12" xfId="0" applyNumberFormat="1" applyFont="1" applyBorder="1" applyAlignment="1" applyProtection="1">
      <alignment horizontal="center"/>
      <protection locked="0"/>
    </xf>
    <xf numFmtId="176" fontId="4" fillId="0" borderId="5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/>
      <protection locked="0"/>
    </xf>
    <xf numFmtId="179" fontId="4" fillId="0" borderId="1" xfId="0" applyNumberFormat="1" applyFont="1" applyBorder="1" applyAlignment="1" applyProtection="1" quotePrefix="1">
      <alignment horizontal="center"/>
      <protection locked="0"/>
    </xf>
    <xf numFmtId="176" fontId="4" fillId="0" borderId="1" xfId="0" applyNumberFormat="1" applyFont="1" applyBorder="1" applyAlignment="1" applyProtection="1">
      <alignment horizontal="center"/>
      <protection locked="0"/>
    </xf>
    <xf numFmtId="2" fontId="68" fillId="4" borderId="1" xfId="0" applyNumberFormat="1" applyFont="1" applyFill="1" applyBorder="1" applyAlignment="1" applyProtection="1">
      <alignment horizontal="center"/>
      <protection locked="0"/>
    </xf>
    <xf numFmtId="2" fontId="56" fillId="5" borderId="2" xfId="0" applyNumberFormat="1" applyFont="1" applyFill="1" applyBorder="1" applyAlignment="1" applyProtection="1">
      <alignment horizontal="center"/>
      <protection locked="0"/>
    </xf>
    <xf numFmtId="176" fontId="57" fillId="3" borderId="13" xfId="0" applyNumberFormat="1" applyFont="1" applyFill="1" applyBorder="1" applyAlignment="1" applyProtection="1" quotePrefix="1">
      <alignment horizontal="center"/>
      <protection locked="0"/>
    </xf>
    <xf numFmtId="176" fontId="57" fillId="3" borderId="43" xfId="0" applyNumberFormat="1" applyFont="1" applyFill="1" applyBorder="1" applyAlignment="1" applyProtection="1" quotePrefix="1">
      <alignment horizontal="center"/>
      <protection locked="0"/>
    </xf>
    <xf numFmtId="4" fontId="57" fillId="3" borderId="2" xfId="0" applyNumberFormat="1" applyFont="1" applyFill="1" applyBorder="1" applyAlignment="1" applyProtection="1">
      <alignment horizontal="center"/>
      <protection locked="0"/>
    </xf>
    <xf numFmtId="176" fontId="72" fillId="6" borderId="13" xfId="0" applyNumberFormat="1" applyFont="1" applyFill="1" applyBorder="1" applyAlignment="1" applyProtection="1" quotePrefix="1">
      <alignment horizontal="center"/>
      <protection locked="0"/>
    </xf>
    <xf numFmtId="176" fontId="72" fillId="6" borderId="43" xfId="0" applyNumberFormat="1" applyFont="1" applyFill="1" applyBorder="1" applyAlignment="1" applyProtection="1" quotePrefix="1">
      <alignment horizontal="center"/>
      <protection locked="0"/>
    </xf>
    <xf numFmtId="4" fontId="72" fillId="6" borderId="2" xfId="0" applyNumberFormat="1" applyFont="1" applyFill="1" applyBorder="1" applyAlignment="1" applyProtection="1">
      <alignment horizontal="center"/>
      <protection locked="0"/>
    </xf>
    <xf numFmtId="4" fontId="75" fillId="7" borderId="1" xfId="0" applyNumberFormat="1" applyFont="1" applyFill="1" applyBorder="1" applyAlignment="1" applyProtection="1">
      <alignment horizontal="center"/>
      <protection locked="0"/>
    </xf>
    <xf numFmtId="4" fontId="78" fillId="8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Border="1" applyAlignment="1" applyProtection="1">
      <alignment horizontal="center"/>
      <protection locked="0"/>
    </xf>
    <xf numFmtId="179" fontId="4" fillId="0" borderId="5" xfId="0" applyNumberFormat="1" applyFont="1" applyBorder="1" applyAlignment="1" applyProtection="1" quotePrefix="1">
      <alignment horizontal="center"/>
      <protection locked="0"/>
    </xf>
    <xf numFmtId="2" fontId="67" fillId="4" borderId="5" xfId="0" applyNumberFormat="1" applyFont="1" applyFill="1" applyBorder="1" applyAlignment="1" applyProtection="1">
      <alignment horizontal="center"/>
      <protection locked="0"/>
    </xf>
    <xf numFmtId="2" fontId="56" fillId="5" borderId="5" xfId="0" applyNumberFormat="1" applyFont="1" applyFill="1" applyBorder="1" applyAlignment="1" applyProtection="1">
      <alignment horizontal="center"/>
      <protection locked="0"/>
    </xf>
    <xf numFmtId="176" fontId="57" fillId="3" borderId="52" xfId="0" applyNumberFormat="1" applyFont="1" applyFill="1" applyBorder="1" applyAlignment="1" applyProtection="1" quotePrefix="1">
      <alignment horizontal="center"/>
      <protection locked="0"/>
    </xf>
    <xf numFmtId="176" fontId="57" fillId="3" borderId="73" xfId="0" applyNumberFormat="1" applyFont="1" applyFill="1" applyBorder="1" applyAlignment="1" applyProtection="1" quotePrefix="1">
      <alignment horizontal="center"/>
      <protection locked="0"/>
    </xf>
    <xf numFmtId="4" fontId="57" fillId="3" borderId="53" xfId="0" applyNumberFormat="1" applyFont="1" applyFill="1" applyBorder="1" applyAlignment="1" applyProtection="1">
      <alignment horizontal="center"/>
      <protection locked="0"/>
    </xf>
    <xf numFmtId="176" fontId="72" fillId="6" borderId="52" xfId="0" applyNumberFormat="1" applyFont="1" applyFill="1" applyBorder="1" applyAlignment="1" applyProtection="1" quotePrefix="1">
      <alignment horizontal="center"/>
      <protection locked="0"/>
    </xf>
    <xf numFmtId="176" fontId="72" fillId="6" borderId="73" xfId="0" applyNumberFormat="1" applyFont="1" applyFill="1" applyBorder="1" applyAlignment="1" applyProtection="1" quotePrefix="1">
      <alignment horizontal="center"/>
      <protection locked="0"/>
    </xf>
    <xf numFmtId="4" fontId="72" fillId="6" borderId="53" xfId="0" applyNumberFormat="1" applyFont="1" applyFill="1" applyBorder="1" applyAlignment="1" applyProtection="1">
      <alignment horizontal="center"/>
      <protection locked="0"/>
    </xf>
    <xf numFmtId="4" fontId="75" fillId="7" borderId="5" xfId="0" applyNumberFormat="1" applyFont="1" applyFill="1" applyBorder="1" applyAlignment="1" applyProtection="1">
      <alignment horizontal="center"/>
      <protection locked="0"/>
    </xf>
    <xf numFmtId="4" fontId="78" fillId="8" borderId="5" xfId="0" applyNumberFormat="1" applyFont="1" applyFill="1" applyBorder="1" applyAlignment="1" applyProtection="1">
      <alignment horizontal="center"/>
      <protection locked="0"/>
    </xf>
    <xf numFmtId="4" fontId="5" fillId="0" borderId="5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179" fontId="4" fillId="0" borderId="2" xfId="0" applyNumberFormat="1" applyFont="1" applyBorder="1" applyAlignment="1" applyProtection="1" quotePrefix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172" fontId="4" fillId="0" borderId="4" xfId="0" applyNumberFormat="1" applyFont="1" applyBorder="1" applyAlignment="1" applyProtection="1">
      <alignment horizontal="center"/>
      <protection locked="0"/>
    </xf>
    <xf numFmtId="1" fontId="4" fillId="0" borderId="10" xfId="0" applyNumberFormat="1" applyFont="1" applyBorder="1" applyAlignment="1" applyProtection="1" quotePrefix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 quotePrefix="1">
      <alignment horizontal="center"/>
      <protection locked="0"/>
    </xf>
    <xf numFmtId="172" fontId="5" fillId="0" borderId="39" xfId="0" applyNumberFormat="1" applyFont="1" applyFill="1" applyBorder="1" applyAlignment="1" applyProtection="1">
      <alignment horizontal="center"/>
      <protection locked="0"/>
    </xf>
    <xf numFmtId="22" fontId="4" fillId="0" borderId="1" xfId="0" applyNumberFormat="1" applyFont="1" applyFill="1" applyBorder="1" applyAlignment="1" applyProtection="1">
      <alignment horizontal="center"/>
      <protection locked="0"/>
    </xf>
    <xf numFmtId="38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Border="1" applyAlignment="1" applyProtection="1" quotePrefix="1">
      <alignment horizontal="center"/>
      <protection locked="0"/>
    </xf>
    <xf numFmtId="176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11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2" fontId="5" fillId="0" borderId="1" xfId="0" applyNumberFormat="1" applyFont="1" applyBorder="1" applyAlignment="1" applyProtection="1" quotePrefix="1">
      <alignment horizontal="center"/>
      <protection locked="0"/>
    </xf>
    <xf numFmtId="0" fontId="6" fillId="0" borderId="60" xfId="0" applyFont="1" applyBorder="1" applyAlignment="1" applyProtection="1">
      <alignment horizontal="center"/>
      <protection locked="0"/>
    </xf>
    <xf numFmtId="22" fontId="4" fillId="0" borderId="13" xfId="0" applyNumberFormat="1" applyFont="1" applyBorder="1" applyAlignment="1" applyProtection="1">
      <alignment horizontal="center"/>
      <protection locked="0"/>
    </xf>
    <xf numFmtId="22" fontId="4" fillId="0" borderId="1" xfId="0" applyNumberFormat="1" applyFont="1" applyBorder="1" applyAlignment="1" applyProtection="1">
      <alignment horizontal="center"/>
      <protection locked="0"/>
    </xf>
    <xf numFmtId="176" fontId="4" fillId="0" borderId="11" xfId="0" applyNumberFormat="1" applyFont="1" applyBorder="1" applyAlignment="1" applyProtection="1">
      <alignment horizontal="center"/>
      <protection locked="0"/>
    </xf>
    <xf numFmtId="172" fontId="85" fillId="10" borderId="1" xfId="0" applyNumberFormat="1" applyFont="1" applyFill="1" applyBorder="1" applyAlignment="1" applyProtection="1">
      <alignment horizontal="center"/>
      <protection locked="0"/>
    </xf>
    <xf numFmtId="2" fontId="91" fillId="12" borderId="1" xfId="0" applyNumberFormat="1" applyFont="1" applyFill="1" applyBorder="1" applyAlignment="1" applyProtection="1">
      <alignment horizontal="center"/>
      <protection locked="0"/>
    </xf>
    <xf numFmtId="176" fontId="56" fillId="5" borderId="13" xfId="0" applyNumberFormat="1" applyFont="1" applyFill="1" applyBorder="1" applyAlignment="1" applyProtection="1" quotePrefix="1">
      <alignment horizontal="center"/>
      <protection locked="0"/>
    </xf>
    <xf numFmtId="176" fontId="56" fillId="5" borderId="55" xfId="0" applyNumberFormat="1" applyFont="1" applyFill="1" applyBorder="1" applyAlignment="1" applyProtection="1" quotePrefix="1">
      <alignment horizontal="center"/>
      <protection locked="0"/>
    </xf>
    <xf numFmtId="176" fontId="84" fillId="4" borderId="1" xfId="0" applyNumberFormat="1" applyFont="1" applyFill="1" applyBorder="1" applyAlignment="1" applyProtection="1" quotePrefix="1">
      <alignment horizontal="center"/>
      <protection locked="0"/>
    </xf>
    <xf numFmtId="172" fontId="85" fillId="10" borderId="5" xfId="0" applyNumberFormat="1" applyFont="1" applyFill="1" applyBorder="1" applyAlignment="1" applyProtection="1">
      <alignment horizontal="center"/>
      <protection locked="0"/>
    </xf>
    <xf numFmtId="2" fontId="91" fillId="12" borderId="5" xfId="0" applyNumberFormat="1" applyFont="1" applyFill="1" applyBorder="1" applyAlignment="1" applyProtection="1">
      <alignment horizontal="center"/>
      <protection locked="0"/>
    </xf>
    <xf numFmtId="176" fontId="56" fillId="5" borderId="52" xfId="0" applyNumberFormat="1" applyFont="1" applyFill="1" applyBorder="1" applyAlignment="1" applyProtection="1" quotePrefix="1">
      <alignment horizontal="center"/>
      <protection locked="0"/>
    </xf>
    <xf numFmtId="176" fontId="56" fillId="5" borderId="53" xfId="0" applyNumberFormat="1" applyFont="1" applyFill="1" applyBorder="1" applyAlignment="1" applyProtection="1" quotePrefix="1">
      <alignment horizontal="center"/>
      <protection locked="0"/>
    </xf>
    <xf numFmtId="176" fontId="84" fillId="4" borderId="5" xfId="0" applyNumberFormat="1" applyFont="1" applyFill="1" applyBorder="1" applyAlignment="1" applyProtection="1" quotePrefix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172" fontId="62" fillId="3" borderId="3" xfId="0" applyNumberFormat="1" applyFont="1" applyFill="1" applyBorder="1" applyAlignment="1" applyProtection="1">
      <alignment horizontal="center"/>
      <protection locked="0"/>
    </xf>
    <xf numFmtId="2" fontId="94" fillId="7" borderId="1" xfId="0" applyNumberFormat="1" applyFont="1" applyFill="1" applyBorder="1" applyAlignment="1" applyProtection="1">
      <alignment horizontal="center"/>
      <protection locked="0"/>
    </xf>
    <xf numFmtId="176" fontId="68" fillId="14" borderId="16" xfId="0" applyNumberFormat="1" applyFont="1" applyFill="1" applyBorder="1" applyAlignment="1" applyProtection="1" quotePrefix="1">
      <alignment horizontal="center"/>
      <protection locked="0"/>
    </xf>
    <xf numFmtId="176" fontId="68" fillId="14" borderId="10" xfId="0" applyNumberFormat="1" applyFont="1" applyFill="1" applyBorder="1" applyAlignment="1" applyProtection="1" quotePrefix="1">
      <alignment horizontal="center"/>
      <protection locked="0"/>
    </xf>
    <xf numFmtId="176" fontId="72" fillId="5" borderId="4" xfId="0" applyNumberFormat="1" applyFont="1" applyFill="1" applyBorder="1" applyAlignment="1" applyProtection="1" quotePrefix="1">
      <alignment horizontal="center"/>
      <protection locked="0"/>
    </xf>
    <xf numFmtId="172" fontId="62" fillId="3" borderId="28" xfId="0" applyNumberFormat="1" applyFont="1" applyFill="1" applyBorder="1" applyAlignment="1" applyProtection="1">
      <alignment horizontal="center"/>
      <protection locked="0"/>
    </xf>
    <xf numFmtId="2" fontId="94" fillId="7" borderId="5" xfId="0" applyNumberFormat="1" applyFont="1" applyFill="1" applyBorder="1" applyAlignment="1" applyProtection="1">
      <alignment horizontal="center"/>
      <protection locked="0"/>
    </xf>
    <xf numFmtId="176" fontId="68" fillId="14" borderId="48" xfId="0" applyNumberFormat="1" applyFont="1" applyFill="1" applyBorder="1" applyAlignment="1" applyProtection="1" quotePrefix="1">
      <alignment horizontal="center"/>
      <protection locked="0"/>
    </xf>
    <xf numFmtId="176" fontId="68" fillId="14" borderId="41" xfId="0" applyNumberFormat="1" applyFont="1" applyFill="1" applyBorder="1" applyAlignment="1" applyProtection="1" quotePrefix="1">
      <alignment horizontal="center"/>
      <protection locked="0"/>
    </xf>
    <xf numFmtId="176" fontId="72" fillId="5" borderId="5" xfId="0" applyNumberFormat="1" applyFont="1" applyFill="1" applyBorder="1" applyAlignment="1" applyProtection="1" quotePrefix="1">
      <alignment horizontal="center"/>
      <protection locked="0"/>
    </xf>
    <xf numFmtId="7" fontId="21" fillId="0" borderId="14" xfId="0" applyNumberFormat="1" applyFont="1" applyFill="1" applyBorder="1" applyAlignment="1">
      <alignment horizontal="right"/>
    </xf>
    <xf numFmtId="22" fontId="4" fillId="0" borderId="4" xfId="0" applyNumberFormat="1" applyFont="1" applyBorder="1" applyAlignment="1" applyProtection="1">
      <alignment horizontal="center"/>
      <protection locked="0"/>
    </xf>
    <xf numFmtId="22" fontId="4" fillId="0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72" fontId="5" fillId="0" borderId="0" xfId="0" applyNumberFormat="1" applyFont="1" applyBorder="1" applyAlignment="1" applyProtection="1" quotePrefix="1">
      <alignment horizontal="center"/>
      <protection/>
    </xf>
    <xf numFmtId="176" fontId="62" fillId="3" borderId="0" xfId="0" applyNumberFormat="1" applyFont="1" applyFill="1" applyBorder="1" applyAlignment="1" applyProtection="1">
      <alignment horizontal="center"/>
      <protection/>
    </xf>
    <xf numFmtId="22" fontId="4" fillId="0" borderId="0" xfId="0" applyNumberFormat="1" applyFont="1" applyBorder="1" applyAlignment="1">
      <alignment horizontal="center"/>
    </xf>
    <xf numFmtId="172" fontId="4" fillId="0" borderId="0" xfId="0" applyNumberFormat="1" applyFont="1" applyFill="1" applyBorder="1" applyAlignment="1" applyProtection="1" quotePrefix="1">
      <alignment horizontal="center"/>
      <protection/>
    </xf>
    <xf numFmtId="176" fontId="56" fillId="5" borderId="0" xfId="0" applyNumberFormat="1" applyFont="1" applyFill="1" applyBorder="1" applyAlignment="1" applyProtection="1" quotePrefix="1">
      <alignment horizontal="center"/>
      <protection/>
    </xf>
    <xf numFmtId="176" fontId="84" fillId="4" borderId="0" xfId="0" applyNumberFormat="1" applyFont="1" applyFill="1" applyBorder="1" applyAlignment="1" applyProtection="1" quotePrefix="1">
      <alignment horizontal="center"/>
      <protection/>
    </xf>
    <xf numFmtId="176" fontId="4" fillId="0" borderId="0" xfId="0" applyNumberFormat="1" applyFont="1" applyBorder="1" applyAlignment="1">
      <alignment horizontal="center"/>
    </xf>
    <xf numFmtId="0" fontId="112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63" fillId="0" borderId="0" xfId="0" applyFont="1" applyAlignment="1">
      <alignment/>
    </xf>
    <xf numFmtId="0" fontId="113" fillId="0" borderId="0" xfId="0" applyFont="1" applyAlignment="1">
      <alignment horizontal="centerContinuous"/>
    </xf>
    <xf numFmtId="0" fontId="63" fillId="0" borderId="0" xfId="0" applyFont="1" applyAlignment="1">
      <alignment/>
    </xf>
    <xf numFmtId="0" fontId="29" fillId="0" borderId="0" xfId="0" applyFont="1" applyAlignment="1">
      <alignment/>
    </xf>
    <xf numFmtId="0" fontId="113" fillId="0" borderId="0" xfId="0" applyFont="1" applyAlignment="1">
      <alignment/>
    </xf>
    <xf numFmtId="0" fontId="113" fillId="0" borderId="0" xfId="0" applyFont="1" applyAlignment="1">
      <alignment/>
    </xf>
    <xf numFmtId="0" fontId="29" fillId="0" borderId="18" xfId="0" applyFont="1" applyBorder="1" applyAlignment="1">
      <alignment horizontal="centerContinuous"/>
    </xf>
    <xf numFmtId="0" fontId="29" fillId="0" borderId="19" xfId="0" applyFont="1" applyBorder="1" applyAlignment="1">
      <alignment horizontal="centerContinuous"/>
    </xf>
    <xf numFmtId="0" fontId="29" fillId="0" borderId="20" xfId="0" applyFont="1" applyBorder="1" applyAlignment="1">
      <alignment/>
    </xf>
    <xf numFmtId="0" fontId="29" fillId="0" borderId="0" xfId="0" applyFont="1" applyBorder="1" applyAlignment="1">
      <alignment horizontal="centerContinuous"/>
    </xf>
    <xf numFmtId="0" fontId="29" fillId="0" borderId="22" xfId="0" applyFont="1" applyBorder="1" applyAlignment="1">
      <alignment horizontal="centerContinuous"/>
    </xf>
    <xf numFmtId="0" fontId="29" fillId="0" borderId="22" xfId="0" applyFont="1" applyBorder="1" applyAlignment="1">
      <alignment/>
    </xf>
    <xf numFmtId="17" fontId="33" fillId="0" borderId="17" xfId="0" applyNumberFormat="1" applyFont="1" applyBorder="1" applyAlignment="1">
      <alignment horizontal="center" vertical="center"/>
    </xf>
    <xf numFmtId="0" fontId="114" fillId="0" borderId="0" xfId="0" applyFont="1" applyAlignment="1">
      <alignment vertical="center"/>
    </xf>
    <xf numFmtId="0" fontId="114" fillId="0" borderId="21" xfId="0" applyFont="1" applyBorder="1" applyAlignment="1">
      <alignment vertical="center"/>
    </xf>
    <xf numFmtId="0" fontId="114" fillId="0" borderId="12" xfId="0" applyFont="1" applyBorder="1" applyAlignment="1">
      <alignment vertical="center"/>
    </xf>
    <xf numFmtId="0" fontId="114" fillId="0" borderId="1" xfId="0" applyFont="1" applyBorder="1" applyAlignment="1">
      <alignment vertical="center"/>
    </xf>
    <xf numFmtId="0" fontId="114" fillId="21" borderId="1" xfId="0" applyFont="1" applyFill="1" applyBorder="1" applyAlignment="1">
      <alignment vertical="center"/>
    </xf>
    <xf numFmtId="0" fontId="114" fillId="0" borderId="47" xfId="0" applyFont="1" applyBorder="1" applyAlignment="1">
      <alignment vertical="center"/>
    </xf>
    <xf numFmtId="0" fontId="114" fillId="0" borderId="22" xfId="0" applyFont="1" applyBorder="1" applyAlignment="1">
      <alignment vertical="center"/>
    </xf>
    <xf numFmtId="0" fontId="114" fillId="1" borderId="13" xfId="0" applyFont="1" applyFill="1" applyBorder="1" applyAlignment="1">
      <alignment horizontal="center" vertical="center"/>
    </xf>
    <xf numFmtId="0" fontId="114" fillId="1" borderId="1" xfId="0" applyFont="1" applyFill="1" applyBorder="1" applyAlignment="1">
      <alignment horizontal="center" vertical="center"/>
    </xf>
    <xf numFmtId="0" fontId="114" fillId="21" borderId="4" xfId="0" applyFont="1" applyFill="1" applyBorder="1" applyAlignment="1">
      <alignment horizontal="center" vertical="center"/>
    </xf>
    <xf numFmtId="0" fontId="114" fillId="0" borderId="33" xfId="0" applyFont="1" applyBorder="1" applyAlignment="1">
      <alignment horizontal="center" vertical="center"/>
    </xf>
    <xf numFmtId="0" fontId="114" fillId="0" borderId="16" xfId="0" applyFont="1" applyBorder="1" applyAlignment="1">
      <alignment horizontal="center" vertical="center"/>
    </xf>
    <xf numFmtId="0" fontId="114" fillId="0" borderId="4" xfId="0" applyFont="1" applyBorder="1" applyAlignment="1">
      <alignment horizontal="center" vertical="center"/>
    </xf>
    <xf numFmtId="0" fontId="114" fillId="1" borderId="16" xfId="0" applyFont="1" applyFill="1" applyBorder="1" applyAlignment="1">
      <alignment horizontal="center" vertical="center"/>
    </xf>
    <xf numFmtId="0" fontId="114" fillId="1" borderId="4" xfId="0" applyFont="1" applyFill="1" applyBorder="1" applyAlignment="1">
      <alignment horizontal="center" vertical="center"/>
    </xf>
    <xf numFmtId="0" fontId="114" fillId="0" borderId="48" xfId="0" applyFont="1" applyBorder="1" applyAlignment="1">
      <alignment horizontal="center" vertical="center"/>
    </xf>
    <xf numFmtId="0" fontId="114" fillId="0" borderId="39" xfId="0" applyFont="1" applyBorder="1" applyAlignment="1">
      <alignment horizontal="center" vertical="center"/>
    </xf>
    <xf numFmtId="0" fontId="114" fillId="21" borderId="39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vertical="center"/>
    </xf>
    <xf numFmtId="0" fontId="115" fillId="0" borderId="0" xfId="0" applyFont="1" applyFill="1" applyBorder="1" applyAlignment="1">
      <alignment horizontal="right" vertical="center"/>
    </xf>
    <xf numFmtId="178" fontId="115" fillId="0" borderId="17" xfId="0" applyNumberFormat="1" applyFont="1" applyFill="1" applyBorder="1" applyAlignment="1">
      <alignment horizontal="center" vertical="center"/>
    </xf>
    <xf numFmtId="0" fontId="114" fillId="0" borderId="23" xfId="0" applyFont="1" applyFill="1" applyBorder="1" applyAlignment="1">
      <alignment horizontal="center" vertical="center"/>
    </xf>
    <xf numFmtId="0" fontId="114" fillId="0" borderId="29" xfId="0" applyFont="1" applyFill="1" applyBorder="1" applyAlignment="1">
      <alignment horizontal="center" vertical="center"/>
    </xf>
    <xf numFmtId="0" fontId="114" fillId="0" borderId="24" xfId="0" applyFont="1" applyFill="1" applyBorder="1" applyAlignment="1">
      <alignment horizontal="center" vertical="center"/>
    </xf>
    <xf numFmtId="0" fontId="114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 vertical="center"/>
    </xf>
    <xf numFmtId="0" fontId="114" fillId="0" borderId="0" xfId="0" applyFont="1" applyBorder="1" applyAlignment="1">
      <alignment horizontal="right" vertical="center"/>
    </xf>
    <xf numFmtId="0" fontId="115" fillId="0" borderId="0" xfId="0" applyFont="1" applyBorder="1" applyAlignment="1">
      <alignment horizontal="right" vertical="center"/>
    </xf>
    <xf numFmtId="0" fontId="114" fillId="0" borderId="17" xfId="0" applyFont="1" applyBorder="1" applyAlignment="1">
      <alignment horizontal="center" vertical="center"/>
    </xf>
    <xf numFmtId="0" fontId="114" fillId="0" borderId="5" xfId="0" applyFont="1" applyBorder="1" applyAlignment="1">
      <alignment horizontal="center" vertical="center"/>
    </xf>
    <xf numFmtId="2" fontId="115" fillId="2" borderId="17" xfId="0" applyNumberFormat="1" applyFont="1" applyFill="1" applyBorder="1" applyAlignment="1">
      <alignment horizontal="center" vertical="center"/>
    </xf>
    <xf numFmtId="2" fontId="115" fillId="21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22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116" fillId="21" borderId="69" xfId="0" applyFont="1" applyFill="1" applyBorder="1" applyAlignment="1" applyProtection="1">
      <alignment horizontal="right"/>
      <protection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0" fontId="17" fillId="0" borderId="29" xfId="0" applyFont="1" applyBorder="1" applyAlignment="1">
      <alignment horizontal="right"/>
    </xf>
    <xf numFmtId="2" fontId="17" fillId="0" borderId="29" xfId="0" applyNumberFormat="1" applyFont="1" applyBorder="1" applyAlignment="1">
      <alignment horizontal="center"/>
    </xf>
    <xf numFmtId="0" fontId="117" fillId="0" borderId="29" xfId="0" applyFont="1" applyBorder="1" applyAlignment="1">
      <alignment/>
    </xf>
    <xf numFmtId="0" fontId="0" fillId="0" borderId="24" xfId="0" applyBorder="1" applyAlignment="1">
      <alignment/>
    </xf>
    <xf numFmtId="0" fontId="29" fillId="0" borderId="26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7" fontId="4" fillId="0" borderId="0" xfId="0" applyNumberFormat="1" applyFont="1" applyBorder="1" applyAlignment="1">
      <alignment/>
    </xf>
    <xf numFmtId="176" fontId="4" fillId="0" borderId="70" xfId="0" applyNumberFormat="1" applyFont="1" applyBorder="1" applyAlignment="1" applyProtection="1">
      <alignment horizontal="center"/>
      <protection/>
    </xf>
    <xf numFmtId="176" fontId="4" fillId="0" borderId="71" xfId="0" applyNumberFormat="1" applyFont="1" applyBorder="1" applyAlignment="1" applyProtection="1">
      <alignment horizontal="center"/>
      <protection/>
    </xf>
    <xf numFmtId="0" fontId="33" fillId="0" borderId="23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33" fillId="0" borderId="23" xfId="0" applyFont="1" applyBorder="1" applyAlignment="1" applyProtection="1">
      <alignment horizontal="center" vertical="center" wrapText="1"/>
      <protection/>
    </xf>
    <xf numFmtId="0" fontId="33" fillId="0" borderId="24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176" fontId="4" fillId="0" borderId="15" xfId="0" applyNumberFormat="1" applyFont="1" applyBorder="1" applyAlignment="1" applyProtection="1">
      <alignment horizontal="center"/>
      <protection/>
    </xf>
    <xf numFmtId="176" fontId="4" fillId="0" borderId="8" xfId="0" applyNumberFormat="1" applyFont="1" applyBorder="1" applyAlignment="1" applyProtection="1">
      <alignment horizontal="center"/>
      <protection/>
    </xf>
    <xf numFmtId="0" fontId="33" fillId="0" borderId="24" xfId="0" applyFont="1" applyBorder="1" applyAlignment="1" applyProtection="1">
      <alignment horizontal="center" vertical="center"/>
      <protection/>
    </xf>
    <xf numFmtId="7" fontId="16" fillId="0" borderId="0" xfId="0" applyNumberFormat="1" applyFont="1" applyFill="1" applyBorder="1" applyAlignment="1">
      <alignment horizontal="center"/>
    </xf>
    <xf numFmtId="7" fontId="16" fillId="0" borderId="3" xfId="0" applyNumberFormat="1" applyFont="1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ENOR9604" xfId="21"/>
    <cellStyle name="Normal_líneas" xfId="22"/>
    <cellStyle name="Normal_TRAN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9525</xdr:rowOff>
    </xdr:from>
    <xdr:to>
      <xdr:col>1</xdr:col>
      <xdr:colOff>247650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47625</xdr:colOff>
      <xdr:row>17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3409950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5">
          <cell r="DN15">
            <v>37653</v>
          </cell>
          <cell r="DO15">
            <v>37681</v>
          </cell>
          <cell r="DP15">
            <v>37712</v>
          </cell>
          <cell r="DQ15">
            <v>37742</v>
          </cell>
          <cell r="DR15">
            <v>37773</v>
          </cell>
          <cell r="DS15">
            <v>37803</v>
          </cell>
          <cell r="DT15">
            <v>37834</v>
          </cell>
          <cell r="DU15">
            <v>37865</v>
          </cell>
          <cell r="DV15">
            <v>37895</v>
          </cell>
          <cell r="DW15">
            <v>37926</v>
          </cell>
          <cell r="DX15">
            <v>37956</v>
          </cell>
          <cell r="DY15">
            <v>37987</v>
          </cell>
          <cell r="DZ15">
            <v>38018</v>
          </cell>
        </row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G17" t="str">
            <v>B</v>
          </cell>
          <cell r="DS17">
            <v>1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  <cell r="DO18">
            <v>1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G20" t="str">
            <v>C</v>
          </cell>
          <cell r="DO20">
            <v>1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  <cell r="G21" t="str">
            <v>C</v>
          </cell>
          <cell r="DR21">
            <v>1</v>
          </cell>
          <cell r="DT21">
            <v>1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  <cell r="G22" t="str">
            <v>A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23" t="str">
            <v>A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  <cell r="G24" t="str">
            <v>B</v>
          </cell>
          <cell r="DO24">
            <v>1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  <cell r="DO25">
            <v>2</v>
          </cell>
          <cell r="DR25">
            <v>1</v>
          </cell>
          <cell r="DU25">
            <v>1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G26" t="str">
            <v>C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G27" t="str">
            <v>C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28" t="str">
            <v>B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G29" t="str">
            <v>C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  <cell r="G30" t="str">
            <v>C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  <cell r="G31" t="str">
            <v>C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  <cell r="G32" t="str">
            <v>C</v>
          </cell>
          <cell r="DS32">
            <v>1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  <cell r="G33" t="str">
            <v>C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  <cell r="G34" t="str">
            <v>A</v>
          </cell>
          <cell r="DS34">
            <v>1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G35" t="str">
            <v>A</v>
          </cell>
          <cell r="DV35">
            <v>1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  <cell r="G36" t="str">
            <v>C</v>
          </cell>
          <cell r="DQ36">
            <v>1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  <cell r="G37" t="str">
            <v>C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G38" t="str">
            <v>C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G39" t="str">
            <v>C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G40" t="str">
            <v>C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G41" t="str">
            <v>C</v>
          </cell>
          <cell r="DV41">
            <v>1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G42" t="str">
            <v>C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G43" t="str">
            <v>A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44" t="str">
            <v>A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G45" t="str">
            <v>B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46" t="str">
            <v>C</v>
          </cell>
          <cell r="DN46" t="str">
            <v>XXXX</v>
          </cell>
          <cell r="DO46" t="str">
            <v>XXXX</v>
          </cell>
          <cell r="DP46" t="str">
            <v>XXXX</v>
          </cell>
          <cell r="DQ46" t="str">
            <v>XXXX</v>
          </cell>
          <cell r="DR46" t="str">
            <v>XXXX</v>
          </cell>
          <cell r="DS46" t="str">
            <v>XXXX</v>
          </cell>
          <cell r="DT46" t="str">
            <v>XXXX</v>
          </cell>
          <cell r="DU46" t="str">
            <v>XXXX</v>
          </cell>
          <cell r="DV46" t="str">
            <v>XXXX</v>
          </cell>
          <cell r="DW46" t="str">
            <v>XXXX</v>
          </cell>
          <cell r="DX46" t="str">
            <v>XXXX</v>
          </cell>
          <cell r="DY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47" t="str">
            <v>B</v>
          </cell>
          <cell r="DU47">
            <v>1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G48" t="str">
            <v>B</v>
          </cell>
          <cell r="DO48">
            <v>2</v>
          </cell>
          <cell r="DP48">
            <v>2</v>
          </cell>
          <cell r="DT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  <cell r="DO49">
            <v>2</v>
          </cell>
          <cell r="DS49">
            <v>1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G51" t="str">
            <v>A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  <cell r="G52" t="str">
            <v>A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53" t="str">
            <v>A</v>
          </cell>
          <cell r="DU53">
            <v>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54" t="str">
            <v>A</v>
          </cell>
          <cell r="DN54" t="str">
            <v>XXXX</v>
          </cell>
          <cell r="DO54" t="str">
            <v>XXXX</v>
          </cell>
          <cell r="DP54" t="str">
            <v>XXXX</v>
          </cell>
          <cell r="DQ54" t="str">
            <v>XXXX</v>
          </cell>
          <cell r="DR54" t="str">
            <v>XXXX</v>
          </cell>
          <cell r="DS54" t="str">
            <v>XXXX</v>
          </cell>
          <cell r="DT54" t="str">
            <v>XXXX</v>
          </cell>
          <cell r="DU54" t="str">
            <v>XXXX</v>
          </cell>
          <cell r="DV54" t="str">
            <v>XXXX</v>
          </cell>
          <cell r="DW54" t="str">
            <v>XXXX</v>
          </cell>
          <cell r="DX54" t="str">
            <v>XXXX</v>
          </cell>
          <cell r="DY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  <cell r="G55" t="str">
            <v>C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G56" t="str">
            <v>B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57" t="str">
            <v>B</v>
          </cell>
          <cell r="DN57" t="str">
            <v>XXXX</v>
          </cell>
          <cell r="DO57" t="str">
            <v>XXXX</v>
          </cell>
          <cell r="DP57" t="str">
            <v>XXXX</v>
          </cell>
          <cell r="DQ57" t="str">
            <v>XXXX</v>
          </cell>
          <cell r="DR57" t="str">
            <v>XXXX</v>
          </cell>
          <cell r="DS57" t="str">
            <v>XXXX</v>
          </cell>
          <cell r="DT57" t="str">
            <v>XXXX</v>
          </cell>
          <cell r="DU57" t="str">
            <v>XXXX</v>
          </cell>
          <cell r="DV57" t="str">
            <v>XXXX</v>
          </cell>
          <cell r="DW57" t="str">
            <v>XXXX</v>
          </cell>
          <cell r="DX57" t="str">
            <v>XXXX</v>
          </cell>
          <cell r="DY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  <cell r="G58" t="str">
            <v>A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G59" t="str">
            <v>B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60" t="str">
            <v>A</v>
          </cell>
          <cell r="DN60">
            <v>1</v>
          </cell>
          <cell r="DO60">
            <v>1</v>
          </cell>
          <cell r="DW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61" t="str">
            <v>C</v>
          </cell>
          <cell r="DN61">
            <v>1</v>
          </cell>
        </row>
        <row r="62">
          <cell r="C62">
            <v>46</v>
          </cell>
          <cell r="D62" t="str">
            <v>SALTO GRANDE - SANTO TOME </v>
          </cell>
          <cell r="E62">
            <v>500</v>
          </cell>
          <cell r="F62">
            <v>289</v>
          </cell>
          <cell r="G62" t="str">
            <v>C</v>
          </cell>
          <cell r="DW62">
            <v>1</v>
          </cell>
        </row>
        <row r="63">
          <cell r="C63">
            <v>47</v>
          </cell>
          <cell r="D63" t="str">
            <v>SANTO TOME - ROMANG </v>
          </cell>
          <cell r="E63">
            <v>500</v>
          </cell>
          <cell r="F63">
            <v>270</v>
          </cell>
          <cell r="G63" t="str">
            <v>A</v>
          </cell>
          <cell r="DT63">
            <v>1</v>
          </cell>
        </row>
        <row r="65">
          <cell r="C65">
            <v>48</v>
          </cell>
          <cell r="D65" t="str">
            <v>GRAL. RODRIGUEZ - VILLA  LIA 1</v>
          </cell>
          <cell r="E65">
            <v>220</v>
          </cell>
          <cell r="F65">
            <v>61</v>
          </cell>
          <cell r="G65" t="str">
            <v>C</v>
          </cell>
          <cell r="DS65">
            <v>1</v>
          </cell>
        </row>
        <row r="66">
          <cell r="C66">
            <v>49</v>
          </cell>
          <cell r="D66" t="str">
            <v>GRAL. RODRIGUEZ - VILLA  LIA 2</v>
          </cell>
          <cell r="E66">
            <v>220</v>
          </cell>
          <cell r="F66">
            <v>61</v>
          </cell>
          <cell r="G66" t="str">
            <v>C</v>
          </cell>
        </row>
        <row r="67">
          <cell r="C67">
            <v>50</v>
          </cell>
          <cell r="D67" t="str">
            <v>RAMALLO - SAN NICOLAS (2)</v>
          </cell>
          <cell r="E67">
            <v>220</v>
          </cell>
          <cell r="F67">
            <v>6</v>
          </cell>
          <cell r="G67" t="str">
            <v>C</v>
          </cell>
        </row>
        <row r="68">
          <cell r="C68">
            <v>51</v>
          </cell>
          <cell r="D68" t="str">
            <v>RAMALLO - SAN NICOLAS (1)</v>
          </cell>
          <cell r="E68">
            <v>220</v>
          </cell>
          <cell r="F68">
            <v>6</v>
          </cell>
          <cell r="G68" t="str">
            <v>C</v>
          </cell>
          <cell r="DW68">
            <v>1</v>
          </cell>
        </row>
        <row r="69">
          <cell r="C69">
            <v>52</v>
          </cell>
          <cell r="D69" t="str">
            <v>RAMALLO - VILLA LIA  1</v>
          </cell>
          <cell r="E69">
            <v>220</v>
          </cell>
          <cell r="F69">
            <v>114</v>
          </cell>
          <cell r="G69" t="str">
            <v>C</v>
          </cell>
          <cell r="DP69">
            <v>1</v>
          </cell>
          <cell r="DQ69">
            <v>1</v>
          </cell>
        </row>
        <row r="70">
          <cell r="C70">
            <v>53</v>
          </cell>
          <cell r="D70" t="str">
            <v>RAMALLO - VILLA LIA  2</v>
          </cell>
          <cell r="E70">
            <v>220</v>
          </cell>
          <cell r="F70">
            <v>114</v>
          </cell>
          <cell r="G70" t="str">
            <v>C</v>
          </cell>
        </row>
        <row r="71">
          <cell r="C71">
            <v>54</v>
          </cell>
          <cell r="D71" t="str">
            <v>ROSARIO OESTE - RAMALLO  1</v>
          </cell>
          <cell r="E71">
            <v>220</v>
          </cell>
          <cell r="F71">
            <v>77</v>
          </cell>
          <cell r="G71" t="str">
            <v>C</v>
          </cell>
          <cell r="DT71">
            <v>1</v>
          </cell>
        </row>
        <row r="72">
          <cell r="C72">
            <v>55</v>
          </cell>
          <cell r="D72" t="str">
            <v>ROSARIO OESTE - RAMALLO  2</v>
          </cell>
          <cell r="E72">
            <v>220</v>
          </cell>
          <cell r="F72">
            <v>77</v>
          </cell>
          <cell r="G72" t="str">
            <v>C</v>
          </cell>
          <cell r="DW72">
            <v>1</v>
          </cell>
        </row>
        <row r="73">
          <cell r="C73">
            <v>56</v>
          </cell>
          <cell r="D73" t="str">
            <v>VILLA LIA - ATUCHA 1</v>
          </cell>
          <cell r="E73">
            <v>220</v>
          </cell>
          <cell r="F73">
            <v>26</v>
          </cell>
          <cell r="G73" t="str">
            <v>C</v>
          </cell>
        </row>
        <row r="74">
          <cell r="C74">
            <v>57</v>
          </cell>
          <cell r="D74" t="str">
            <v>VILLA LIA - ATUCHA 2</v>
          </cell>
          <cell r="E74">
            <v>220</v>
          </cell>
          <cell r="F74">
            <v>26</v>
          </cell>
          <cell r="G74" t="str">
            <v>C</v>
          </cell>
        </row>
        <row r="76">
          <cell r="C76">
            <v>58</v>
          </cell>
          <cell r="D76" t="str">
            <v>GRAL RODRIGUEZ - RAMALLO</v>
          </cell>
          <cell r="E76">
            <v>500</v>
          </cell>
          <cell r="F76">
            <v>183.9</v>
          </cell>
          <cell r="G76" t="str">
            <v>C</v>
          </cell>
        </row>
        <row r="77">
          <cell r="C77">
            <v>59</v>
          </cell>
          <cell r="D77" t="str">
            <v>RAMALLO - ROSARIO OESTE</v>
          </cell>
          <cell r="E77">
            <v>500</v>
          </cell>
          <cell r="F77">
            <v>77</v>
          </cell>
          <cell r="G77" t="str">
            <v>C</v>
          </cell>
          <cell r="DN77">
            <v>1</v>
          </cell>
          <cell r="DW77">
            <v>1</v>
          </cell>
        </row>
        <row r="78">
          <cell r="C78">
            <v>60</v>
          </cell>
          <cell r="D78" t="str">
            <v>MACACHIN - HENDERSON</v>
          </cell>
          <cell r="E78">
            <v>500</v>
          </cell>
          <cell r="F78">
            <v>194</v>
          </cell>
          <cell r="G78" t="str">
            <v>A</v>
          </cell>
          <cell r="DR78">
            <v>1</v>
          </cell>
          <cell r="DU78">
            <v>1</v>
          </cell>
        </row>
        <row r="79">
          <cell r="C79">
            <v>61</v>
          </cell>
          <cell r="D79" t="str">
            <v>PUELCHES - MACACHIN</v>
          </cell>
          <cell r="E79">
            <v>500</v>
          </cell>
          <cell r="F79">
            <v>227</v>
          </cell>
          <cell r="G79" t="str">
            <v>A</v>
          </cell>
          <cell r="DU79">
            <v>2</v>
          </cell>
        </row>
        <row r="82">
          <cell r="C82">
            <v>62</v>
          </cell>
          <cell r="D82" t="str">
            <v>YACYRETÁ - RINCON I</v>
          </cell>
          <cell r="E82">
            <v>500</v>
          </cell>
          <cell r="F82">
            <v>3.6</v>
          </cell>
          <cell r="G82" t="str">
            <v>B</v>
          </cell>
        </row>
        <row r="83">
          <cell r="C83">
            <v>63</v>
          </cell>
          <cell r="D83" t="str">
            <v>YACYRETÁ - RINCON II</v>
          </cell>
          <cell r="E83">
            <v>500</v>
          </cell>
          <cell r="F83">
            <v>3.6</v>
          </cell>
          <cell r="G83" t="str">
            <v>B</v>
          </cell>
        </row>
        <row r="84">
          <cell r="C84">
            <v>64</v>
          </cell>
          <cell r="D84" t="str">
            <v>YACYRETÁ - RINCON III</v>
          </cell>
          <cell r="E84">
            <v>500</v>
          </cell>
          <cell r="F84">
            <v>3.6</v>
          </cell>
          <cell r="G84" t="str">
            <v>B</v>
          </cell>
        </row>
        <row r="85">
          <cell r="C85">
            <v>65</v>
          </cell>
          <cell r="D85" t="str">
            <v>RINCON - PASO DE LA PATRIA</v>
          </cell>
          <cell r="E85">
            <v>500</v>
          </cell>
          <cell r="F85">
            <v>227</v>
          </cell>
          <cell r="G85" t="str">
            <v>A</v>
          </cell>
        </row>
        <row r="86">
          <cell r="C86">
            <v>66</v>
          </cell>
          <cell r="D86" t="str">
            <v>PASO DE LA PATRIA - RESISTENCIA</v>
          </cell>
          <cell r="E86">
            <v>500</v>
          </cell>
          <cell r="F86">
            <v>40</v>
          </cell>
          <cell r="G86" t="str">
            <v>C</v>
          </cell>
          <cell r="DW86">
            <v>1</v>
          </cell>
        </row>
        <row r="87">
          <cell r="C87">
            <v>67</v>
          </cell>
          <cell r="D87" t="str">
            <v>RINCON - RESISTENCIA</v>
          </cell>
          <cell r="E87">
            <v>500</v>
          </cell>
          <cell r="F87">
            <v>267</v>
          </cell>
          <cell r="G87" t="str">
            <v>B</v>
          </cell>
          <cell r="DN87" t="str">
            <v>XXXX</v>
          </cell>
          <cell r="DO87" t="str">
            <v>XXXX</v>
          </cell>
          <cell r="DP87" t="str">
            <v>XXXX</v>
          </cell>
          <cell r="DQ87" t="str">
            <v>XXXX</v>
          </cell>
          <cell r="DR87" t="str">
            <v>XXXX</v>
          </cell>
          <cell r="DS87" t="str">
            <v>XXXX</v>
          </cell>
          <cell r="DT87" t="str">
            <v>XXXX</v>
          </cell>
          <cell r="DU87" t="str">
            <v>XXXX</v>
          </cell>
          <cell r="DV87" t="str">
            <v>XXXX</v>
          </cell>
          <cell r="DW87" t="str">
            <v>XXXX</v>
          </cell>
          <cell r="DX87" t="str">
            <v>XXXX</v>
          </cell>
          <cell r="DY87" t="str">
            <v>XXXX</v>
          </cell>
        </row>
        <row r="89">
          <cell r="C89">
            <v>68</v>
          </cell>
          <cell r="D89" t="str">
            <v>RINCON - SALTO GRANDE</v>
          </cell>
          <cell r="E89">
            <v>500</v>
          </cell>
          <cell r="F89">
            <v>506</v>
          </cell>
          <cell r="G89" t="str">
            <v>A</v>
          </cell>
          <cell r="DV89">
            <v>1</v>
          </cell>
        </row>
        <row r="90">
          <cell r="C90">
            <v>69</v>
          </cell>
          <cell r="D90" t="str">
            <v>RINCON - SAN ISIDRO</v>
          </cell>
          <cell r="E90">
            <v>500</v>
          </cell>
          <cell r="F90">
            <v>85</v>
          </cell>
          <cell r="G90" t="str">
            <v>C</v>
          </cell>
        </row>
        <row r="100">
          <cell r="DN100">
            <v>0.7</v>
          </cell>
          <cell r="DO100">
            <v>0.73</v>
          </cell>
          <cell r="DP100">
            <v>0.79</v>
          </cell>
          <cell r="DQ100">
            <v>0.79</v>
          </cell>
          <cell r="DR100">
            <v>0.78</v>
          </cell>
          <cell r="DS100">
            <v>0.8</v>
          </cell>
          <cell r="DT100">
            <v>0.8</v>
          </cell>
          <cell r="DU100">
            <v>0.8</v>
          </cell>
          <cell r="DV100">
            <v>0.83</v>
          </cell>
          <cell r="DW100">
            <v>0.8</v>
          </cell>
          <cell r="DX100">
            <v>0.6</v>
          </cell>
          <cell r="DY100">
            <v>0.51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47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2.7109375" style="16" customWidth="1"/>
    <col min="2" max="2" width="7.7109375" style="16" customWidth="1"/>
    <col min="3" max="3" width="16.140625" style="16" customWidth="1"/>
    <col min="4" max="4" width="18.7109375" style="16" customWidth="1"/>
    <col min="5" max="5" width="17.421875" style="16" customWidth="1"/>
    <col min="6" max="6" width="26.7109375" style="16" customWidth="1"/>
    <col min="7" max="7" width="29.421875" style="16" customWidth="1"/>
    <col min="8" max="8" width="22.421875" style="16" customWidth="1"/>
    <col min="9" max="9" width="15.7109375" style="16" customWidth="1"/>
    <col min="10" max="10" width="12.28125" style="16" customWidth="1"/>
    <col min="11" max="11" width="15.7109375" style="16" customWidth="1"/>
    <col min="12" max="13" width="11.421875" style="16" customWidth="1"/>
    <col min="14" max="14" width="14.140625" style="16" customWidth="1"/>
    <col min="15" max="15" width="11.421875" style="16" customWidth="1"/>
    <col min="16" max="16" width="14.7109375" style="16" customWidth="1"/>
    <col min="17" max="17" width="11.421875" style="16" customWidth="1"/>
    <col min="18" max="18" width="12.00390625" style="16" customWidth="1"/>
    <col min="19" max="16384" width="11.421875" style="16" customWidth="1"/>
  </cols>
  <sheetData>
    <row r="1" spans="2:11" s="92" customFormat="1" ht="26.25">
      <c r="B1" s="93"/>
      <c r="E1" s="13"/>
      <c r="K1" s="754"/>
    </row>
    <row r="2" spans="2:10" s="92" customFormat="1" ht="26.25">
      <c r="B2" s="93" t="s">
        <v>251</v>
      </c>
      <c r="C2" s="94"/>
      <c r="D2" s="95"/>
      <c r="E2" s="95"/>
      <c r="F2" s="95"/>
      <c r="G2" s="95"/>
      <c r="H2" s="95"/>
      <c r="I2" s="95"/>
      <c r="J2" s="95"/>
    </row>
    <row r="3" spans="3:19" ht="12.75">
      <c r="C3"/>
      <c r="D3" s="96"/>
      <c r="E3" s="96"/>
      <c r="F3" s="96"/>
      <c r="G3" s="96"/>
      <c r="H3" s="96"/>
      <c r="I3" s="96"/>
      <c r="J3" s="96"/>
      <c r="P3" s="14"/>
      <c r="Q3" s="14"/>
      <c r="R3" s="14"/>
      <c r="S3" s="14"/>
    </row>
    <row r="4" spans="1:19" s="99" customFormat="1" ht="11.25">
      <c r="A4" s="97" t="s">
        <v>52</v>
      </c>
      <c r="B4" s="98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19" s="99" customFormat="1" ht="11.25">
      <c r="A5" s="97" t="s">
        <v>53</v>
      </c>
      <c r="B5" s="98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2:19" s="92" customFormat="1" ht="11.25" customHeight="1">
      <c r="B6" s="101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</row>
    <row r="7" spans="2:19" s="10" customFormat="1" ht="21">
      <c r="B7" s="267" t="s">
        <v>0</v>
      </c>
      <c r="C7" s="103"/>
      <c r="D7" s="8"/>
      <c r="E7" s="8"/>
      <c r="F7" s="9"/>
      <c r="G7" s="9"/>
      <c r="H7" s="9"/>
      <c r="I7" s="9"/>
      <c r="J7" s="9"/>
      <c r="K7" s="11"/>
      <c r="L7" s="11"/>
      <c r="M7" s="11"/>
      <c r="N7" s="11"/>
      <c r="O7" s="11"/>
      <c r="P7" s="11"/>
      <c r="Q7" s="11"/>
      <c r="R7" s="11"/>
      <c r="S7" s="11"/>
    </row>
    <row r="8" spans="9:19" ht="12.75"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2:19" s="10" customFormat="1" ht="21">
      <c r="B9" s="267" t="s">
        <v>1</v>
      </c>
      <c r="C9" s="103"/>
      <c r="D9" s="8"/>
      <c r="E9" s="8"/>
      <c r="F9" s="8"/>
      <c r="G9" s="8"/>
      <c r="H9" s="8"/>
      <c r="I9" s="9"/>
      <c r="J9" s="9"/>
      <c r="K9" s="11"/>
      <c r="L9" s="11"/>
      <c r="M9" s="11"/>
      <c r="N9" s="11"/>
      <c r="O9" s="11"/>
      <c r="P9" s="11"/>
      <c r="Q9" s="11"/>
      <c r="R9" s="11"/>
      <c r="S9" s="11"/>
    </row>
    <row r="10" spans="4:19" ht="12.75">
      <c r="D10" s="105"/>
      <c r="E10" s="105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2:19" s="10" customFormat="1" ht="20.25">
      <c r="B11" s="267" t="s">
        <v>247</v>
      </c>
      <c r="C11" s="4"/>
      <c r="D11" s="104"/>
      <c r="E11" s="104"/>
      <c r="F11" s="8"/>
      <c r="G11" s="8"/>
      <c r="H11" s="8"/>
      <c r="I11" s="9"/>
      <c r="J11" s="9"/>
      <c r="K11" s="11"/>
      <c r="L11" s="11"/>
      <c r="M11" s="11"/>
      <c r="N11" s="11"/>
      <c r="O11" s="11"/>
      <c r="P11" s="11"/>
      <c r="Q11" s="11"/>
      <c r="R11" s="11"/>
      <c r="S11" s="11"/>
    </row>
    <row r="12" spans="4:19" s="106" customFormat="1" ht="16.5" thickBot="1">
      <c r="D12" s="107"/>
      <c r="E12" s="107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</row>
    <row r="13" spans="2:19" s="106" customFormat="1" ht="16.5" thickTop="1">
      <c r="B13" s="109"/>
      <c r="C13" s="110"/>
      <c r="D13" s="110"/>
      <c r="E13" s="569"/>
      <c r="F13" s="110"/>
      <c r="G13" s="110"/>
      <c r="H13" s="110"/>
      <c r="I13" s="110"/>
      <c r="J13" s="111"/>
      <c r="K13" s="108"/>
      <c r="L13" s="108"/>
      <c r="M13" s="108"/>
      <c r="N13" s="108"/>
      <c r="O13" s="108"/>
      <c r="P13" s="108"/>
      <c r="Q13" s="108"/>
      <c r="R13" s="108"/>
      <c r="S13" s="108"/>
    </row>
    <row r="14" spans="2:19" s="15" customFormat="1" ht="19.5">
      <c r="B14" s="112" t="s">
        <v>248</v>
      </c>
      <c r="C14" s="113"/>
      <c r="D14" s="114"/>
      <c r="E14" s="570"/>
      <c r="F14" s="115"/>
      <c r="G14" s="115"/>
      <c r="H14" s="115"/>
      <c r="I14" s="116"/>
      <c r="J14" s="117"/>
      <c r="K14" s="118"/>
      <c r="L14" s="118"/>
      <c r="M14" s="118"/>
      <c r="N14" s="118"/>
      <c r="O14" s="118"/>
      <c r="P14" s="118"/>
      <c r="Q14" s="118"/>
      <c r="R14" s="118"/>
      <c r="S14" s="118"/>
    </row>
    <row r="15" spans="2:19" s="15" customFormat="1" ht="13.5" customHeight="1">
      <c r="B15" s="119"/>
      <c r="C15" s="120"/>
      <c r="D15" s="568"/>
      <c r="E15" s="571"/>
      <c r="F15" s="65"/>
      <c r="G15" s="65"/>
      <c r="H15" s="65"/>
      <c r="I15" s="118"/>
      <c r="J15" s="121"/>
      <c r="K15" s="118"/>
      <c r="L15" s="118"/>
      <c r="M15" s="118"/>
      <c r="N15" s="118"/>
      <c r="O15" s="118"/>
      <c r="P15" s="118"/>
      <c r="Q15" s="118"/>
      <c r="R15" s="118"/>
      <c r="S15" s="118"/>
    </row>
    <row r="16" spans="2:19" s="15" customFormat="1" ht="19.5">
      <c r="B16" s="119"/>
      <c r="C16" s="122" t="s">
        <v>54</v>
      </c>
      <c r="D16" s="568" t="s">
        <v>55</v>
      </c>
      <c r="E16" s="571"/>
      <c r="F16" s="65"/>
      <c r="G16" s="65"/>
      <c r="H16" s="65"/>
      <c r="I16" s="123"/>
      <c r="J16" s="121"/>
      <c r="K16" s="118"/>
      <c r="L16" s="118"/>
      <c r="M16" s="118"/>
      <c r="N16" s="118"/>
      <c r="O16" s="118"/>
      <c r="P16" s="118"/>
      <c r="Q16" s="118"/>
      <c r="R16" s="118"/>
      <c r="S16" s="118"/>
    </row>
    <row r="17" spans="2:19" s="15" customFormat="1" ht="19.5">
      <c r="B17" s="119"/>
      <c r="C17" s="122"/>
      <c r="D17" s="568">
        <v>11</v>
      </c>
      <c r="E17" s="572" t="s">
        <v>56</v>
      </c>
      <c r="F17" s="65"/>
      <c r="G17" s="65"/>
      <c r="H17" s="65"/>
      <c r="I17" s="123">
        <f>ROUND('LI-0402'!AC41,2)</f>
        <v>112568.38</v>
      </c>
      <c r="J17" s="121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2:19" ht="12.75" customHeight="1">
      <c r="B18" s="124"/>
      <c r="C18" s="125"/>
      <c r="D18" s="568"/>
      <c r="E18" s="573"/>
      <c r="F18" s="126"/>
      <c r="G18" s="126"/>
      <c r="H18" s="126"/>
      <c r="I18" s="127"/>
      <c r="J18" s="128"/>
      <c r="K18" s="14"/>
      <c r="L18" s="14"/>
      <c r="M18" s="14"/>
      <c r="N18" s="14"/>
      <c r="O18" s="14"/>
      <c r="P18" s="14"/>
      <c r="Q18" s="14"/>
      <c r="R18" s="14"/>
      <c r="S18" s="14"/>
    </row>
    <row r="19" spans="2:19" s="15" customFormat="1" ht="19.5">
      <c r="B19" s="119"/>
      <c r="C19" s="122" t="s">
        <v>58</v>
      </c>
      <c r="D19" s="575" t="s">
        <v>59</v>
      </c>
      <c r="E19" s="571"/>
      <c r="F19" s="65"/>
      <c r="G19" s="65"/>
      <c r="H19" s="65"/>
      <c r="I19" s="123"/>
      <c r="J19" s="121"/>
      <c r="K19" s="118"/>
      <c r="L19" s="118"/>
      <c r="M19" s="118"/>
      <c r="N19" s="118"/>
      <c r="O19" s="118"/>
      <c r="P19" s="118"/>
      <c r="Q19" s="118"/>
      <c r="R19" s="118"/>
      <c r="S19" s="118"/>
    </row>
    <row r="20" spans="2:19" s="15" customFormat="1" ht="19.5">
      <c r="B20" s="119"/>
      <c r="C20" s="122"/>
      <c r="D20" s="568">
        <v>21</v>
      </c>
      <c r="E20" s="572" t="s">
        <v>60</v>
      </c>
      <c r="F20" s="65"/>
      <c r="G20" s="65"/>
      <c r="H20" s="65"/>
      <c r="I20" s="123"/>
      <c r="J20" s="121"/>
      <c r="K20" s="118"/>
      <c r="L20" s="118"/>
      <c r="M20" s="118"/>
      <c r="N20" s="118"/>
      <c r="O20" s="118"/>
      <c r="P20" s="118"/>
      <c r="Q20" s="118"/>
      <c r="R20" s="118"/>
      <c r="S20" s="118"/>
    </row>
    <row r="21" spans="2:19" s="15" customFormat="1" ht="19.5">
      <c r="B21" s="119"/>
      <c r="C21" s="122"/>
      <c r="D21" s="568"/>
      <c r="E21" s="574">
        <v>211</v>
      </c>
      <c r="F21" s="13" t="s">
        <v>56</v>
      </c>
      <c r="G21" s="65"/>
      <c r="H21" s="65"/>
      <c r="I21" s="123">
        <f>ROUND('TR-0402'!AA43,2)</f>
        <v>237380.53</v>
      </c>
      <c r="J21" s="121"/>
      <c r="K21" s="118"/>
      <c r="L21" s="118"/>
      <c r="M21" s="118"/>
      <c r="N21" s="118"/>
      <c r="O21" s="118"/>
      <c r="P21" s="118"/>
      <c r="Q21" s="118"/>
      <c r="R21" s="118"/>
      <c r="S21" s="118"/>
    </row>
    <row r="22" spans="2:19" s="15" customFormat="1" ht="19.5">
      <c r="B22" s="119"/>
      <c r="C22" s="122"/>
      <c r="D22" s="568">
        <v>22</v>
      </c>
      <c r="E22" s="572" t="s">
        <v>61</v>
      </c>
      <c r="F22" s="65"/>
      <c r="G22" s="65"/>
      <c r="H22" s="65"/>
      <c r="I22" s="123"/>
      <c r="J22" s="121"/>
      <c r="K22" s="118"/>
      <c r="L22" s="118"/>
      <c r="M22" s="118"/>
      <c r="N22" s="118"/>
      <c r="O22" s="118"/>
      <c r="P22" s="118"/>
      <c r="Q22" s="118"/>
      <c r="R22" s="118"/>
      <c r="S22" s="118"/>
    </row>
    <row r="23" spans="2:19" s="15" customFormat="1" ht="19.5">
      <c r="B23" s="119"/>
      <c r="C23" s="122"/>
      <c r="D23" s="568"/>
      <c r="E23" s="574">
        <v>221</v>
      </c>
      <c r="F23" s="13" t="s">
        <v>56</v>
      </c>
      <c r="G23" s="65"/>
      <c r="H23" s="65"/>
      <c r="I23" s="123">
        <f>'SA-0402 (2)'!T45</f>
        <v>68599.28</v>
      </c>
      <c r="J23" s="121"/>
      <c r="K23" s="118"/>
      <c r="L23" s="118"/>
      <c r="M23" s="118"/>
      <c r="N23" s="118"/>
      <c r="O23" s="118"/>
      <c r="P23" s="118"/>
      <c r="Q23" s="118"/>
      <c r="R23" s="118"/>
      <c r="S23" s="118"/>
    </row>
    <row r="24" spans="2:19" ht="12.75" customHeight="1">
      <c r="B24" s="124"/>
      <c r="C24" s="125"/>
      <c r="D24" s="568"/>
      <c r="E24" s="573"/>
      <c r="F24" s="126"/>
      <c r="G24" s="126"/>
      <c r="H24" s="126"/>
      <c r="I24" s="127"/>
      <c r="J24" s="128"/>
      <c r="K24" s="14"/>
      <c r="L24" s="14"/>
      <c r="M24" s="14"/>
      <c r="N24" s="14"/>
      <c r="O24" s="14"/>
      <c r="P24" s="14"/>
      <c r="Q24" s="14"/>
      <c r="R24" s="14"/>
      <c r="S24" s="14"/>
    </row>
    <row r="25" spans="2:19" s="15" customFormat="1" ht="19.5">
      <c r="B25" s="119"/>
      <c r="C25" s="122" t="s">
        <v>62</v>
      </c>
      <c r="D25" s="575" t="s">
        <v>63</v>
      </c>
      <c r="E25" s="571"/>
      <c r="F25" s="65"/>
      <c r="G25" s="65"/>
      <c r="H25" s="65"/>
      <c r="I25" s="123"/>
      <c r="J25" s="121"/>
      <c r="K25" s="118"/>
      <c r="L25" s="118"/>
      <c r="M25" s="118"/>
      <c r="N25" s="118"/>
      <c r="O25" s="118"/>
      <c r="P25" s="118"/>
      <c r="Q25" s="118"/>
      <c r="R25" s="118"/>
      <c r="S25" s="118"/>
    </row>
    <row r="26" spans="2:19" s="15" customFormat="1" ht="19.5">
      <c r="B26" s="119"/>
      <c r="C26" s="122"/>
      <c r="D26" s="568">
        <v>31</v>
      </c>
      <c r="E26" s="572" t="s">
        <v>56</v>
      </c>
      <c r="F26" s="65"/>
      <c r="G26" s="65"/>
      <c r="H26" s="65"/>
      <c r="I26" s="123">
        <f>'RE-0402'!U40</f>
        <v>22713.08</v>
      </c>
      <c r="J26" s="121"/>
      <c r="K26" s="118"/>
      <c r="L26" s="118"/>
      <c r="M26" s="118"/>
      <c r="N26" s="118"/>
      <c r="O26" s="118"/>
      <c r="P26" s="118"/>
      <c r="Q26" s="118"/>
      <c r="R26" s="118"/>
      <c r="S26" s="118"/>
    </row>
    <row r="27" spans="2:19" s="15" customFormat="1" ht="12.75" customHeight="1">
      <c r="B27" s="119"/>
      <c r="C27" s="122"/>
      <c r="D27" s="568"/>
      <c r="E27" s="572"/>
      <c r="F27" s="65"/>
      <c r="G27" s="65"/>
      <c r="H27" s="65"/>
      <c r="I27" s="123"/>
      <c r="J27" s="121"/>
      <c r="K27" s="118"/>
      <c r="L27" s="118"/>
      <c r="M27" s="118"/>
      <c r="N27" s="118"/>
      <c r="O27" s="118"/>
      <c r="P27" s="118"/>
      <c r="Q27" s="118"/>
      <c r="R27" s="118"/>
      <c r="S27" s="118"/>
    </row>
    <row r="28" spans="2:19" s="15" customFormat="1" ht="19.5">
      <c r="B28" s="119"/>
      <c r="C28" s="122" t="s">
        <v>64</v>
      </c>
      <c r="D28" s="575" t="s">
        <v>65</v>
      </c>
      <c r="E28" s="571"/>
      <c r="F28" s="65"/>
      <c r="G28" s="65"/>
      <c r="H28" s="65"/>
      <c r="I28" s="123"/>
      <c r="J28" s="121"/>
      <c r="K28" s="118"/>
      <c r="L28" s="118"/>
      <c r="M28" s="118"/>
      <c r="N28" s="118"/>
      <c r="O28" s="118"/>
      <c r="P28" s="118"/>
      <c r="Q28" s="118"/>
      <c r="R28" s="118"/>
      <c r="S28" s="118"/>
    </row>
    <row r="29" spans="2:19" s="15" customFormat="1" ht="19.5">
      <c r="B29" s="119"/>
      <c r="C29" s="122"/>
      <c r="D29" s="568">
        <v>41</v>
      </c>
      <c r="E29" s="572" t="s">
        <v>57</v>
      </c>
      <c r="F29" s="65"/>
      <c r="G29" s="65"/>
      <c r="H29" s="65"/>
      <c r="I29" s="123">
        <f>'SU (YACYLEC)'!K64</f>
        <v>1554.585029658634</v>
      </c>
      <c r="J29" s="121"/>
      <c r="K29" s="118"/>
      <c r="L29" s="118"/>
      <c r="M29" s="118"/>
      <c r="N29" s="118"/>
      <c r="O29" s="118"/>
      <c r="P29" s="118"/>
      <c r="Q29" s="118"/>
      <c r="R29" s="118"/>
      <c r="S29" s="118"/>
    </row>
    <row r="30" spans="2:19" s="15" customFormat="1" ht="19.5">
      <c r="B30" s="119"/>
      <c r="C30" s="122"/>
      <c r="D30" s="568">
        <v>42</v>
      </c>
      <c r="E30" s="572" t="s">
        <v>66</v>
      </c>
      <c r="F30" s="65"/>
      <c r="G30" s="65"/>
      <c r="H30" s="65"/>
      <c r="I30" s="123">
        <f>'SU (TIBA)'!J79</f>
        <v>3257.44888</v>
      </c>
      <c r="J30" s="121"/>
      <c r="K30" s="118"/>
      <c r="L30" s="118"/>
      <c r="M30" s="118"/>
      <c r="N30" s="118"/>
      <c r="O30" s="118"/>
      <c r="P30" s="118"/>
      <c r="Q30" s="118"/>
      <c r="R30" s="118"/>
      <c r="S30" s="118"/>
    </row>
    <row r="31" spans="2:19" s="15" customFormat="1" ht="19.5">
      <c r="B31" s="119"/>
      <c r="C31" s="122"/>
      <c r="D31" s="568">
        <v>43</v>
      </c>
      <c r="E31" s="572" t="s">
        <v>179</v>
      </c>
      <c r="F31" s="65"/>
      <c r="G31" s="65"/>
      <c r="H31" s="65"/>
      <c r="I31" s="123">
        <f>'SU (ENECOR)'!J58</f>
        <v>1022.8192</v>
      </c>
      <c r="J31" s="121"/>
      <c r="K31" s="118"/>
      <c r="L31" s="118"/>
      <c r="M31" s="118"/>
      <c r="N31" s="118"/>
      <c r="O31" s="118"/>
      <c r="P31" s="118"/>
      <c r="Q31" s="118"/>
      <c r="R31" s="118"/>
      <c r="S31" s="118"/>
    </row>
    <row r="32" spans="2:19" s="15" customFormat="1" ht="20.25" thickBot="1">
      <c r="B32" s="119"/>
      <c r="C32" s="120"/>
      <c r="D32" s="568"/>
      <c r="E32" s="571"/>
      <c r="F32" s="65"/>
      <c r="G32" s="65"/>
      <c r="H32" s="65"/>
      <c r="I32" s="118"/>
      <c r="J32" s="121"/>
      <c r="K32" s="118"/>
      <c r="L32" s="118"/>
      <c r="M32" s="118"/>
      <c r="N32" s="118"/>
      <c r="O32" s="118"/>
      <c r="P32" s="118"/>
      <c r="Q32" s="118"/>
      <c r="R32" s="118"/>
      <c r="S32" s="118"/>
    </row>
    <row r="33" spans="2:19" s="15" customFormat="1" ht="20.25" thickBot="1" thickTop="1">
      <c r="B33" s="119"/>
      <c r="C33" s="122"/>
      <c r="D33" s="122"/>
      <c r="F33" s="129" t="s">
        <v>67</v>
      </c>
      <c r="G33" s="130">
        <f>SUM(I16:I31)</f>
        <v>447096.1231096587</v>
      </c>
      <c r="H33" s="266"/>
      <c r="J33" s="121"/>
      <c r="K33" s="118"/>
      <c r="L33" s="118"/>
      <c r="M33" s="118"/>
      <c r="N33" s="118"/>
      <c r="O33" s="118"/>
      <c r="P33" s="118"/>
      <c r="Q33" s="118"/>
      <c r="R33" s="118"/>
      <c r="S33" s="118"/>
    </row>
    <row r="34" spans="2:19" s="15" customFormat="1" ht="9.75" customHeight="1" thickTop="1">
      <c r="B34" s="119"/>
      <c r="C34" s="122"/>
      <c r="D34" s="122"/>
      <c r="F34" s="606"/>
      <c r="G34" s="266"/>
      <c r="H34" s="266"/>
      <c r="J34" s="121"/>
      <c r="K34" s="118"/>
      <c r="L34" s="118"/>
      <c r="M34" s="118"/>
      <c r="N34" s="118"/>
      <c r="O34" s="118"/>
      <c r="P34" s="118"/>
      <c r="Q34" s="118"/>
      <c r="R34" s="118"/>
      <c r="S34" s="118"/>
    </row>
    <row r="35" spans="2:19" s="15" customFormat="1" ht="18.75">
      <c r="B35" s="119"/>
      <c r="C35" s="768" t="s">
        <v>201</v>
      </c>
      <c r="D35" s="122"/>
      <c r="F35" s="606"/>
      <c r="G35" s="266"/>
      <c r="H35" s="266"/>
      <c r="J35" s="121"/>
      <c r="K35" s="118"/>
      <c r="L35" s="118"/>
      <c r="M35" s="118"/>
      <c r="N35" s="118"/>
      <c r="O35" s="118"/>
      <c r="P35" s="118"/>
      <c r="Q35" s="118"/>
      <c r="R35" s="118"/>
      <c r="S35" s="118"/>
    </row>
    <row r="36" spans="2:19" s="106" customFormat="1" ht="10.5" customHeight="1" thickBot="1">
      <c r="B36" s="131"/>
      <c r="C36" s="132"/>
      <c r="D36" s="132"/>
      <c r="E36" s="133"/>
      <c r="F36" s="133"/>
      <c r="G36" s="133"/>
      <c r="H36" s="133"/>
      <c r="I36" s="133"/>
      <c r="J36" s="134"/>
      <c r="K36" s="108"/>
      <c r="L36" s="108"/>
      <c r="M36" s="135"/>
      <c r="N36" s="136"/>
      <c r="O36" s="136"/>
      <c r="P36" s="137"/>
      <c r="Q36" s="138"/>
      <c r="R36" s="108"/>
      <c r="S36" s="108"/>
    </row>
    <row r="37" spans="4:19" ht="13.5" thickTop="1">
      <c r="D37" s="14"/>
      <c r="F37" s="14"/>
      <c r="G37" s="14"/>
      <c r="H37" s="14"/>
      <c r="I37" s="14"/>
      <c r="J37" s="14"/>
      <c r="K37" s="14"/>
      <c r="L37" s="14"/>
      <c r="M37" s="62"/>
      <c r="N37" s="139"/>
      <c r="O37" s="139"/>
      <c r="P37" s="14"/>
      <c r="Q37" s="2"/>
      <c r="R37" s="14"/>
      <c r="S37" s="14"/>
    </row>
    <row r="38" spans="4:19" ht="12.75">
      <c r="D38" s="14"/>
      <c r="F38" s="14"/>
      <c r="G38" s="14"/>
      <c r="H38" s="14"/>
      <c r="I38" s="14"/>
      <c r="J38" s="14"/>
      <c r="K38" s="14"/>
      <c r="L38" s="14"/>
      <c r="M38" s="14"/>
      <c r="N38" s="140"/>
      <c r="O38" s="140"/>
      <c r="P38" s="141"/>
      <c r="Q38" s="2"/>
      <c r="R38" s="14"/>
      <c r="S38" s="14"/>
    </row>
    <row r="39" spans="4:19" ht="12.75">
      <c r="D39" s="14"/>
      <c r="E39" s="14"/>
      <c r="F39" s="940"/>
      <c r="G39" s="14"/>
      <c r="H39" s="14"/>
      <c r="I39" s="14"/>
      <c r="J39" s="14"/>
      <c r="K39" s="14"/>
      <c r="L39" s="14"/>
      <c r="M39" s="14"/>
      <c r="N39" s="140"/>
      <c r="O39" s="140"/>
      <c r="P39" s="141"/>
      <c r="Q39" s="2"/>
      <c r="R39" s="14"/>
      <c r="S39" s="14"/>
    </row>
    <row r="40" spans="4:19" ht="12.75">
      <c r="D40" s="14"/>
      <c r="E40" s="14"/>
      <c r="L40" s="14"/>
      <c r="M40" s="14"/>
      <c r="N40" s="14"/>
      <c r="O40" s="14"/>
      <c r="P40" s="14"/>
      <c r="Q40" s="14"/>
      <c r="R40" s="14"/>
      <c r="S40" s="14"/>
    </row>
    <row r="41" spans="4:19" ht="12.75">
      <c r="D41" s="14"/>
      <c r="E41" s="14"/>
      <c r="P41" s="14"/>
      <c r="Q41" s="14"/>
      <c r="R41" s="14"/>
      <c r="S41" s="14"/>
    </row>
    <row r="42" spans="4:19" ht="12.75">
      <c r="D42" s="14"/>
      <c r="E42" s="14"/>
      <c r="P42" s="14"/>
      <c r="Q42" s="14"/>
      <c r="R42" s="14"/>
      <c r="S42" s="14"/>
    </row>
    <row r="43" spans="4:19" ht="12.75">
      <c r="D43" s="14"/>
      <c r="E43" s="14"/>
      <c r="P43" s="14"/>
      <c r="Q43" s="14"/>
      <c r="R43" s="14"/>
      <c r="S43" s="14"/>
    </row>
    <row r="44" spans="4:19" ht="12.75">
      <c r="D44" s="14"/>
      <c r="E44" s="14"/>
      <c r="P44" s="14"/>
      <c r="Q44" s="14"/>
      <c r="R44" s="14"/>
      <c r="S44" s="14"/>
    </row>
    <row r="45" spans="4:19" ht="12.75">
      <c r="D45" s="14"/>
      <c r="E45" s="14"/>
      <c r="P45" s="14"/>
      <c r="Q45" s="14"/>
      <c r="R45" s="14"/>
      <c r="S45" s="14"/>
    </row>
    <row r="46" spans="16:19" ht="12.75">
      <c r="P46" s="14"/>
      <c r="Q46" s="14"/>
      <c r="R46" s="14"/>
      <c r="S46" s="14"/>
    </row>
    <row r="47" spans="16:19" ht="12.75">
      <c r="P47" s="14"/>
      <c r="Q47" s="14"/>
      <c r="R47" s="14"/>
      <c r="S47" s="14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0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GL114"/>
  <sheetViews>
    <sheetView zoomScale="75" zoomScaleNormal="75" workbookViewId="0" topLeftCell="C82">
      <selection activeCell="F27" sqref="F27"/>
    </sheetView>
  </sheetViews>
  <sheetFormatPr defaultColWidth="11.421875" defaultRowHeight="12.75"/>
  <cols>
    <col min="1" max="1" width="15.7109375" style="16" customWidth="1"/>
    <col min="2" max="2" width="10.7109375" style="16" customWidth="1"/>
    <col min="3" max="3" width="10.421875" style="16" customWidth="1"/>
    <col min="4" max="4" width="44.00390625" style="16" customWidth="1"/>
    <col min="5" max="6" width="14.28125" style="16" customWidth="1"/>
    <col min="7" max="7" width="7.7109375" style="16" hidden="1" customWidth="1"/>
    <col min="8" max="12" width="8.7109375" style="16" customWidth="1"/>
    <col min="13" max="13" width="9.00390625" style="16" customWidth="1"/>
    <col min="14" max="20" width="8.7109375" style="16" customWidth="1"/>
    <col min="21" max="21" width="10.7109375" style="16" customWidth="1"/>
    <col min="22" max="16384" width="11.421875" style="16" customWidth="1"/>
  </cols>
  <sheetData>
    <row r="1" spans="21:22" ht="45" customHeight="1">
      <c r="U1" s="873"/>
      <c r="V1" s="874"/>
    </row>
    <row r="2" spans="2:22" s="92" customFormat="1" ht="26.25">
      <c r="B2" s="256" t="str">
        <f>'tot-0402'!B2</f>
        <v>ANEXO I-1 a la Resolución ENRE N°            1107 /2006    .-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875"/>
    </row>
    <row r="3" spans="1:22" s="99" customFormat="1" ht="11.25">
      <c r="A3" s="97" t="s">
        <v>52</v>
      </c>
      <c r="B3" s="176"/>
      <c r="U3" s="876"/>
      <c r="V3" s="876"/>
    </row>
    <row r="4" spans="1:22" s="99" customFormat="1" ht="11.25">
      <c r="A4" s="97" t="s">
        <v>53</v>
      </c>
      <c r="B4" s="176"/>
      <c r="U4" s="176"/>
      <c r="V4" s="876"/>
    </row>
    <row r="5" spans="21:22" ht="24" customHeight="1">
      <c r="U5" s="96"/>
      <c r="V5" s="874"/>
    </row>
    <row r="6" spans="2:178" s="877" customFormat="1" ht="23.25">
      <c r="B6" s="391" t="s">
        <v>237</v>
      </c>
      <c r="C6" s="391"/>
      <c r="D6" s="878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879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  <c r="AN6" s="391"/>
      <c r="AO6" s="391"/>
      <c r="AP6" s="391"/>
      <c r="AQ6" s="391"/>
      <c r="AR6" s="391"/>
      <c r="AS6" s="391"/>
      <c r="AT6" s="391"/>
      <c r="AU6" s="391"/>
      <c r="AV6" s="391"/>
      <c r="AW6" s="391"/>
      <c r="AX6" s="391"/>
      <c r="AY6" s="391"/>
      <c r="AZ6" s="391"/>
      <c r="BA6" s="391"/>
      <c r="BB6" s="391"/>
      <c r="BC6" s="391"/>
      <c r="BD6" s="391"/>
      <c r="BE6" s="391"/>
      <c r="BF6" s="391"/>
      <c r="BG6" s="391"/>
      <c r="BH6" s="391"/>
      <c r="BI6" s="391"/>
      <c r="BJ6" s="391"/>
      <c r="BK6" s="391"/>
      <c r="BL6" s="391"/>
      <c r="BM6" s="391"/>
      <c r="BN6" s="391"/>
      <c r="BO6" s="391"/>
      <c r="BP6" s="391"/>
      <c r="BQ6" s="391"/>
      <c r="BR6" s="391"/>
      <c r="BS6" s="391"/>
      <c r="BT6" s="391"/>
      <c r="BU6" s="391"/>
      <c r="BV6" s="391"/>
      <c r="BW6" s="391"/>
      <c r="BX6" s="391"/>
      <c r="BY6" s="391"/>
      <c r="BZ6" s="391"/>
      <c r="CA6" s="391"/>
      <c r="CB6" s="391"/>
      <c r="CC6" s="391"/>
      <c r="CD6" s="391"/>
      <c r="CE6" s="391"/>
      <c r="CF6" s="391"/>
      <c r="CG6" s="391"/>
      <c r="CH6" s="391"/>
      <c r="CI6" s="391"/>
      <c r="CJ6" s="391"/>
      <c r="CK6" s="391"/>
      <c r="CL6" s="391"/>
      <c r="CM6" s="391"/>
      <c r="CN6" s="391"/>
      <c r="CO6" s="391"/>
      <c r="CP6" s="391"/>
      <c r="CQ6" s="391"/>
      <c r="CR6" s="391"/>
      <c r="CS6" s="391"/>
      <c r="CT6" s="391"/>
      <c r="CU6" s="391"/>
      <c r="CV6" s="391"/>
      <c r="CW6" s="391"/>
      <c r="CX6" s="391"/>
      <c r="CY6" s="391"/>
      <c r="CZ6" s="391"/>
      <c r="DA6" s="391"/>
      <c r="DB6" s="391"/>
      <c r="DC6" s="391"/>
      <c r="DD6" s="391"/>
      <c r="DE6" s="391"/>
      <c r="DF6" s="391"/>
      <c r="DG6" s="391"/>
      <c r="DH6" s="391"/>
      <c r="DI6" s="391"/>
      <c r="DJ6" s="391"/>
      <c r="DK6" s="391"/>
      <c r="DL6" s="391"/>
      <c r="DM6" s="391"/>
      <c r="DN6" s="391"/>
      <c r="DO6" s="391"/>
      <c r="DP6" s="391"/>
      <c r="DQ6" s="391"/>
      <c r="DR6" s="391"/>
      <c r="DS6" s="391"/>
      <c r="DT6" s="391"/>
      <c r="DU6" s="391"/>
      <c r="DV6" s="391"/>
      <c r="DW6" s="391"/>
      <c r="DX6" s="391"/>
      <c r="DY6" s="391"/>
      <c r="DZ6" s="391"/>
      <c r="EA6" s="391"/>
      <c r="EB6" s="391"/>
      <c r="EC6" s="391"/>
      <c r="ED6" s="391"/>
      <c r="EE6" s="391"/>
      <c r="EF6" s="391"/>
      <c r="EG6" s="391"/>
      <c r="EH6" s="391"/>
      <c r="EI6" s="391"/>
      <c r="EJ6" s="391"/>
      <c r="EK6" s="391"/>
      <c r="EL6" s="391"/>
      <c r="EM6" s="391"/>
      <c r="EN6" s="391"/>
      <c r="EO6" s="391"/>
      <c r="EP6" s="391"/>
      <c r="EQ6" s="391"/>
      <c r="ER6" s="391"/>
      <c r="ES6" s="391"/>
      <c r="ET6" s="391"/>
      <c r="EU6" s="391"/>
      <c r="EV6" s="391"/>
      <c r="EW6" s="391"/>
      <c r="EX6" s="391"/>
      <c r="EY6" s="391"/>
      <c r="EZ6" s="391"/>
      <c r="FA6" s="391"/>
      <c r="FB6" s="391"/>
      <c r="FC6" s="391"/>
      <c r="FD6" s="391"/>
      <c r="FE6" s="391"/>
      <c r="FF6" s="391"/>
      <c r="FG6" s="391"/>
      <c r="FH6" s="391"/>
      <c r="FI6" s="391"/>
      <c r="FJ6" s="391"/>
      <c r="FK6" s="391"/>
      <c r="FL6" s="391"/>
      <c r="FM6" s="391"/>
      <c r="FN6" s="391"/>
      <c r="FO6" s="391"/>
      <c r="FP6" s="391"/>
      <c r="FQ6" s="391"/>
      <c r="FR6" s="391"/>
      <c r="FS6" s="391"/>
      <c r="FT6" s="391"/>
      <c r="FU6" s="391"/>
      <c r="FV6" s="391"/>
    </row>
    <row r="7" spans="2:178" s="106" customFormat="1" ht="14.25" customHeight="1"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880"/>
      <c r="V7" s="880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1"/>
      <c r="AR7" s="331"/>
      <c r="AS7" s="331"/>
      <c r="AT7" s="331"/>
      <c r="AU7" s="331"/>
      <c r="AV7" s="331"/>
      <c r="AW7" s="331"/>
      <c r="AX7" s="331"/>
      <c r="AY7" s="331"/>
      <c r="AZ7" s="331"/>
      <c r="BA7" s="331"/>
      <c r="BB7" s="331"/>
      <c r="BC7" s="331"/>
      <c r="BD7" s="331"/>
      <c r="BE7" s="331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1"/>
      <c r="CJ7" s="331"/>
      <c r="CK7" s="331"/>
      <c r="CL7" s="331"/>
      <c r="CM7" s="331"/>
      <c r="CN7" s="331"/>
      <c r="CO7" s="331"/>
      <c r="CP7" s="331"/>
      <c r="CQ7" s="331"/>
      <c r="CR7" s="331"/>
      <c r="CS7" s="331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1"/>
      <c r="DK7" s="331"/>
      <c r="DL7" s="331"/>
      <c r="DM7" s="331"/>
      <c r="DN7" s="331"/>
      <c r="DO7" s="331"/>
      <c r="DP7" s="331"/>
      <c r="DQ7" s="331"/>
      <c r="DR7" s="331"/>
      <c r="DS7" s="331"/>
      <c r="DT7" s="331"/>
      <c r="DU7" s="331"/>
      <c r="DV7" s="331"/>
      <c r="DW7" s="331"/>
      <c r="DX7" s="331"/>
      <c r="DY7" s="331"/>
      <c r="DZ7" s="331"/>
      <c r="EA7" s="331"/>
      <c r="EB7" s="331"/>
      <c r="EC7" s="331"/>
      <c r="ED7" s="331"/>
      <c r="EE7" s="331"/>
      <c r="EF7" s="331"/>
      <c r="EG7" s="331"/>
      <c r="EH7" s="331"/>
      <c r="EI7" s="331"/>
      <c r="EJ7" s="331"/>
      <c r="EK7" s="331"/>
      <c r="EL7" s="331"/>
      <c r="EM7" s="331"/>
      <c r="EN7" s="331"/>
      <c r="EO7" s="331"/>
      <c r="EP7" s="331"/>
      <c r="EQ7" s="331"/>
      <c r="ER7" s="331"/>
      <c r="ES7" s="331"/>
      <c r="ET7" s="331"/>
      <c r="EU7" s="331"/>
      <c r="EV7" s="331"/>
      <c r="EW7" s="331"/>
      <c r="EX7" s="331"/>
      <c r="EY7" s="331"/>
      <c r="EZ7" s="331"/>
      <c r="FA7" s="331"/>
      <c r="FB7" s="331"/>
      <c r="FC7" s="331"/>
      <c r="FD7" s="331"/>
      <c r="FE7" s="331"/>
      <c r="FF7" s="331"/>
      <c r="FG7" s="331"/>
      <c r="FH7" s="331"/>
      <c r="FI7" s="331"/>
      <c r="FJ7" s="331"/>
      <c r="FK7" s="331"/>
      <c r="FL7" s="331"/>
      <c r="FM7" s="331"/>
      <c r="FN7" s="331"/>
      <c r="FO7" s="331"/>
      <c r="FP7" s="331"/>
      <c r="FQ7" s="331"/>
      <c r="FR7" s="331"/>
      <c r="FS7" s="331"/>
      <c r="FT7" s="331"/>
      <c r="FU7" s="331"/>
      <c r="FV7" s="331"/>
    </row>
    <row r="8" spans="2:178" s="881" customFormat="1" ht="23.25">
      <c r="B8" s="391" t="s">
        <v>1</v>
      </c>
      <c r="C8" s="878"/>
      <c r="D8" s="878"/>
      <c r="E8" s="878"/>
      <c r="F8" s="878"/>
      <c r="G8" s="878"/>
      <c r="H8" s="878"/>
      <c r="I8" s="878"/>
      <c r="J8" s="878"/>
      <c r="K8" s="878"/>
      <c r="L8" s="878"/>
      <c r="M8" s="878"/>
      <c r="N8" s="878"/>
      <c r="O8" s="878"/>
      <c r="P8" s="878"/>
      <c r="Q8" s="878"/>
      <c r="R8" s="878"/>
      <c r="S8" s="878"/>
      <c r="T8" s="878"/>
      <c r="U8" s="878"/>
      <c r="V8" s="882"/>
      <c r="W8" s="878"/>
      <c r="X8" s="878"/>
      <c r="Y8" s="878"/>
      <c r="Z8" s="878"/>
      <c r="AA8" s="878"/>
      <c r="AB8" s="878"/>
      <c r="AC8" s="878"/>
      <c r="AD8" s="878"/>
      <c r="AE8" s="878"/>
      <c r="AF8" s="878"/>
      <c r="AG8" s="878"/>
      <c r="AH8" s="878"/>
      <c r="AI8" s="878"/>
      <c r="AJ8" s="878"/>
      <c r="AK8" s="878"/>
      <c r="AL8" s="878"/>
      <c r="AM8" s="878"/>
      <c r="AN8" s="878"/>
      <c r="AO8" s="878"/>
      <c r="AP8" s="878"/>
      <c r="AQ8" s="878"/>
      <c r="AR8" s="878"/>
      <c r="AS8" s="878"/>
      <c r="AT8" s="878"/>
      <c r="AU8" s="878"/>
      <c r="AV8" s="878"/>
      <c r="AW8" s="878"/>
      <c r="AX8" s="878"/>
      <c r="AY8" s="878"/>
      <c r="AZ8" s="878"/>
      <c r="BA8" s="878"/>
      <c r="BB8" s="878"/>
      <c r="BC8" s="878"/>
      <c r="BD8" s="878"/>
      <c r="BE8" s="878"/>
      <c r="BF8" s="878"/>
      <c r="BG8" s="878"/>
      <c r="BH8" s="878"/>
      <c r="BI8" s="878"/>
      <c r="BJ8" s="878"/>
      <c r="BK8" s="878"/>
      <c r="BL8" s="878"/>
      <c r="BM8" s="878"/>
      <c r="BN8" s="878"/>
      <c r="BO8" s="878"/>
      <c r="BP8" s="878"/>
      <c r="BQ8" s="878"/>
      <c r="BR8" s="878"/>
      <c r="BS8" s="878"/>
      <c r="BT8" s="878"/>
      <c r="BU8" s="878"/>
      <c r="BV8" s="878"/>
      <c r="BW8" s="878"/>
      <c r="BX8" s="878"/>
      <c r="BY8" s="878"/>
      <c r="BZ8" s="878"/>
      <c r="CA8" s="878"/>
      <c r="CB8" s="878"/>
      <c r="CC8" s="878"/>
      <c r="CD8" s="878"/>
      <c r="CE8" s="878"/>
      <c r="CF8" s="878"/>
      <c r="CG8" s="878"/>
      <c r="CH8" s="878"/>
      <c r="CI8" s="878"/>
      <c r="CJ8" s="878"/>
      <c r="CK8" s="878"/>
      <c r="CL8" s="878"/>
      <c r="CM8" s="878"/>
      <c r="CN8" s="878"/>
      <c r="CO8" s="878"/>
      <c r="CP8" s="878"/>
      <c r="CQ8" s="878"/>
      <c r="CR8" s="878"/>
      <c r="CS8" s="878"/>
      <c r="CT8" s="878"/>
      <c r="CU8" s="878"/>
      <c r="CV8" s="878"/>
      <c r="CW8" s="878"/>
      <c r="CX8" s="878"/>
      <c r="CY8" s="878"/>
      <c r="CZ8" s="878"/>
      <c r="DA8" s="878"/>
      <c r="DB8" s="878"/>
      <c r="DC8" s="878"/>
      <c r="DD8" s="878"/>
      <c r="DE8" s="878"/>
      <c r="DF8" s="878"/>
      <c r="DG8" s="878"/>
      <c r="DH8" s="878"/>
      <c r="DI8" s="878"/>
      <c r="DJ8" s="878"/>
      <c r="DK8" s="878"/>
      <c r="DL8" s="878"/>
      <c r="DM8" s="878"/>
      <c r="DN8" s="878"/>
      <c r="DO8" s="878"/>
      <c r="DP8" s="878"/>
      <c r="DQ8" s="878"/>
      <c r="DR8" s="878"/>
      <c r="DS8" s="878"/>
      <c r="DT8" s="878"/>
      <c r="DU8" s="878"/>
      <c r="DV8" s="878"/>
      <c r="DW8" s="878"/>
      <c r="DX8" s="878"/>
      <c r="DY8" s="878"/>
      <c r="DZ8" s="878"/>
      <c r="EA8" s="878"/>
      <c r="EB8" s="878"/>
      <c r="EC8" s="878"/>
      <c r="ED8" s="878"/>
      <c r="EE8" s="878"/>
      <c r="EF8" s="878"/>
      <c r="EG8" s="878"/>
      <c r="EH8" s="878"/>
      <c r="EI8" s="878"/>
      <c r="EJ8" s="878"/>
      <c r="EK8" s="878"/>
      <c r="EL8" s="878"/>
      <c r="EM8" s="878"/>
      <c r="EN8" s="878"/>
      <c r="EO8" s="878"/>
      <c r="EP8" s="878"/>
      <c r="EQ8" s="878"/>
      <c r="ER8" s="878"/>
      <c r="ES8" s="878"/>
      <c r="ET8" s="878"/>
      <c r="EU8" s="878"/>
      <c r="EV8" s="878"/>
      <c r="EW8" s="878"/>
      <c r="EX8" s="878"/>
      <c r="EY8" s="878"/>
      <c r="EZ8" s="878"/>
      <c r="FA8" s="878"/>
      <c r="FB8" s="878"/>
      <c r="FC8" s="878"/>
      <c r="FD8" s="878"/>
      <c r="FE8" s="878"/>
      <c r="FF8" s="878"/>
      <c r="FG8" s="878"/>
      <c r="FH8" s="878"/>
      <c r="FI8" s="878"/>
      <c r="FJ8" s="878"/>
      <c r="FK8" s="878"/>
      <c r="FL8" s="878"/>
      <c r="FM8" s="878"/>
      <c r="FN8" s="878"/>
      <c r="FO8" s="878"/>
      <c r="FP8" s="878"/>
      <c r="FQ8" s="878"/>
      <c r="FR8" s="878"/>
      <c r="FS8" s="878"/>
      <c r="FT8" s="878"/>
      <c r="FU8" s="878"/>
      <c r="FV8" s="878"/>
    </row>
    <row r="9" spans="2:178" s="106" customFormat="1" ht="15.75"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880"/>
      <c r="V9" s="880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331"/>
      <c r="CU9" s="331"/>
      <c r="CV9" s="331"/>
      <c r="CW9" s="331"/>
      <c r="CX9" s="331"/>
      <c r="CY9" s="331"/>
      <c r="CZ9" s="331"/>
      <c r="DA9" s="331"/>
      <c r="DB9" s="331"/>
      <c r="DC9" s="331"/>
      <c r="DD9" s="331"/>
      <c r="DE9" s="331"/>
      <c r="DF9" s="331"/>
      <c r="DG9" s="331"/>
      <c r="DH9" s="331"/>
      <c r="DI9" s="331"/>
      <c r="DJ9" s="331"/>
      <c r="DK9" s="331"/>
      <c r="DL9" s="331"/>
      <c r="DM9" s="331"/>
      <c r="DN9" s="331"/>
      <c r="DO9" s="331"/>
      <c r="DP9" s="331"/>
      <c r="DQ9" s="331"/>
      <c r="DR9" s="331"/>
      <c r="DS9" s="331"/>
      <c r="DT9" s="331"/>
      <c r="DU9" s="331"/>
      <c r="DV9" s="331"/>
      <c r="DW9" s="331"/>
      <c r="DX9" s="331"/>
      <c r="DY9" s="331"/>
      <c r="DZ9" s="331"/>
      <c r="EA9" s="331"/>
      <c r="EB9" s="331"/>
      <c r="EC9" s="331"/>
      <c r="ED9" s="331"/>
      <c r="EE9" s="331"/>
      <c r="EF9" s="331"/>
      <c r="EG9" s="331"/>
      <c r="EH9" s="331"/>
      <c r="EI9" s="331"/>
      <c r="EJ9" s="331"/>
      <c r="EK9" s="331"/>
      <c r="EL9" s="331"/>
      <c r="EM9" s="331"/>
      <c r="EN9" s="331"/>
      <c r="EO9" s="331"/>
      <c r="EP9" s="331"/>
      <c r="EQ9" s="331"/>
      <c r="ER9" s="331"/>
      <c r="ES9" s="331"/>
      <c r="ET9" s="331"/>
      <c r="EU9" s="331"/>
      <c r="EV9" s="331"/>
      <c r="EW9" s="331"/>
      <c r="EX9" s="331"/>
      <c r="EY9" s="331"/>
      <c r="EZ9" s="331"/>
      <c r="FA9" s="331"/>
      <c r="FB9" s="331"/>
      <c r="FC9" s="331"/>
      <c r="FD9" s="331"/>
      <c r="FE9" s="331"/>
      <c r="FF9" s="331"/>
      <c r="FG9" s="331"/>
      <c r="FH9" s="331"/>
      <c r="FI9" s="331"/>
      <c r="FJ9" s="331"/>
      <c r="FK9" s="331"/>
      <c r="FL9" s="331"/>
      <c r="FM9" s="331"/>
      <c r="FN9" s="331"/>
      <c r="FO9" s="331"/>
      <c r="FP9" s="331"/>
      <c r="FQ9" s="331"/>
      <c r="FR9" s="331"/>
      <c r="FS9" s="331"/>
      <c r="FT9" s="331"/>
      <c r="FU9" s="331"/>
      <c r="FV9" s="331"/>
    </row>
    <row r="10" spans="2:178" s="881" customFormat="1" ht="23.25">
      <c r="B10" s="391" t="s">
        <v>238</v>
      </c>
      <c r="C10" s="878"/>
      <c r="D10" s="878"/>
      <c r="E10" s="878"/>
      <c r="F10" s="878"/>
      <c r="G10" s="878"/>
      <c r="H10" s="878"/>
      <c r="I10" s="878"/>
      <c r="J10" s="878"/>
      <c r="K10" s="878"/>
      <c r="L10" s="878"/>
      <c r="M10" s="878"/>
      <c r="N10" s="878"/>
      <c r="O10" s="878"/>
      <c r="P10" s="878"/>
      <c r="Q10" s="878"/>
      <c r="R10" s="878"/>
      <c r="S10" s="878"/>
      <c r="T10" s="878"/>
      <c r="U10" s="878"/>
      <c r="V10" s="882"/>
      <c r="W10" s="878"/>
      <c r="X10" s="878"/>
      <c r="Y10" s="878"/>
      <c r="Z10" s="878"/>
      <c r="AA10" s="878"/>
      <c r="AB10" s="878"/>
      <c r="AC10" s="878"/>
      <c r="AD10" s="878"/>
      <c r="AE10" s="878"/>
      <c r="AF10" s="878"/>
      <c r="AG10" s="878"/>
      <c r="AH10" s="878"/>
      <c r="AI10" s="878"/>
      <c r="AJ10" s="878"/>
      <c r="AK10" s="878"/>
      <c r="AL10" s="878"/>
      <c r="AM10" s="878"/>
      <c r="AN10" s="878"/>
      <c r="AO10" s="878"/>
      <c r="AP10" s="878"/>
      <c r="AQ10" s="878"/>
      <c r="AR10" s="878"/>
      <c r="AS10" s="878"/>
      <c r="AT10" s="878"/>
      <c r="AU10" s="878"/>
      <c r="AV10" s="878"/>
      <c r="AW10" s="878"/>
      <c r="AX10" s="878"/>
      <c r="AY10" s="878"/>
      <c r="AZ10" s="878"/>
      <c r="BA10" s="878"/>
      <c r="BB10" s="878"/>
      <c r="BC10" s="878"/>
      <c r="BD10" s="878"/>
      <c r="BE10" s="878"/>
      <c r="BF10" s="878"/>
      <c r="BG10" s="878"/>
      <c r="BH10" s="878"/>
      <c r="BI10" s="878"/>
      <c r="BJ10" s="878"/>
      <c r="BK10" s="878"/>
      <c r="BL10" s="878"/>
      <c r="BM10" s="878"/>
      <c r="BN10" s="878"/>
      <c r="BO10" s="878"/>
      <c r="BP10" s="878"/>
      <c r="BQ10" s="878"/>
      <c r="BR10" s="878"/>
      <c r="BS10" s="878"/>
      <c r="BT10" s="878"/>
      <c r="BU10" s="878"/>
      <c r="BV10" s="878"/>
      <c r="BW10" s="878"/>
      <c r="BX10" s="878"/>
      <c r="BY10" s="878"/>
      <c r="BZ10" s="878"/>
      <c r="CA10" s="878"/>
      <c r="CB10" s="878"/>
      <c r="CC10" s="878"/>
      <c r="CD10" s="878"/>
      <c r="CE10" s="878"/>
      <c r="CF10" s="878"/>
      <c r="CG10" s="878"/>
      <c r="CH10" s="878"/>
      <c r="CI10" s="878"/>
      <c r="CJ10" s="878"/>
      <c r="CK10" s="878"/>
      <c r="CL10" s="878"/>
      <c r="CM10" s="878"/>
      <c r="CN10" s="878"/>
      <c r="CO10" s="878"/>
      <c r="CP10" s="878"/>
      <c r="CQ10" s="878"/>
      <c r="CR10" s="878"/>
      <c r="CS10" s="878"/>
      <c r="CT10" s="878"/>
      <c r="CU10" s="878"/>
      <c r="CV10" s="878"/>
      <c r="CW10" s="878"/>
      <c r="CX10" s="878"/>
      <c r="CY10" s="878"/>
      <c r="CZ10" s="878"/>
      <c r="DA10" s="878"/>
      <c r="DB10" s="878"/>
      <c r="DC10" s="878"/>
      <c r="DD10" s="878"/>
      <c r="DE10" s="878"/>
      <c r="DF10" s="878"/>
      <c r="DG10" s="878"/>
      <c r="DH10" s="878"/>
      <c r="DI10" s="878"/>
      <c r="DJ10" s="878"/>
      <c r="DK10" s="878"/>
      <c r="DL10" s="878"/>
      <c r="DM10" s="878"/>
      <c r="DN10" s="878"/>
      <c r="DO10" s="878"/>
      <c r="DP10" s="878"/>
      <c r="DQ10" s="878"/>
      <c r="DR10" s="878"/>
      <c r="DS10" s="878"/>
      <c r="DT10" s="878"/>
      <c r="DU10" s="878"/>
      <c r="DV10" s="878"/>
      <c r="DW10" s="878"/>
      <c r="DX10" s="878"/>
      <c r="DY10" s="878"/>
      <c r="DZ10" s="878"/>
      <c r="EA10" s="878"/>
      <c r="EB10" s="878"/>
      <c r="EC10" s="878"/>
      <c r="ED10" s="878"/>
      <c r="EE10" s="878"/>
      <c r="EF10" s="878"/>
      <c r="EG10" s="878"/>
      <c r="EH10" s="878"/>
      <c r="EI10" s="878"/>
      <c r="EJ10" s="878"/>
      <c r="EK10" s="878"/>
      <c r="EL10" s="878"/>
      <c r="EM10" s="878"/>
      <c r="EN10" s="878"/>
      <c r="EO10" s="878"/>
      <c r="EP10" s="878"/>
      <c r="EQ10" s="878"/>
      <c r="ER10" s="878"/>
      <c r="ES10" s="878"/>
      <c r="ET10" s="878"/>
      <c r="EU10" s="878"/>
      <c r="EV10" s="878"/>
      <c r="EW10" s="878"/>
      <c r="EX10" s="878"/>
      <c r="EY10" s="878"/>
      <c r="EZ10" s="878"/>
      <c r="FA10" s="878"/>
      <c r="FB10" s="878"/>
      <c r="FC10" s="878"/>
      <c r="FD10" s="878"/>
      <c r="FE10" s="878"/>
      <c r="FF10" s="878"/>
      <c r="FG10" s="878"/>
      <c r="FH10" s="878"/>
      <c r="FI10" s="878"/>
      <c r="FJ10" s="878"/>
      <c r="FK10" s="878"/>
      <c r="FL10" s="878"/>
      <c r="FM10" s="878"/>
      <c r="FN10" s="878"/>
      <c r="FO10" s="878"/>
      <c r="FP10" s="878"/>
      <c r="FQ10" s="878"/>
      <c r="FR10" s="878"/>
      <c r="FS10" s="878"/>
      <c r="FT10" s="878"/>
      <c r="FU10" s="878"/>
      <c r="FV10" s="878"/>
    </row>
    <row r="11" spans="2:178" s="106" customFormat="1" ht="16.5" thickBot="1"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880"/>
      <c r="V11" s="880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1"/>
      <c r="BS11" s="331"/>
      <c r="BT11" s="331"/>
      <c r="BU11" s="331"/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  <c r="DP11" s="331"/>
      <c r="DQ11" s="331"/>
      <c r="DR11" s="331"/>
      <c r="DS11" s="331"/>
      <c r="DT11" s="331"/>
      <c r="DU11" s="331"/>
      <c r="DV11" s="331"/>
      <c r="DW11" s="331"/>
      <c r="DX11" s="331"/>
      <c r="DY11" s="331"/>
      <c r="DZ11" s="331"/>
      <c r="EA11" s="331"/>
      <c r="EB11" s="331"/>
      <c r="EC11" s="331"/>
      <c r="ED11" s="331"/>
      <c r="EE11" s="331"/>
      <c r="EF11" s="331"/>
      <c r="EG11" s="331"/>
      <c r="EH11" s="331"/>
      <c r="EI11" s="331"/>
      <c r="EJ11" s="331"/>
      <c r="EK11" s="331"/>
      <c r="EL11" s="331"/>
      <c r="EM11" s="331"/>
      <c r="EN11" s="331"/>
      <c r="EO11" s="331"/>
      <c r="EP11" s="331"/>
      <c r="EQ11" s="331"/>
      <c r="ER11" s="331"/>
      <c r="ES11" s="331"/>
      <c r="ET11" s="331"/>
      <c r="EU11" s="331"/>
      <c r="EV11" s="331"/>
      <c r="EW11" s="331"/>
      <c r="EX11" s="331"/>
      <c r="EY11" s="331"/>
      <c r="EZ11" s="331"/>
      <c r="FA11" s="331"/>
      <c r="FB11" s="331"/>
      <c r="FC11" s="331"/>
      <c r="FD11" s="331"/>
      <c r="FE11" s="331"/>
      <c r="FF11" s="331"/>
      <c r="FG11" s="331"/>
      <c r="FH11" s="331"/>
      <c r="FI11" s="331"/>
      <c r="FJ11" s="331"/>
      <c r="FK11" s="331"/>
      <c r="FL11" s="331"/>
      <c r="FM11" s="331"/>
      <c r="FN11" s="331"/>
      <c r="FO11" s="331"/>
      <c r="FP11" s="331"/>
      <c r="FQ11" s="331"/>
      <c r="FR11" s="331"/>
      <c r="FS11" s="331"/>
      <c r="FT11" s="331"/>
      <c r="FU11" s="331"/>
      <c r="FV11" s="331"/>
    </row>
    <row r="12" spans="2:178" s="106" customFormat="1" ht="16.5" thickTop="1">
      <c r="B12" s="883"/>
      <c r="C12" s="884"/>
      <c r="D12" s="884"/>
      <c r="E12" s="884"/>
      <c r="F12" s="884"/>
      <c r="G12" s="884"/>
      <c r="H12" s="884"/>
      <c r="I12" s="884"/>
      <c r="J12" s="884"/>
      <c r="K12" s="884"/>
      <c r="L12" s="884"/>
      <c r="M12" s="884"/>
      <c r="N12" s="884"/>
      <c r="O12" s="884"/>
      <c r="P12" s="884"/>
      <c r="Q12" s="884"/>
      <c r="R12" s="884"/>
      <c r="S12" s="884"/>
      <c r="T12" s="884"/>
      <c r="U12" s="885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1"/>
      <c r="BF12" s="331"/>
      <c r="BG12" s="331"/>
      <c r="BH12" s="331"/>
      <c r="BI12" s="331"/>
      <c r="BJ12" s="331"/>
      <c r="BK12" s="331"/>
      <c r="BL12" s="331"/>
      <c r="BM12" s="331"/>
      <c r="BN12" s="331"/>
      <c r="BO12" s="331"/>
      <c r="BP12" s="331"/>
      <c r="BQ12" s="331"/>
      <c r="BR12" s="331"/>
      <c r="BS12" s="331"/>
      <c r="BT12" s="331"/>
      <c r="BU12" s="331"/>
      <c r="BV12" s="331"/>
      <c r="BW12" s="331"/>
      <c r="BX12" s="331"/>
      <c r="BY12" s="331"/>
      <c r="BZ12" s="331"/>
      <c r="CA12" s="331"/>
      <c r="CB12" s="331"/>
      <c r="CC12" s="331"/>
      <c r="CD12" s="331"/>
      <c r="CE12" s="331"/>
      <c r="CF12" s="331"/>
      <c r="CG12" s="331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1"/>
      <c r="CT12" s="331"/>
      <c r="CU12" s="331"/>
      <c r="CV12" s="331"/>
      <c r="CW12" s="331"/>
      <c r="CX12" s="331"/>
      <c r="CY12" s="331"/>
      <c r="CZ12" s="331"/>
      <c r="DA12" s="331"/>
      <c r="DB12" s="331"/>
      <c r="DC12" s="331"/>
      <c r="DD12" s="331"/>
      <c r="DE12" s="331"/>
      <c r="DF12" s="331"/>
      <c r="DG12" s="331"/>
      <c r="DH12" s="331"/>
      <c r="DI12" s="331"/>
      <c r="DJ12" s="331"/>
      <c r="DK12" s="331"/>
      <c r="DL12" s="331"/>
      <c r="DM12" s="331"/>
      <c r="DN12" s="331"/>
      <c r="DO12" s="331"/>
      <c r="DP12" s="331"/>
      <c r="DQ12" s="331"/>
      <c r="DR12" s="331"/>
      <c r="DS12" s="331"/>
      <c r="DT12" s="331"/>
      <c r="DU12" s="331"/>
      <c r="DV12" s="331"/>
      <c r="DW12" s="331"/>
      <c r="DX12" s="331"/>
      <c r="DY12" s="331"/>
      <c r="DZ12" s="331"/>
      <c r="EA12" s="331"/>
      <c r="EB12" s="331"/>
      <c r="EC12" s="331"/>
      <c r="ED12" s="331"/>
      <c r="EE12" s="331"/>
      <c r="EF12" s="331"/>
      <c r="EG12" s="331"/>
      <c r="EH12" s="331"/>
      <c r="EI12" s="331"/>
      <c r="EJ12" s="331"/>
      <c r="EK12" s="331"/>
      <c r="EL12" s="331"/>
      <c r="EM12" s="331"/>
      <c r="EN12" s="331"/>
      <c r="EO12" s="331"/>
      <c r="EP12" s="331"/>
      <c r="EQ12" s="331"/>
      <c r="ER12" s="331"/>
      <c r="ES12" s="331"/>
      <c r="ET12" s="331"/>
      <c r="EU12" s="331"/>
      <c r="EV12" s="331"/>
      <c r="EW12" s="331"/>
      <c r="EX12" s="331"/>
      <c r="EY12" s="331"/>
      <c r="EZ12" s="331"/>
      <c r="FA12" s="331"/>
      <c r="FB12" s="331"/>
      <c r="FC12" s="331"/>
      <c r="FD12" s="331"/>
      <c r="FE12" s="331"/>
      <c r="FF12" s="331"/>
      <c r="FG12" s="331"/>
      <c r="FH12" s="331"/>
      <c r="FI12" s="331"/>
      <c r="FJ12" s="331"/>
      <c r="FK12" s="331"/>
      <c r="FL12" s="331"/>
      <c r="FM12" s="331"/>
      <c r="FN12" s="331"/>
      <c r="FO12" s="331"/>
      <c r="FP12" s="331"/>
      <c r="FQ12" s="331"/>
      <c r="FR12" s="331"/>
      <c r="FS12" s="331"/>
      <c r="FT12" s="331"/>
      <c r="FU12" s="331"/>
      <c r="FV12" s="331"/>
    </row>
    <row r="13" spans="2:178" s="106" customFormat="1" ht="19.5">
      <c r="B13" s="112" t="s">
        <v>246</v>
      </c>
      <c r="C13" s="886"/>
      <c r="D13" s="886"/>
      <c r="E13" s="886"/>
      <c r="F13" s="886"/>
      <c r="G13" s="886"/>
      <c r="H13" s="886"/>
      <c r="I13" s="886"/>
      <c r="J13" s="886"/>
      <c r="K13" s="886"/>
      <c r="L13" s="886"/>
      <c r="M13" s="886"/>
      <c r="N13" s="886"/>
      <c r="O13" s="886"/>
      <c r="P13" s="886"/>
      <c r="Q13" s="886"/>
      <c r="R13" s="886"/>
      <c r="S13" s="886"/>
      <c r="T13" s="886"/>
      <c r="U13" s="887"/>
      <c r="V13" s="880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  <c r="AZ13" s="331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1"/>
      <c r="BS13" s="331"/>
      <c r="BT13" s="331"/>
      <c r="BU13" s="331"/>
      <c r="BV13" s="331"/>
      <c r="BW13" s="331"/>
      <c r="BX13" s="331"/>
      <c r="BY13" s="331"/>
      <c r="BZ13" s="331"/>
      <c r="CA13" s="331"/>
      <c r="CB13" s="331"/>
      <c r="CC13" s="331"/>
      <c r="CD13" s="331"/>
      <c r="CE13" s="331"/>
      <c r="CF13" s="331"/>
      <c r="CG13" s="331"/>
      <c r="CH13" s="331"/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31"/>
      <c r="CX13" s="331"/>
      <c r="CY13" s="331"/>
      <c r="CZ13" s="331"/>
      <c r="DA13" s="331"/>
      <c r="DB13" s="331"/>
      <c r="DC13" s="331"/>
      <c r="DD13" s="331"/>
      <c r="DE13" s="331"/>
      <c r="DF13" s="331"/>
      <c r="DG13" s="331"/>
      <c r="DH13" s="331"/>
      <c r="DI13" s="331"/>
      <c r="DJ13" s="331"/>
      <c r="DK13" s="331"/>
      <c r="DL13" s="331"/>
      <c r="DM13" s="331"/>
      <c r="DN13" s="331"/>
      <c r="DO13" s="331"/>
      <c r="DP13" s="331"/>
      <c r="DQ13" s="331"/>
      <c r="DR13" s="331"/>
      <c r="DS13" s="331"/>
      <c r="DT13" s="331"/>
      <c r="DU13" s="331"/>
      <c r="DV13" s="331"/>
      <c r="DW13" s="331"/>
      <c r="DX13" s="331"/>
      <c r="DY13" s="331"/>
      <c r="DZ13" s="331"/>
      <c r="EA13" s="331"/>
      <c r="EB13" s="331"/>
      <c r="EC13" s="331"/>
      <c r="ED13" s="331"/>
      <c r="EE13" s="331"/>
      <c r="EF13" s="331"/>
      <c r="EG13" s="331"/>
      <c r="EH13" s="331"/>
      <c r="EI13" s="331"/>
      <c r="EJ13" s="331"/>
      <c r="EK13" s="331"/>
      <c r="EL13" s="331"/>
      <c r="EM13" s="331"/>
      <c r="EN13" s="331"/>
      <c r="EO13" s="331"/>
      <c r="EP13" s="331"/>
      <c r="EQ13" s="331"/>
      <c r="ER13" s="331"/>
      <c r="ES13" s="331"/>
      <c r="ET13" s="331"/>
      <c r="EU13" s="331"/>
      <c r="EV13" s="331"/>
      <c r="EW13" s="331"/>
      <c r="EX13" s="331"/>
      <c r="EY13" s="331"/>
      <c r="EZ13" s="331"/>
      <c r="FA13" s="331"/>
      <c r="FB13" s="331"/>
      <c r="FC13" s="331"/>
      <c r="FD13" s="331"/>
      <c r="FE13" s="331"/>
      <c r="FF13" s="331"/>
      <c r="FG13" s="331"/>
      <c r="FH13" s="331"/>
      <c r="FI13" s="331"/>
      <c r="FJ13" s="331"/>
      <c r="FK13" s="331"/>
      <c r="FL13" s="331"/>
      <c r="FM13" s="331"/>
      <c r="FN13" s="331"/>
      <c r="FO13" s="331"/>
      <c r="FP13" s="331"/>
      <c r="FQ13" s="331"/>
      <c r="FR13" s="331"/>
      <c r="FS13" s="331"/>
      <c r="FT13" s="331"/>
      <c r="FU13" s="331"/>
      <c r="FV13" s="331"/>
    </row>
    <row r="14" spans="2:21" s="106" customFormat="1" ht="16.5" thickBot="1">
      <c r="B14" s="314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888"/>
    </row>
    <row r="15" spans="2:21" s="392" customFormat="1" ht="33.75" customHeight="1" thickBot="1" thickTop="1">
      <c r="B15" s="393"/>
      <c r="C15" s="164"/>
      <c r="D15" s="164" t="s">
        <v>55</v>
      </c>
      <c r="E15" s="174" t="s">
        <v>74</v>
      </c>
      <c r="F15" s="174" t="s">
        <v>75</v>
      </c>
      <c r="G15" s="889" t="s">
        <v>239</v>
      </c>
      <c r="H15" s="889">
        <f>IF('[1]BASE'!DN15=0,"",'[1]BASE'!DN15)</f>
        <v>37653</v>
      </c>
      <c r="I15" s="889">
        <f>IF('[1]BASE'!DO15=0,"",'[1]BASE'!DO15)</f>
        <v>37681</v>
      </c>
      <c r="J15" s="889">
        <f>IF('[1]BASE'!DP15=0,"",'[1]BASE'!DP15)</f>
        <v>37712</v>
      </c>
      <c r="K15" s="889">
        <f>IF('[1]BASE'!DQ15=0,"",'[1]BASE'!DQ15)</f>
        <v>37742</v>
      </c>
      <c r="L15" s="889">
        <f>IF('[1]BASE'!DR15=0,"",'[1]BASE'!DR15)</f>
        <v>37773</v>
      </c>
      <c r="M15" s="889">
        <f>IF('[1]BASE'!DS15=0,"",'[1]BASE'!DS15)</f>
        <v>37803</v>
      </c>
      <c r="N15" s="889">
        <f>IF('[1]BASE'!DT15=0,"",'[1]BASE'!DT15)</f>
        <v>37834</v>
      </c>
      <c r="O15" s="889">
        <f>IF('[1]BASE'!DU15=0,"",'[1]BASE'!DU15)</f>
        <v>37865</v>
      </c>
      <c r="P15" s="889">
        <f>IF('[1]BASE'!DV15=0,"",'[1]BASE'!DV15)</f>
        <v>37895</v>
      </c>
      <c r="Q15" s="889">
        <f>IF('[1]BASE'!DW15=0,"",'[1]BASE'!DW15)</f>
        <v>37926</v>
      </c>
      <c r="R15" s="889">
        <f>IF('[1]BASE'!DX15=0,"",'[1]BASE'!DX15)</f>
        <v>37956</v>
      </c>
      <c r="S15" s="889">
        <f>IF('[1]BASE'!DY15=0,"",'[1]BASE'!DY15)</f>
        <v>37987</v>
      </c>
      <c r="T15" s="889">
        <f>IF('[1]BASE'!DZ15=0,"",'[1]BASE'!DZ15)</f>
        <v>38018</v>
      </c>
      <c r="U15" s="394"/>
    </row>
    <row r="16" spans="2:21" s="890" customFormat="1" ht="19.5" customHeight="1" thickTop="1">
      <c r="B16" s="891"/>
      <c r="C16" s="892"/>
      <c r="D16" s="893"/>
      <c r="E16" s="893"/>
      <c r="F16" s="893"/>
      <c r="G16" s="893"/>
      <c r="H16" s="893"/>
      <c r="I16" s="893"/>
      <c r="J16" s="893"/>
      <c r="K16" s="893"/>
      <c r="L16" s="893"/>
      <c r="M16" s="893"/>
      <c r="N16" s="893"/>
      <c r="O16" s="893"/>
      <c r="P16" s="893"/>
      <c r="Q16" s="893"/>
      <c r="R16" s="894"/>
      <c r="S16" s="894"/>
      <c r="T16" s="895"/>
      <c r="U16" s="896"/>
    </row>
    <row r="17" spans="2:21" s="890" customFormat="1" ht="19.5" customHeight="1">
      <c r="B17" s="891"/>
      <c r="C17" s="897">
        <f>IF('[1]BASE'!C17=0,"",'[1]BASE'!C17)</f>
        <v>1</v>
      </c>
      <c r="D17" s="897" t="str">
        <f>IF('[1]BASE'!D17=0,"",'[1]BASE'!D17)</f>
        <v>ABASTO - OLAVARRIA 1</v>
      </c>
      <c r="E17" s="897">
        <f>IF('[1]BASE'!E17=0,"",'[1]BASE'!E17)</f>
        <v>500</v>
      </c>
      <c r="F17" s="897">
        <f>IF('[1]BASE'!F17=0,"",'[1]BASE'!F17)</f>
        <v>291</v>
      </c>
      <c r="G17" s="898" t="str">
        <f>IF('[1]BASE'!G17=0,"",'[1]BASE'!G17)</f>
        <v>B</v>
      </c>
      <c r="H17" s="897">
        <f>IF('[1]BASE'!DN17=0,"",'[1]BASE'!DN17)</f>
      </c>
      <c r="I17" s="897">
        <f>IF('[1]BASE'!DO17=0,"",'[1]BASE'!DO17)</f>
      </c>
      <c r="J17" s="897">
        <f>IF('[1]BASE'!DP17=0,"",'[1]BASE'!DP17)</f>
      </c>
      <c r="K17" s="897">
        <f>IF('[1]BASE'!DQ17=0,"",'[1]BASE'!DQ17)</f>
      </c>
      <c r="L17" s="897">
        <f>IF('[1]BASE'!DR17=0,"",'[1]BASE'!DR17)</f>
      </c>
      <c r="M17" s="897">
        <f>IF('[1]BASE'!DS17=0,"",'[1]BASE'!DS17)</f>
        <v>1</v>
      </c>
      <c r="N17" s="897">
        <f>IF('[1]BASE'!DT17=0,"",'[1]BASE'!DT17)</f>
      </c>
      <c r="O17" s="897">
        <f>IF('[1]BASE'!DU17=0,"",'[1]BASE'!DU17)</f>
      </c>
      <c r="P17" s="897">
        <f>IF('[1]BASE'!DV17=0,"",'[1]BASE'!DV17)</f>
      </c>
      <c r="Q17" s="897">
        <f>IF('[1]BASE'!DW17=0,"",'[1]BASE'!DW17)</f>
      </c>
      <c r="R17" s="899">
        <f>IF('[1]BASE'!DX17=0,"",'[1]BASE'!DX17)</f>
      </c>
      <c r="S17" s="899">
        <f>IF('[1]BASE'!DY17=0,"",'[1]BASE'!DY17)</f>
      </c>
      <c r="T17" s="900"/>
      <c r="U17" s="896"/>
    </row>
    <row r="18" spans="2:21" s="890" customFormat="1" ht="19.5" customHeight="1">
      <c r="B18" s="891"/>
      <c r="C18" s="901">
        <f>IF('[1]BASE'!C18=0,"",'[1]BASE'!C18)</f>
        <v>2</v>
      </c>
      <c r="D18" s="901" t="str">
        <f>IF('[1]BASE'!D18=0,"",'[1]BASE'!D18)</f>
        <v>ABASTO - OLAVARRIA 2</v>
      </c>
      <c r="E18" s="901">
        <f>IF('[1]BASE'!E18=0,"",'[1]BASE'!E18)</f>
        <v>500</v>
      </c>
      <c r="F18" s="901">
        <f>IF('[1]BASE'!F18=0,"",'[1]BASE'!F18)</f>
        <v>301.9</v>
      </c>
      <c r="G18" s="902">
        <f>IF('[1]BASE'!G18=0,"",'[1]BASE'!G18)</f>
      </c>
      <c r="H18" s="901">
        <f>IF('[1]BASE'!DN18=0,"",'[1]BASE'!DN18)</f>
      </c>
      <c r="I18" s="901">
        <f>IF('[1]BASE'!DO18=0,"",'[1]BASE'!DO18)</f>
        <v>1</v>
      </c>
      <c r="J18" s="901">
        <f>IF('[1]BASE'!DP18=0,"",'[1]BASE'!DP18)</f>
      </c>
      <c r="K18" s="901">
        <f>IF('[1]BASE'!DQ18=0,"",'[1]BASE'!DQ18)</f>
      </c>
      <c r="L18" s="901">
        <f>IF('[1]BASE'!DR18=0,"",'[1]BASE'!DR18)</f>
      </c>
      <c r="M18" s="901">
        <f>IF('[1]BASE'!DS18=0,"",'[1]BASE'!DS18)</f>
      </c>
      <c r="N18" s="901">
        <f>IF('[1]BASE'!DT18=0,"",'[1]BASE'!DT18)</f>
      </c>
      <c r="O18" s="901">
        <f>IF('[1]BASE'!DU18=0,"",'[1]BASE'!DU18)</f>
      </c>
      <c r="P18" s="901">
        <f>IF('[1]BASE'!DV18=0,"",'[1]BASE'!DV18)</f>
      </c>
      <c r="Q18" s="901">
        <f>IF('[1]BASE'!DW18=0,"",'[1]BASE'!DW18)</f>
      </c>
      <c r="R18" s="899">
        <f>IF('[1]BASE'!DX18=0,"",'[1]BASE'!DX18)</f>
      </c>
      <c r="S18" s="899">
        <f>IF('[1]BASE'!DY18=0,"",'[1]BASE'!DY18)</f>
      </c>
      <c r="T18" s="900"/>
      <c r="U18" s="896"/>
    </row>
    <row r="19" spans="2:21" s="890" customFormat="1" ht="19.5" customHeight="1">
      <c r="B19" s="891"/>
      <c r="C19" s="903">
        <f>IF('[1]BASE'!C19=0,"",'[1]BASE'!C19)</f>
        <v>3</v>
      </c>
      <c r="D19" s="903" t="str">
        <f>IF('[1]BASE'!D19=0,"",'[1]BASE'!D19)</f>
        <v>AGUA DEL CAJON - CHOCON OESTE</v>
      </c>
      <c r="E19" s="903">
        <f>IF('[1]BASE'!E19=0,"",'[1]BASE'!E19)</f>
        <v>500</v>
      </c>
      <c r="F19" s="903">
        <f>IF('[1]BASE'!F19=0,"",'[1]BASE'!F19)</f>
        <v>52</v>
      </c>
      <c r="G19" s="904">
        <f>IF('[1]BASE'!G19=0,"",'[1]BASE'!G19)</f>
      </c>
      <c r="H19" s="903">
        <f>IF('[1]BASE'!DN19=0,"",'[1]BASE'!DN19)</f>
      </c>
      <c r="I19" s="903">
        <f>IF('[1]BASE'!DO19=0,"",'[1]BASE'!DO19)</f>
      </c>
      <c r="J19" s="903">
        <f>IF('[1]BASE'!DP19=0,"",'[1]BASE'!DP19)</f>
      </c>
      <c r="K19" s="903">
        <f>IF('[1]BASE'!DQ19=0,"",'[1]BASE'!DQ19)</f>
      </c>
      <c r="L19" s="903">
        <f>IF('[1]BASE'!DR19=0,"",'[1]BASE'!DR19)</f>
      </c>
      <c r="M19" s="903">
        <f>IF('[1]BASE'!DS19=0,"",'[1]BASE'!DS19)</f>
      </c>
      <c r="N19" s="903">
        <f>IF('[1]BASE'!DT19=0,"",'[1]BASE'!DT19)</f>
      </c>
      <c r="O19" s="903">
        <f>IF('[1]BASE'!DU19=0,"",'[1]BASE'!DU19)</f>
      </c>
      <c r="P19" s="903">
        <f>IF('[1]BASE'!DV19=0,"",'[1]BASE'!DV19)</f>
      </c>
      <c r="Q19" s="903">
        <f>IF('[1]BASE'!DW19=0,"",'[1]BASE'!DW19)</f>
      </c>
      <c r="R19" s="899">
        <f>IF('[1]BASE'!DX19=0,"",'[1]BASE'!DX19)</f>
      </c>
      <c r="S19" s="899">
        <f>IF('[1]BASE'!DY19=0,"",'[1]BASE'!DY19)</f>
      </c>
      <c r="T19" s="900"/>
      <c r="U19" s="896"/>
    </row>
    <row r="20" spans="2:21" s="890" customFormat="1" ht="19.5" customHeight="1">
      <c r="B20" s="891"/>
      <c r="C20" s="901">
        <f>IF('[1]BASE'!C20=0,"",'[1]BASE'!C20)</f>
        <v>4</v>
      </c>
      <c r="D20" s="901" t="str">
        <f>IF('[1]BASE'!D20=0,"",'[1]BASE'!D20)</f>
        <v>ALICURA - E.T. P.del A. 1 (5LG1)</v>
      </c>
      <c r="E20" s="901">
        <f>IF('[1]BASE'!E20=0,"",'[1]BASE'!E20)</f>
        <v>500</v>
      </c>
      <c r="F20" s="901">
        <f>IF('[1]BASE'!F20=0,"",'[1]BASE'!F20)</f>
        <v>76</v>
      </c>
      <c r="G20" s="902" t="str">
        <f>IF('[1]BASE'!G20=0,"",'[1]BASE'!G20)</f>
        <v>C</v>
      </c>
      <c r="H20" s="901">
        <f>IF('[1]BASE'!DN20=0,"",'[1]BASE'!DN20)</f>
      </c>
      <c r="I20" s="901">
        <f>IF('[1]BASE'!DO20=0,"",'[1]BASE'!DO20)</f>
        <v>1</v>
      </c>
      <c r="J20" s="901">
        <f>IF('[1]BASE'!DP20=0,"",'[1]BASE'!DP20)</f>
      </c>
      <c r="K20" s="901">
        <f>IF('[1]BASE'!DQ20=0,"",'[1]BASE'!DQ20)</f>
      </c>
      <c r="L20" s="901">
        <f>IF('[1]BASE'!DR20=0,"",'[1]BASE'!DR20)</f>
      </c>
      <c r="M20" s="901">
        <f>IF('[1]BASE'!DS20=0,"",'[1]BASE'!DS20)</f>
      </c>
      <c r="N20" s="901">
        <f>IF('[1]BASE'!DT20=0,"",'[1]BASE'!DT20)</f>
      </c>
      <c r="O20" s="901">
        <f>IF('[1]BASE'!DU20=0,"",'[1]BASE'!DU20)</f>
      </c>
      <c r="P20" s="901">
        <f>IF('[1]BASE'!DV20=0,"",'[1]BASE'!DV20)</f>
      </c>
      <c r="Q20" s="901">
        <f>IF('[1]BASE'!DW20=0,"",'[1]BASE'!DW20)</f>
      </c>
      <c r="R20" s="899">
        <f>IF('[1]BASE'!DX20=0,"",'[1]BASE'!DX20)</f>
      </c>
      <c r="S20" s="899">
        <f>IF('[1]BASE'!DY20=0,"",'[1]BASE'!DY20)</f>
      </c>
      <c r="T20" s="900"/>
      <c r="U20" s="896"/>
    </row>
    <row r="21" spans="2:21" s="890" customFormat="1" ht="19.5" customHeight="1">
      <c r="B21" s="891"/>
      <c r="C21" s="903">
        <f>IF('[1]BASE'!C21=0,"",'[1]BASE'!C21)</f>
        <v>5</v>
      </c>
      <c r="D21" s="903" t="str">
        <f>IF('[1]BASE'!D21=0,"",'[1]BASE'!D21)</f>
        <v>ALICURA - E.T. P.del A. 2 (5LG2)</v>
      </c>
      <c r="E21" s="903">
        <f>IF('[1]BASE'!E21=0,"",'[1]BASE'!E21)</f>
        <v>500</v>
      </c>
      <c r="F21" s="903">
        <f>IF('[1]BASE'!F21=0,"",'[1]BASE'!F21)</f>
        <v>76</v>
      </c>
      <c r="G21" s="904" t="str">
        <f>IF('[1]BASE'!G21=0,"",'[1]BASE'!G21)</f>
        <v>C</v>
      </c>
      <c r="H21" s="903">
        <f>IF('[1]BASE'!DN21=0,"",'[1]BASE'!DN21)</f>
      </c>
      <c r="I21" s="903">
        <f>IF('[1]BASE'!DO21=0,"",'[1]BASE'!DO21)</f>
      </c>
      <c r="J21" s="903">
        <f>IF('[1]BASE'!DP21=0,"",'[1]BASE'!DP21)</f>
      </c>
      <c r="K21" s="903">
        <f>IF('[1]BASE'!DQ21=0,"",'[1]BASE'!DQ21)</f>
      </c>
      <c r="L21" s="903">
        <f>IF('[1]BASE'!DR21=0,"",'[1]BASE'!DR21)</f>
        <v>1</v>
      </c>
      <c r="M21" s="903">
        <f>IF('[1]BASE'!DS21=0,"",'[1]BASE'!DS21)</f>
      </c>
      <c r="N21" s="903">
        <f>IF('[1]BASE'!DT21=0,"",'[1]BASE'!DT21)</f>
        <v>1</v>
      </c>
      <c r="O21" s="903">
        <f>IF('[1]BASE'!DU21=0,"",'[1]BASE'!DU21)</f>
      </c>
      <c r="P21" s="903">
        <f>IF('[1]BASE'!DV21=0,"",'[1]BASE'!DV21)</f>
      </c>
      <c r="Q21" s="903">
        <f>IF('[1]BASE'!DW21=0,"",'[1]BASE'!DW21)</f>
      </c>
      <c r="R21" s="899">
        <f>IF('[1]BASE'!DX21=0,"",'[1]BASE'!DX21)</f>
      </c>
      <c r="S21" s="899">
        <f>IF('[1]BASE'!DY21=0,"",'[1]BASE'!DY21)</f>
      </c>
      <c r="T21" s="900"/>
      <c r="U21" s="896"/>
    </row>
    <row r="22" spans="2:21" s="890" customFormat="1" ht="19.5" customHeight="1">
      <c r="B22" s="891"/>
      <c r="C22" s="901">
        <f>IF('[1]BASE'!C22=0,"",'[1]BASE'!C22)</f>
        <v>6</v>
      </c>
      <c r="D22" s="901" t="str">
        <f>IF('[1]BASE'!D22=0,"",'[1]BASE'!D22)</f>
        <v>ALMAFUERTE - EMBALSE </v>
      </c>
      <c r="E22" s="901">
        <f>IF('[1]BASE'!E22=0,"",'[1]BASE'!E22)</f>
        <v>500</v>
      </c>
      <c r="F22" s="901">
        <f>IF('[1]BASE'!F22=0,"",'[1]BASE'!F22)</f>
        <v>12</v>
      </c>
      <c r="G22" s="902" t="str">
        <f>IF('[1]BASE'!G22=0,"",'[1]BASE'!G22)</f>
        <v>A</v>
      </c>
      <c r="H22" s="901">
        <f>IF('[1]BASE'!DN22=0,"",'[1]BASE'!DN22)</f>
      </c>
      <c r="I22" s="901">
        <f>IF('[1]BASE'!DO22=0,"",'[1]BASE'!DO22)</f>
      </c>
      <c r="J22" s="901">
        <f>IF('[1]BASE'!DP22=0,"",'[1]BASE'!DP22)</f>
      </c>
      <c r="K22" s="901">
        <f>IF('[1]BASE'!DQ22=0,"",'[1]BASE'!DQ22)</f>
      </c>
      <c r="L22" s="901">
        <f>IF('[1]BASE'!DR22=0,"",'[1]BASE'!DR22)</f>
      </c>
      <c r="M22" s="901">
        <f>IF('[1]BASE'!DS22=0,"",'[1]BASE'!DS22)</f>
      </c>
      <c r="N22" s="901">
        <f>IF('[1]BASE'!DT22=0,"",'[1]BASE'!DT22)</f>
      </c>
      <c r="O22" s="901">
        <f>IF('[1]BASE'!DU22=0,"",'[1]BASE'!DU22)</f>
      </c>
      <c r="P22" s="901">
        <f>IF('[1]BASE'!DV22=0,"",'[1]BASE'!DV22)</f>
      </c>
      <c r="Q22" s="901">
        <f>IF('[1]BASE'!DW22=0,"",'[1]BASE'!DW22)</f>
      </c>
      <c r="R22" s="899">
        <f>IF('[1]BASE'!DX22=0,"",'[1]BASE'!DX22)</f>
      </c>
      <c r="S22" s="899">
        <f>IF('[1]BASE'!DY22=0,"",'[1]BASE'!DY22)</f>
      </c>
      <c r="T22" s="900"/>
      <c r="U22" s="896"/>
    </row>
    <row r="23" spans="2:21" s="890" customFormat="1" ht="19.5" customHeight="1">
      <c r="B23" s="891"/>
      <c r="C23" s="903">
        <f>IF('[1]BASE'!C23=0,"",'[1]BASE'!C23)</f>
        <v>7</v>
      </c>
      <c r="D23" s="903" t="str">
        <f>IF('[1]BASE'!D23=0,"",'[1]BASE'!D23)</f>
        <v> ALMAFUERTE - ROSARIO OESTE</v>
      </c>
      <c r="E23" s="903">
        <f>IF('[1]BASE'!E23=0,"",'[1]BASE'!E23)</f>
        <v>500</v>
      </c>
      <c r="F23" s="903">
        <f>IF('[1]BASE'!F23=0,"",'[1]BASE'!F23)</f>
        <v>345</v>
      </c>
      <c r="G23" s="904" t="str">
        <f>IF('[1]BASE'!G23=0,"",'[1]BASE'!G23)</f>
        <v>A</v>
      </c>
      <c r="H23" s="903">
        <f>IF('[1]BASE'!DN23=0,"",'[1]BASE'!DN23)</f>
      </c>
      <c r="I23" s="903">
        <f>IF('[1]BASE'!DO23=0,"",'[1]BASE'!DO23)</f>
      </c>
      <c r="J23" s="903">
        <f>IF('[1]BASE'!DP23=0,"",'[1]BASE'!DP23)</f>
      </c>
      <c r="K23" s="903">
        <f>IF('[1]BASE'!DQ23=0,"",'[1]BASE'!DQ23)</f>
      </c>
      <c r="L23" s="903">
        <f>IF('[1]BASE'!DR23=0,"",'[1]BASE'!DR23)</f>
      </c>
      <c r="M23" s="903">
        <f>IF('[1]BASE'!DS23=0,"",'[1]BASE'!DS23)</f>
      </c>
      <c r="N23" s="903">
        <f>IF('[1]BASE'!DT23=0,"",'[1]BASE'!DT23)</f>
      </c>
      <c r="O23" s="903">
        <f>IF('[1]BASE'!DU23=0,"",'[1]BASE'!DU23)</f>
      </c>
      <c r="P23" s="903">
        <f>IF('[1]BASE'!DV23=0,"",'[1]BASE'!DV23)</f>
      </c>
      <c r="Q23" s="903">
        <f>IF('[1]BASE'!DW23=0,"",'[1]BASE'!DW23)</f>
      </c>
      <c r="R23" s="899">
        <f>IF('[1]BASE'!DX23=0,"",'[1]BASE'!DX23)</f>
      </c>
      <c r="S23" s="899">
        <f>IF('[1]BASE'!DY23=0,"",'[1]BASE'!DY23)</f>
      </c>
      <c r="T23" s="900"/>
      <c r="U23" s="896"/>
    </row>
    <row r="24" spans="2:21" s="890" customFormat="1" ht="19.5" customHeight="1">
      <c r="B24" s="891"/>
      <c r="C24" s="901">
        <f>IF('[1]BASE'!C24=0,"",'[1]BASE'!C24)</f>
        <v>8</v>
      </c>
      <c r="D24" s="901" t="str">
        <f>IF('[1]BASE'!D24=0,"",'[1]BASE'!D24)</f>
        <v>BAHIA BLANCA - CHOELE CHOEL 1</v>
      </c>
      <c r="E24" s="901">
        <f>IF('[1]BASE'!E24=0,"",'[1]BASE'!E24)</f>
        <v>500</v>
      </c>
      <c r="F24" s="901">
        <f>IF('[1]BASE'!F24=0,"",'[1]BASE'!F24)</f>
        <v>346</v>
      </c>
      <c r="G24" s="902" t="str">
        <f>IF('[1]BASE'!G24=0,"",'[1]BASE'!G24)</f>
        <v>B</v>
      </c>
      <c r="H24" s="901">
        <f>IF('[1]BASE'!DN24=0,"",'[1]BASE'!DN24)</f>
      </c>
      <c r="I24" s="901">
        <f>IF('[1]BASE'!DO24=0,"",'[1]BASE'!DO24)</f>
        <v>1</v>
      </c>
      <c r="J24" s="901">
        <f>IF('[1]BASE'!DP24=0,"",'[1]BASE'!DP24)</f>
      </c>
      <c r="K24" s="901">
        <f>IF('[1]BASE'!DQ24=0,"",'[1]BASE'!DQ24)</f>
      </c>
      <c r="L24" s="901">
        <f>IF('[1]BASE'!DR24=0,"",'[1]BASE'!DR24)</f>
      </c>
      <c r="M24" s="901">
        <f>IF('[1]BASE'!DS24=0,"",'[1]BASE'!DS24)</f>
      </c>
      <c r="N24" s="901">
        <f>IF('[1]BASE'!DT24=0,"",'[1]BASE'!DT24)</f>
      </c>
      <c r="O24" s="901">
        <f>IF('[1]BASE'!DU24=0,"",'[1]BASE'!DU24)</f>
      </c>
      <c r="P24" s="901">
        <f>IF('[1]BASE'!DV24=0,"",'[1]BASE'!DV24)</f>
      </c>
      <c r="Q24" s="901">
        <f>IF('[1]BASE'!DW24=0,"",'[1]BASE'!DW24)</f>
      </c>
      <c r="R24" s="899">
        <f>IF('[1]BASE'!DX24=0,"",'[1]BASE'!DX24)</f>
      </c>
      <c r="S24" s="899">
        <f>IF('[1]BASE'!DY24=0,"",'[1]BASE'!DY24)</f>
      </c>
      <c r="T24" s="900"/>
      <c r="U24" s="896"/>
    </row>
    <row r="25" spans="2:21" s="890" customFormat="1" ht="19.5" customHeight="1">
      <c r="B25" s="891"/>
      <c r="C25" s="903">
        <f>IF('[1]BASE'!C25=0,"",'[1]BASE'!C25)</f>
        <v>9</v>
      </c>
      <c r="D25" s="903" t="str">
        <f>IF('[1]BASE'!D25=0,"",'[1]BASE'!D25)</f>
        <v>BAHIA BLANCA - CHOELE CHOEL 2</v>
      </c>
      <c r="E25" s="903">
        <f>IF('[1]BASE'!E25=0,"",'[1]BASE'!E25)</f>
        <v>500</v>
      </c>
      <c r="F25" s="903">
        <f>IF('[1]BASE'!F25=0,"",'[1]BASE'!F25)</f>
        <v>348.4</v>
      </c>
      <c r="G25" s="904">
        <f>IF('[1]BASE'!G25=0,"",'[1]BASE'!G25)</f>
      </c>
      <c r="H25" s="903">
        <f>IF('[1]BASE'!DN25=0,"",'[1]BASE'!DN25)</f>
      </c>
      <c r="I25" s="903">
        <f>IF('[1]BASE'!DO25=0,"",'[1]BASE'!DO25)</f>
        <v>2</v>
      </c>
      <c r="J25" s="903">
        <f>IF('[1]BASE'!DP25=0,"",'[1]BASE'!DP25)</f>
      </c>
      <c r="K25" s="903">
        <f>IF('[1]BASE'!DQ25=0,"",'[1]BASE'!DQ25)</f>
      </c>
      <c r="L25" s="903">
        <f>IF('[1]BASE'!DR25=0,"",'[1]BASE'!DR25)</f>
        <v>1</v>
      </c>
      <c r="M25" s="903">
        <f>IF('[1]BASE'!DS25=0,"",'[1]BASE'!DS25)</f>
      </c>
      <c r="N25" s="903">
        <f>IF('[1]BASE'!DT25=0,"",'[1]BASE'!DT25)</f>
      </c>
      <c r="O25" s="903">
        <f>IF('[1]BASE'!DU25=0,"",'[1]BASE'!DU25)</f>
        <v>1</v>
      </c>
      <c r="P25" s="903">
        <f>IF('[1]BASE'!DV25=0,"",'[1]BASE'!DV25)</f>
      </c>
      <c r="Q25" s="903">
        <f>IF('[1]BASE'!DW25=0,"",'[1]BASE'!DW25)</f>
      </c>
      <c r="R25" s="899">
        <f>IF('[1]BASE'!DX25=0,"",'[1]BASE'!DX25)</f>
      </c>
      <c r="S25" s="899">
        <f>IF('[1]BASE'!DY25=0,"",'[1]BASE'!DY25)</f>
      </c>
      <c r="T25" s="900"/>
      <c r="U25" s="896"/>
    </row>
    <row r="26" spans="2:21" s="890" customFormat="1" ht="19.5" customHeight="1">
      <c r="B26" s="891"/>
      <c r="C26" s="901">
        <f>IF('[1]BASE'!C26=0,"",'[1]BASE'!C26)</f>
        <v>10</v>
      </c>
      <c r="D26" s="901" t="str">
        <f>IF('[1]BASE'!D26=0,"",'[1]BASE'!D26)</f>
        <v>CERR. de la CTA - P.BAND. (A3)</v>
      </c>
      <c r="E26" s="901">
        <f>IF('[1]BASE'!E26=0,"",'[1]BASE'!E26)</f>
        <v>500</v>
      </c>
      <c r="F26" s="901">
        <f>IF('[1]BASE'!F26=0,"",'[1]BASE'!F26)</f>
        <v>27</v>
      </c>
      <c r="G26" s="902" t="str">
        <f>IF('[1]BASE'!G26=0,"",'[1]BASE'!G26)</f>
        <v>C</v>
      </c>
      <c r="H26" s="901">
        <f>IF('[1]BASE'!DN26=0,"",'[1]BASE'!DN26)</f>
      </c>
      <c r="I26" s="901">
        <f>IF('[1]BASE'!DO26=0,"",'[1]BASE'!DO26)</f>
      </c>
      <c r="J26" s="901">
        <f>IF('[1]BASE'!DP26=0,"",'[1]BASE'!DP26)</f>
      </c>
      <c r="K26" s="901">
        <f>IF('[1]BASE'!DQ26=0,"",'[1]BASE'!DQ26)</f>
      </c>
      <c r="L26" s="901">
        <f>IF('[1]BASE'!DR26=0,"",'[1]BASE'!DR26)</f>
      </c>
      <c r="M26" s="901">
        <f>IF('[1]BASE'!DS26=0,"",'[1]BASE'!DS26)</f>
      </c>
      <c r="N26" s="901">
        <f>IF('[1]BASE'!DT26=0,"",'[1]BASE'!DT26)</f>
      </c>
      <c r="O26" s="901">
        <f>IF('[1]BASE'!DU26=0,"",'[1]BASE'!DU26)</f>
      </c>
      <c r="P26" s="901">
        <f>IF('[1]BASE'!DV26=0,"",'[1]BASE'!DV26)</f>
      </c>
      <c r="Q26" s="901">
        <f>IF('[1]BASE'!DW26=0,"",'[1]BASE'!DW26)</f>
      </c>
      <c r="R26" s="899">
        <f>IF('[1]BASE'!DX26=0,"",'[1]BASE'!DX26)</f>
      </c>
      <c r="S26" s="899">
        <f>IF('[1]BASE'!DY26=0,"",'[1]BASE'!DY26)</f>
      </c>
      <c r="T26" s="900"/>
      <c r="U26" s="896"/>
    </row>
    <row r="27" spans="2:21" s="890" customFormat="1" ht="19.5" customHeight="1">
      <c r="B27" s="891"/>
      <c r="C27" s="903">
        <f>IF('[1]BASE'!C27=0,"",'[1]BASE'!C27)</f>
        <v>11</v>
      </c>
      <c r="D27" s="903" t="str">
        <f>IF('[1]BASE'!D27=0,"",'[1]BASE'!D27)</f>
        <v>COLONIA ELIA - CAMPANA</v>
      </c>
      <c r="E27" s="903">
        <f>IF('[1]BASE'!E27=0,"",'[1]BASE'!E27)</f>
        <v>500</v>
      </c>
      <c r="F27" s="903">
        <f>IF('[1]BASE'!F27=0,"",'[1]BASE'!F27)</f>
        <v>194</v>
      </c>
      <c r="G27" s="904" t="str">
        <f>IF('[1]BASE'!G27=0,"",'[1]BASE'!G27)</f>
        <v>C</v>
      </c>
      <c r="H27" s="903">
        <f>IF('[1]BASE'!DN27=0,"",'[1]BASE'!DN27)</f>
      </c>
      <c r="I27" s="903">
        <f>IF('[1]BASE'!DO27=0,"",'[1]BASE'!DO27)</f>
      </c>
      <c r="J27" s="903">
        <f>IF('[1]BASE'!DP27=0,"",'[1]BASE'!DP27)</f>
      </c>
      <c r="K27" s="903">
        <f>IF('[1]BASE'!DQ27=0,"",'[1]BASE'!DQ27)</f>
      </c>
      <c r="L27" s="903">
        <f>IF('[1]BASE'!DR27=0,"",'[1]BASE'!DR27)</f>
      </c>
      <c r="M27" s="903">
        <f>IF('[1]BASE'!DS27=0,"",'[1]BASE'!DS27)</f>
      </c>
      <c r="N27" s="903">
        <f>IF('[1]BASE'!DT27=0,"",'[1]BASE'!DT27)</f>
      </c>
      <c r="O27" s="903">
        <f>IF('[1]BASE'!DU27=0,"",'[1]BASE'!DU27)</f>
      </c>
      <c r="P27" s="903">
        <f>IF('[1]BASE'!DV27=0,"",'[1]BASE'!DV27)</f>
      </c>
      <c r="Q27" s="903">
        <f>IF('[1]BASE'!DW27=0,"",'[1]BASE'!DW27)</f>
      </c>
      <c r="R27" s="899">
        <f>IF('[1]BASE'!DX27=0,"",'[1]BASE'!DX27)</f>
      </c>
      <c r="S27" s="899">
        <f>IF('[1]BASE'!DY27=0,"",'[1]BASE'!DY27)</f>
      </c>
      <c r="T27" s="900"/>
      <c r="U27" s="896"/>
    </row>
    <row r="28" spans="2:21" s="890" customFormat="1" ht="19.5" customHeight="1">
      <c r="B28" s="891"/>
      <c r="C28" s="901">
        <f>IF('[1]BASE'!C28=0,"",'[1]BASE'!C28)</f>
        <v>12</v>
      </c>
      <c r="D28" s="901" t="str">
        <f>IF('[1]BASE'!D28=0,"",'[1]BASE'!D28)</f>
        <v>CHO. W. - CHOELE CHOEL (5WH1)</v>
      </c>
      <c r="E28" s="901">
        <f>IF('[1]BASE'!E28=0,"",'[1]BASE'!E28)</f>
        <v>500</v>
      </c>
      <c r="F28" s="901">
        <f>IF('[1]BASE'!F28=0,"",'[1]BASE'!F28)</f>
        <v>269</v>
      </c>
      <c r="G28" s="902" t="str">
        <f>IF('[1]BASE'!G28=0,"",'[1]BASE'!G28)</f>
        <v>B</v>
      </c>
      <c r="H28" s="901">
        <f>IF('[1]BASE'!DN28=0,"",'[1]BASE'!DN28)</f>
      </c>
      <c r="I28" s="901">
        <f>IF('[1]BASE'!DO28=0,"",'[1]BASE'!DO28)</f>
      </c>
      <c r="J28" s="901">
        <f>IF('[1]BASE'!DP28=0,"",'[1]BASE'!DP28)</f>
      </c>
      <c r="K28" s="901">
        <f>IF('[1]BASE'!DQ28=0,"",'[1]BASE'!DQ28)</f>
      </c>
      <c r="L28" s="901">
        <f>IF('[1]BASE'!DR28=0,"",'[1]BASE'!DR28)</f>
      </c>
      <c r="M28" s="901">
        <f>IF('[1]BASE'!DS28=0,"",'[1]BASE'!DS28)</f>
      </c>
      <c r="N28" s="901">
        <f>IF('[1]BASE'!DT28=0,"",'[1]BASE'!DT28)</f>
      </c>
      <c r="O28" s="901">
        <f>IF('[1]BASE'!DU28=0,"",'[1]BASE'!DU28)</f>
      </c>
      <c r="P28" s="901">
        <f>IF('[1]BASE'!DV28=0,"",'[1]BASE'!DV28)</f>
      </c>
      <c r="Q28" s="901">
        <f>IF('[1]BASE'!DW28=0,"",'[1]BASE'!DW28)</f>
      </c>
      <c r="R28" s="899">
        <f>IF('[1]BASE'!DX28=0,"",'[1]BASE'!DX28)</f>
      </c>
      <c r="S28" s="899">
        <f>IF('[1]BASE'!DY28=0,"",'[1]BASE'!DY28)</f>
      </c>
      <c r="T28" s="900"/>
      <c r="U28" s="896"/>
    </row>
    <row r="29" spans="2:21" s="890" customFormat="1" ht="19.5" customHeight="1">
      <c r="B29" s="891"/>
      <c r="C29" s="903">
        <f>IF('[1]BASE'!C29=0,"",'[1]BASE'!C29)</f>
        <v>13</v>
      </c>
      <c r="D29" s="903" t="str">
        <f>IF('[1]BASE'!D29=0,"",'[1]BASE'!D29)</f>
        <v>CHO.W. - CHO. 1 (5WC1)</v>
      </c>
      <c r="E29" s="903">
        <f>IF('[1]BASE'!E29=0,"",'[1]BASE'!E29)</f>
        <v>500</v>
      </c>
      <c r="F29" s="903">
        <f>IF('[1]BASE'!F29=0,"",'[1]BASE'!F29)</f>
        <v>4.5</v>
      </c>
      <c r="G29" s="904" t="str">
        <f>IF('[1]BASE'!G29=0,"",'[1]BASE'!G29)</f>
        <v>C</v>
      </c>
      <c r="H29" s="903">
        <f>IF('[1]BASE'!DN29=0,"",'[1]BASE'!DN29)</f>
      </c>
      <c r="I29" s="903">
        <f>IF('[1]BASE'!DO29=0,"",'[1]BASE'!DO29)</f>
      </c>
      <c r="J29" s="903">
        <f>IF('[1]BASE'!DP29=0,"",'[1]BASE'!DP29)</f>
      </c>
      <c r="K29" s="903">
        <f>IF('[1]BASE'!DQ29=0,"",'[1]BASE'!DQ29)</f>
      </c>
      <c r="L29" s="903">
        <f>IF('[1]BASE'!DR29=0,"",'[1]BASE'!DR29)</f>
      </c>
      <c r="M29" s="903">
        <f>IF('[1]BASE'!DS29=0,"",'[1]BASE'!DS29)</f>
      </c>
      <c r="N29" s="903">
        <f>IF('[1]BASE'!DT29=0,"",'[1]BASE'!DT29)</f>
      </c>
      <c r="O29" s="903">
        <f>IF('[1]BASE'!DU29=0,"",'[1]BASE'!DU29)</f>
      </c>
      <c r="P29" s="903">
        <f>IF('[1]BASE'!DV29=0,"",'[1]BASE'!DV29)</f>
      </c>
      <c r="Q29" s="903">
        <f>IF('[1]BASE'!DW29=0,"",'[1]BASE'!DW29)</f>
      </c>
      <c r="R29" s="899">
        <f>IF('[1]BASE'!DX29=0,"",'[1]BASE'!DX29)</f>
      </c>
      <c r="S29" s="899">
        <f>IF('[1]BASE'!DY29=0,"",'[1]BASE'!DY29)</f>
      </c>
      <c r="T29" s="900"/>
      <c r="U29" s="896"/>
    </row>
    <row r="30" spans="2:21" s="890" customFormat="1" ht="19.5" customHeight="1">
      <c r="B30" s="891"/>
      <c r="C30" s="901">
        <f>IF('[1]BASE'!C30=0,"",'[1]BASE'!C30)</f>
        <v>14</v>
      </c>
      <c r="D30" s="901" t="str">
        <f>IF('[1]BASE'!D30=0,"",'[1]BASE'!D30)</f>
        <v>CHO.W. - CHO. 2 (5WC2)</v>
      </c>
      <c r="E30" s="901">
        <f>IF('[1]BASE'!E30=0,"",'[1]BASE'!E30)</f>
        <v>500</v>
      </c>
      <c r="F30" s="901">
        <f>IF('[1]BASE'!F30=0,"",'[1]BASE'!F30)</f>
        <v>4.5</v>
      </c>
      <c r="G30" s="902" t="str">
        <f>IF('[1]BASE'!G30=0,"",'[1]BASE'!G30)</f>
        <v>C</v>
      </c>
      <c r="H30" s="901">
        <f>IF('[1]BASE'!DN30=0,"",'[1]BASE'!DN30)</f>
      </c>
      <c r="I30" s="901">
        <f>IF('[1]BASE'!DO30=0,"",'[1]BASE'!DO30)</f>
      </c>
      <c r="J30" s="901">
        <f>IF('[1]BASE'!DP30=0,"",'[1]BASE'!DP30)</f>
      </c>
      <c r="K30" s="901">
        <f>IF('[1]BASE'!DQ30=0,"",'[1]BASE'!DQ30)</f>
      </c>
      <c r="L30" s="901">
        <f>IF('[1]BASE'!DR30=0,"",'[1]BASE'!DR30)</f>
      </c>
      <c r="M30" s="901">
        <f>IF('[1]BASE'!DS30=0,"",'[1]BASE'!DS30)</f>
      </c>
      <c r="N30" s="901">
        <f>IF('[1]BASE'!DT30=0,"",'[1]BASE'!DT30)</f>
      </c>
      <c r="O30" s="901">
        <f>IF('[1]BASE'!DU30=0,"",'[1]BASE'!DU30)</f>
      </c>
      <c r="P30" s="901">
        <f>IF('[1]BASE'!DV30=0,"",'[1]BASE'!DV30)</f>
      </c>
      <c r="Q30" s="901">
        <f>IF('[1]BASE'!DW30=0,"",'[1]BASE'!DW30)</f>
      </c>
      <c r="R30" s="899">
        <f>IF('[1]BASE'!DX30=0,"",'[1]BASE'!DX30)</f>
      </c>
      <c r="S30" s="899">
        <f>IF('[1]BASE'!DY30=0,"",'[1]BASE'!DY30)</f>
      </c>
      <c r="T30" s="900"/>
      <c r="U30" s="896"/>
    </row>
    <row r="31" spans="2:21" s="890" customFormat="1" ht="19.5" customHeight="1">
      <c r="B31" s="891"/>
      <c r="C31" s="903">
        <f>IF('[1]BASE'!C31=0,"",'[1]BASE'!C31)</f>
        <v>15</v>
      </c>
      <c r="D31" s="903" t="str">
        <f>IF('[1]BASE'!D31=0,"",'[1]BASE'!D31)</f>
        <v>CHOCON - C.H. CHOCON 1</v>
      </c>
      <c r="E31" s="903">
        <f>IF('[1]BASE'!E31=0,"",'[1]BASE'!E31)</f>
        <v>500</v>
      </c>
      <c r="F31" s="903">
        <f>IF('[1]BASE'!F31=0,"",'[1]BASE'!F31)</f>
        <v>3</v>
      </c>
      <c r="G31" s="904" t="str">
        <f>IF('[1]BASE'!G31=0,"",'[1]BASE'!G31)</f>
        <v>C</v>
      </c>
      <c r="H31" s="903">
        <f>IF('[1]BASE'!DN31=0,"",'[1]BASE'!DN31)</f>
      </c>
      <c r="I31" s="903">
        <f>IF('[1]BASE'!DO31=0,"",'[1]BASE'!DO31)</f>
      </c>
      <c r="J31" s="903">
        <f>IF('[1]BASE'!DP31=0,"",'[1]BASE'!DP31)</f>
      </c>
      <c r="K31" s="903">
        <f>IF('[1]BASE'!DQ31=0,"",'[1]BASE'!DQ31)</f>
      </c>
      <c r="L31" s="903">
        <f>IF('[1]BASE'!DR31=0,"",'[1]BASE'!DR31)</f>
      </c>
      <c r="M31" s="903">
        <f>IF('[1]BASE'!DS31=0,"",'[1]BASE'!DS31)</f>
      </c>
      <c r="N31" s="903">
        <f>IF('[1]BASE'!DT31=0,"",'[1]BASE'!DT31)</f>
      </c>
      <c r="O31" s="903">
        <f>IF('[1]BASE'!DU31=0,"",'[1]BASE'!DU31)</f>
      </c>
      <c r="P31" s="903">
        <f>IF('[1]BASE'!DV31=0,"",'[1]BASE'!DV31)</f>
      </c>
      <c r="Q31" s="903">
        <f>IF('[1]BASE'!DW31=0,"",'[1]BASE'!DW31)</f>
      </c>
      <c r="R31" s="899">
        <f>IF('[1]BASE'!DX31=0,"",'[1]BASE'!DX31)</f>
      </c>
      <c r="S31" s="899">
        <f>IF('[1]BASE'!DY31=0,"",'[1]BASE'!DY31)</f>
      </c>
      <c r="T31" s="900"/>
      <c r="U31" s="896"/>
    </row>
    <row r="32" spans="2:21" s="890" customFormat="1" ht="19.5" customHeight="1">
      <c r="B32" s="891"/>
      <c r="C32" s="901">
        <f>IF('[1]BASE'!C32=0,"",'[1]BASE'!C32)</f>
        <v>16</v>
      </c>
      <c r="D32" s="901" t="str">
        <f>IF('[1]BASE'!D32=0,"",'[1]BASE'!D32)</f>
        <v>CHOCON - C.H. CHOCON 2</v>
      </c>
      <c r="E32" s="901">
        <f>IF('[1]BASE'!E32=0,"",'[1]BASE'!E32)</f>
        <v>500</v>
      </c>
      <c r="F32" s="901">
        <f>IF('[1]BASE'!F32=0,"",'[1]BASE'!F32)</f>
        <v>3</v>
      </c>
      <c r="G32" s="902" t="str">
        <f>IF('[1]BASE'!G32=0,"",'[1]BASE'!G32)</f>
        <v>C</v>
      </c>
      <c r="H32" s="901">
        <f>IF('[1]BASE'!DN32=0,"",'[1]BASE'!DN32)</f>
      </c>
      <c r="I32" s="901">
        <f>IF('[1]BASE'!DO32=0,"",'[1]BASE'!DO32)</f>
      </c>
      <c r="J32" s="901">
        <f>IF('[1]BASE'!DP32=0,"",'[1]BASE'!DP32)</f>
      </c>
      <c r="K32" s="901">
        <f>IF('[1]BASE'!DQ32=0,"",'[1]BASE'!DQ32)</f>
      </c>
      <c r="L32" s="901">
        <f>IF('[1]BASE'!DR32=0,"",'[1]BASE'!DR32)</f>
      </c>
      <c r="M32" s="901">
        <f>IF('[1]BASE'!DS32=0,"",'[1]BASE'!DS32)</f>
        <v>1</v>
      </c>
      <c r="N32" s="901">
        <f>IF('[1]BASE'!DT32=0,"",'[1]BASE'!DT32)</f>
      </c>
      <c r="O32" s="901">
        <f>IF('[1]BASE'!DU32=0,"",'[1]BASE'!DU32)</f>
      </c>
      <c r="P32" s="901">
        <f>IF('[1]BASE'!DV32=0,"",'[1]BASE'!DV32)</f>
      </c>
      <c r="Q32" s="901">
        <f>IF('[1]BASE'!DW32=0,"",'[1]BASE'!DW32)</f>
      </c>
      <c r="R32" s="899">
        <f>IF('[1]BASE'!DX32=0,"",'[1]BASE'!DX32)</f>
      </c>
      <c r="S32" s="899">
        <f>IF('[1]BASE'!DY32=0,"",'[1]BASE'!DY32)</f>
      </c>
      <c r="T32" s="900"/>
      <c r="U32" s="896"/>
    </row>
    <row r="33" spans="2:21" s="890" customFormat="1" ht="19.5" customHeight="1">
      <c r="B33" s="891"/>
      <c r="C33" s="903">
        <f>IF('[1]BASE'!C33=0,"",'[1]BASE'!C33)</f>
        <v>17</v>
      </c>
      <c r="D33" s="903" t="str">
        <f>IF('[1]BASE'!D33=0,"",'[1]BASE'!D33)</f>
        <v>CHOCON - C.H. CHOCON 3</v>
      </c>
      <c r="E33" s="903">
        <f>IF('[1]BASE'!E33=0,"",'[1]BASE'!E33)</f>
        <v>500</v>
      </c>
      <c r="F33" s="903">
        <f>IF('[1]BASE'!F33=0,"",'[1]BASE'!F33)</f>
        <v>3</v>
      </c>
      <c r="G33" s="904" t="str">
        <f>IF('[1]BASE'!G33=0,"",'[1]BASE'!G33)</f>
        <v>C</v>
      </c>
      <c r="H33" s="903">
        <f>IF('[1]BASE'!DN33=0,"",'[1]BASE'!DN33)</f>
      </c>
      <c r="I33" s="903">
        <f>IF('[1]BASE'!DO33=0,"",'[1]BASE'!DO33)</f>
      </c>
      <c r="J33" s="903">
        <f>IF('[1]BASE'!DP33=0,"",'[1]BASE'!DP33)</f>
      </c>
      <c r="K33" s="903">
        <f>IF('[1]BASE'!DQ33=0,"",'[1]BASE'!DQ33)</f>
      </c>
      <c r="L33" s="903">
        <f>IF('[1]BASE'!DR33=0,"",'[1]BASE'!DR33)</f>
      </c>
      <c r="M33" s="903">
        <f>IF('[1]BASE'!DS33=0,"",'[1]BASE'!DS33)</f>
      </c>
      <c r="N33" s="903">
        <f>IF('[1]BASE'!DT33=0,"",'[1]BASE'!DT33)</f>
      </c>
      <c r="O33" s="903">
        <f>IF('[1]BASE'!DU33=0,"",'[1]BASE'!DU33)</f>
      </c>
      <c r="P33" s="903">
        <f>IF('[1]BASE'!DV33=0,"",'[1]BASE'!DV33)</f>
      </c>
      <c r="Q33" s="903">
        <f>IF('[1]BASE'!DW33=0,"",'[1]BASE'!DW33)</f>
      </c>
      <c r="R33" s="899">
        <f>IF('[1]BASE'!DX33=0,"",'[1]BASE'!DX33)</f>
      </c>
      <c r="S33" s="899">
        <f>IF('[1]BASE'!DY33=0,"",'[1]BASE'!DY33)</f>
      </c>
      <c r="T33" s="900"/>
      <c r="U33" s="896"/>
    </row>
    <row r="34" spans="2:21" s="890" customFormat="1" ht="19.5" customHeight="1">
      <c r="B34" s="891"/>
      <c r="C34" s="901">
        <f>IF('[1]BASE'!C34=0,"",'[1]BASE'!C34)</f>
        <v>18</v>
      </c>
      <c r="D34" s="901" t="str">
        <f>IF('[1]BASE'!D34=0,"",'[1]BASE'!D34)</f>
        <v>CHOCON - PUELCHES 1</v>
      </c>
      <c r="E34" s="901">
        <f>IF('[1]BASE'!E34=0,"",'[1]BASE'!E34)</f>
        <v>500</v>
      </c>
      <c r="F34" s="901">
        <f>IF('[1]BASE'!F34=0,"",'[1]BASE'!F34)</f>
        <v>304</v>
      </c>
      <c r="G34" s="902" t="str">
        <f>IF('[1]BASE'!G34=0,"",'[1]BASE'!G34)</f>
        <v>A</v>
      </c>
      <c r="H34" s="901">
        <f>IF('[1]BASE'!DN34=0,"",'[1]BASE'!DN34)</f>
      </c>
      <c r="I34" s="901">
        <f>IF('[1]BASE'!DO34=0,"",'[1]BASE'!DO34)</f>
      </c>
      <c r="J34" s="901">
        <f>IF('[1]BASE'!DP34=0,"",'[1]BASE'!DP34)</f>
      </c>
      <c r="K34" s="901">
        <f>IF('[1]BASE'!DQ34=0,"",'[1]BASE'!DQ34)</f>
      </c>
      <c r="L34" s="901">
        <f>IF('[1]BASE'!DR34=0,"",'[1]BASE'!DR34)</f>
      </c>
      <c r="M34" s="901">
        <f>IF('[1]BASE'!DS34=0,"",'[1]BASE'!DS34)</f>
        <v>1</v>
      </c>
      <c r="N34" s="901">
        <f>IF('[1]BASE'!DT34=0,"",'[1]BASE'!DT34)</f>
      </c>
      <c r="O34" s="901">
        <f>IF('[1]BASE'!DU34=0,"",'[1]BASE'!DU34)</f>
      </c>
      <c r="P34" s="901">
        <f>IF('[1]BASE'!DV34=0,"",'[1]BASE'!DV34)</f>
      </c>
      <c r="Q34" s="901">
        <f>IF('[1]BASE'!DW34=0,"",'[1]BASE'!DW34)</f>
      </c>
      <c r="R34" s="899">
        <f>IF('[1]BASE'!DX34=0,"",'[1]BASE'!DX34)</f>
      </c>
      <c r="S34" s="899">
        <f>IF('[1]BASE'!DY34=0,"",'[1]BASE'!DY34)</f>
      </c>
      <c r="T34" s="900"/>
      <c r="U34" s="896"/>
    </row>
    <row r="35" spans="2:21" s="890" customFormat="1" ht="19.5" customHeight="1">
      <c r="B35" s="891"/>
      <c r="C35" s="903">
        <f>IF('[1]BASE'!C35=0,"",'[1]BASE'!C35)</f>
        <v>19</v>
      </c>
      <c r="D35" s="903" t="str">
        <f>IF('[1]BASE'!D35=0,"",'[1]BASE'!D35)</f>
        <v>CHOCON - PUELCHES 2</v>
      </c>
      <c r="E35" s="903">
        <f>IF('[1]BASE'!E35=0,"",'[1]BASE'!E35)</f>
        <v>500</v>
      </c>
      <c r="F35" s="903">
        <f>IF('[1]BASE'!F35=0,"",'[1]BASE'!F35)</f>
        <v>304</v>
      </c>
      <c r="G35" s="904" t="str">
        <f>IF('[1]BASE'!G35=0,"",'[1]BASE'!G35)</f>
        <v>A</v>
      </c>
      <c r="H35" s="903">
        <f>IF('[1]BASE'!DN35=0,"",'[1]BASE'!DN35)</f>
      </c>
      <c r="I35" s="903">
        <f>IF('[1]BASE'!DO35=0,"",'[1]BASE'!DO35)</f>
      </c>
      <c r="J35" s="903">
        <f>IF('[1]BASE'!DP35=0,"",'[1]BASE'!DP35)</f>
      </c>
      <c r="K35" s="903">
        <f>IF('[1]BASE'!DQ35=0,"",'[1]BASE'!DQ35)</f>
      </c>
      <c r="L35" s="903">
        <f>IF('[1]BASE'!DR35=0,"",'[1]BASE'!DR35)</f>
      </c>
      <c r="M35" s="903">
        <f>IF('[1]BASE'!DS35=0,"",'[1]BASE'!DS35)</f>
      </c>
      <c r="N35" s="903">
        <f>IF('[1]BASE'!DT35=0,"",'[1]BASE'!DT35)</f>
      </c>
      <c r="O35" s="903">
        <f>IF('[1]BASE'!DU35=0,"",'[1]BASE'!DU35)</f>
      </c>
      <c r="P35" s="903">
        <f>IF('[1]BASE'!DV35=0,"",'[1]BASE'!DV35)</f>
        <v>1</v>
      </c>
      <c r="Q35" s="903">
        <f>IF('[1]BASE'!DW35=0,"",'[1]BASE'!DW35)</f>
      </c>
      <c r="R35" s="899">
        <f>IF('[1]BASE'!DX35=0,"",'[1]BASE'!DX35)</f>
      </c>
      <c r="S35" s="899">
        <f>IF('[1]BASE'!DY35=0,"",'[1]BASE'!DY35)</f>
      </c>
      <c r="T35" s="900"/>
      <c r="U35" s="896"/>
    </row>
    <row r="36" spans="2:21" s="890" customFormat="1" ht="19.5" customHeight="1">
      <c r="B36" s="891"/>
      <c r="C36" s="901">
        <f>IF('[1]BASE'!C36=0,"",'[1]BASE'!C36)</f>
        <v>20</v>
      </c>
      <c r="D36" s="901" t="str">
        <f>IF('[1]BASE'!D36=0,"",'[1]BASE'!D36)</f>
        <v>E.T.P.del AGUILA - CENTRAL P.del A. 1</v>
      </c>
      <c r="E36" s="901">
        <f>IF('[1]BASE'!E36=0,"",'[1]BASE'!E36)</f>
        <v>500</v>
      </c>
      <c r="F36" s="901">
        <f>IF('[1]BASE'!F36=0,"",'[1]BASE'!F36)</f>
        <v>5.6</v>
      </c>
      <c r="G36" s="902" t="str">
        <f>IF('[1]BASE'!G36=0,"",'[1]BASE'!G36)</f>
        <v>C</v>
      </c>
      <c r="H36" s="901">
        <f>IF('[1]BASE'!DN36=0,"",'[1]BASE'!DN36)</f>
      </c>
      <c r="I36" s="901">
        <f>IF('[1]BASE'!DO36=0,"",'[1]BASE'!DO36)</f>
      </c>
      <c r="J36" s="901">
        <f>IF('[1]BASE'!DP36=0,"",'[1]BASE'!DP36)</f>
      </c>
      <c r="K36" s="901">
        <f>IF('[1]BASE'!DQ36=0,"",'[1]BASE'!DQ36)</f>
        <v>1</v>
      </c>
      <c r="L36" s="901">
        <f>IF('[1]BASE'!DR36=0,"",'[1]BASE'!DR36)</f>
      </c>
      <c r="M36" s="901">
        <f>IF('[1]BASE'!DS36=0,"",'[1]BASE'!DS36)</f>
      </c>
      <c r="N36" s="901">
        <f>IF('[1]BASE'!DT36=0,"",'[1]BASE'!DT36)</f>
      </c>
      <c r="O36" s="901">
        <f>IF('[1]BASE'!DU36=0,"",'[1]BASE'!DU36)</f>
      </c>
      <c r="P36" s="901">
        <f>IF('[1]BASE'!DV36=0,"",'[1]BASE'!DV36)</f>
      </c>
      <c r="Q36" s="901">
        <f>IF('[1]BASE'!DW36=0,"",'[1]BASE'!DW36)</f>
      </c>
      <c r="R36" s="899">
        <f>IF('[1]BASE'!DX36=0,"",'[1]BASE'!DX36)</f>
      </c>
      <c r="S36" s="899">
        <f>IF('[1]BASE'!DY36=0,"",'[1]BASE'!DY36)</f>
      </c>
      <c r="T36" s="900"/>
      <c r="U36" s="896"/>
    </row>
    <row r="37" spans="2:21" s="890" customFormat="1" ht="19.5" customHeight="1">
      <c r="B37" s="891"/>
      <c r="C37" s="903">
        <f>IF('[1]BASE'!C37=0,"",'[1]BASE'!C37)</f>
        <v>21</v>
      </c>
      <c r="D37" s="903" t="str">
        <f>IF('[1]BASE'!D37=0,"",'[1]BASE'!D37)</f>
        <v>E.T.P.del AGUILA - CENTRAL P.del A. 2</v>
      </c>
      <c r="E37" s="903">
        <f>IF('[1]BASE'!E37=0,"",'[1]BASE'!E37)</f>
        <v>500</v>
      </c>
      <c r="F37" s="903">
        <f>IF('[1]BASE'!F37=0,"",'[1]BASE'!F37)</f>
        <v>5.6</v>
      </c>
      <c r="G37" s="904" t="str">
        <f>IF('[1]BASE'!G37=0,"",'[1]BASE'!G37)</f>
        <v>C</v>
      </c>
      <c r="H37" s="903">
        <f>IF('[1]BASE'!DN37=0,"",'[1]BASE'!DN37)</f>
      </c>
      <c r="I37" s="903">
        <f>IF('[1]BASE'!DO37=0,"",'[1]BASE'!DO37)</f>
      </c>
      <c r="J37" s="903">
        <f>IF('[1]BASE'!DP37=0,"",'[1]BASE'!DP37)</f>
      </c>
      <c r="K37" s="903">
        <f>IF('[1]BASE'!DQ37=0,"",'[1]BASE'!DQ37)</f>
      </c>
      <c r="L37" s="903">
        <f>IF('[1]BASE'!DR37=0,"",'[1]BASE'!DR37)</f>
      </c>
      <c r="M37" s="903">
        <f>IF('[1]BASE'!DS37=0,"",'[1]BASE'!DS37)</f>
      </c>
      <c r="N37" s="903">
        <f>IF('[1]BASE'!DT37=0,"",'[1]BASE'!DT37)</f>
      </c>
      <c r="O37" s="903">
        <f>IF('[1]BASE'!DU37=0,"",'[1]BASE'!DU37)</f>
      </c>
      <c r="P37" s="903">
        <f>IF('[1]BASE'!DV37=0,"",'[1]BASE'!DV37)</f>
      </c>
      <c r="Q37" s="903">
        <f>IF('[1]BASE'!DW37=0,"",'[1]BASE'!DW37)</f>
      </c>
      <c r="R37" s="899">
        <f>IF('[1]BASE'!DX37=0,"",'[1]BASE'!DX37)</f>
      </c>
      <c r="S37" s="899">
        <f>IF('[1]BASE'!DY37=0,"",'[1]BASE'!DY37)</f>
      </c>
      <c r="T37" s="900"/>
      <c r="U37" s="896"/>
    </row>
    <row r="38" spans="2:21" s="890" customFormat="1" ht="19.5" customHeight="1">
      <c r="B38" s="891"/>
      <c r="C38" s="901">
        <f>IF('[1]BASE'!C38=0,"",'[1]BASE'!C38)</f>
        <v>22</v>
      </c>
      <c r="D38" s="901" t="str">
        <f>IF('[1]BASE'!D38=0,"",'[1]BASE'!D38)</f>
        <v>EL BRACHO - RECREO(5)</v>
      </c>
      <c r="E38" s="901">
        <f>IF('[1]BASE'!E38=0,"",'[1]BASE'!E38)</f>
        <v>500</v>
      </c>
      <c r="F38" s="901">
        <f>IF('[1]BASE'!F38=0,"",'[1]BASE'!F38)</f>
        <v>255</v>
      </c>
      <c r="G38" s="902" t="str">
        <f>IF('[1]BASE'!G38=0,"",'[1]BASE'!G38)</f>
        <v>C</v>
      </c>
      <c r="H38" s="901">
        <f>IF('[1]BASE'!DN38=0,"",'[1]BASE'!DN38)</f>
      </c>
      <c r="I38" s="901">
        <f>IF('[1]BASE'!DO38=0,"",'[1]BASE'!DO38)</f>
      </c>
      <c r="J38" s="901">
        <f>IF('[1]BASE'!DP38=0,"",'[1]BASE'!DP38)</f>
      </c>
      <c r="K38" s="901">
        <f>IF('[1]BASE'!DQ38=0,"",'[1]BASE'!DQ38)</f>
      </c>
      <c r="L38" s="901">
        <f>IF('[1]BASE'!DR38=0,"",'[1]BASE'!DR38)</f>
      </c>
      <c r="M38" s="901">
        <f>IF('[1]BASE'!DS38=0,"",'[1]BASE'!DS38)</f>
      </c>
      <c r="N38" s="901">
        <f>IF('[1]BASE'!DT38=0,"",'[1]BASE'!DT38)</f>
      </c>
      <c r="O38" s="901">
        <f>IF('[1]BASE'!DU38=0,"",'[1]BASE'!DU38)</f>
      </c>
      <c r="P38" s="901">
        <f>IF('[1]BASE'!DV38=0,"",'[1]BASE'!DV38)</f>
      </c>
      <c r="Q38" s="901">
        <f>IF('[1]BASE'!DW38=0,"",'[1]BASE'!DW38)</f>
      </c>
      <c r="R38" s="899">
        <f>IF('[1]BASE'!DX38=0,"",'[1]BASE'!DX38)</f>
      </c>
      <c r="S38" s="899">
        <f>IF('[1]BASE'!DY38=0,"",'[1]BASE'!DY38)</f>
      </c>
      <c r="T38" s="900"/>
      <c r="U38" s="896"/>
    </row>
    <row r="39" spans="2:21" s="890" customFormat="1" ht="19.5" customHeight="1">
      <c r="B39" s="891"/>
      <c r="C39" s="903">
        <f>IF('[1]BASE'!C39=0,"",'[1]BASE'!C39)</f>
        <v>23</v>
      </c>
      <c r="D39" s="903" t="str">
        <f>IF('[1]BASE'!D39=0,"",'[1]BASE'!D39)</f>
        <v>EZEIZA - ABASTO 1</v>
      </c>
      <c r="E39" s="903">
        <f>IF('[1]BASE'!E39=0,"",'[1]BASE'!E39)</f>
        <v>500</v>
      </c>
      <c r="F39" s="903">
        <f>IF('[1]BASE'!F39=0,"",'[1]BASE'!F39)</f>
        <v>58</v>
      </c>
      <c r="G39" s="904" t="str">
        <f>IF('[1]BASE'!G39=0,"",'[1]BASE'!G39)</f>
        <v>C</v>
      </c>
      <c r="H39" s="903">
        <f>IF('[1]BASE'!DN39=0,"",'[1]BASE'!DN39)</f>
      </c>
      <c r="I39" s="903">
        <f>IF('[1]BASE'!DO39=0,"",'[1]BASE'!DO39)</f>
      </c>
      <c r="J39" s="903">
        <f>IF('[1]BASE'!DP39=0,"",'[1]BASE'!DP39)</f>
      </c>
      <c r="K39" s="903">
        <f>IF('[1]BASE'!DQ39=0,"",'[1]BASE'!DQ39)</f>
      </c>
      <c r="L39" s="903">
        <f>IF('[1]BASE'!DR39=0,"",'[1]BASE'!DR39)</f>
      </c>
      <c r="M39" s="903">
        <f>IF('[1]BASE'!DS39=0,"",'[1]BASE'!DS39)</f>
      </c>
      <c r="N39" s="903">
        <f>IF('[1]BASE'!DT39=0,"",'[1]BASE'!DT39)</f>
      </c>
      <c r="O39" s="903">
        <f>IF('[1]BASE'!DU39=0,"",'[1]BASE'!DU39)</f>
      </c>
      <c r="P39" s="903">
        <f>IF('[1]BASE'!DV39=0,"",'[1]BASE'!DV39)</f>
      </c>
      <c r="Q39" s="903">
        <f>IF('[1]BASE'!DW39=0,"",'[1]BASE'!DW39)</f>
      </c>
      <c r="R39" s="899">
        <f>IF('[1]BASE'!DX39=0,"",'[1]BASE'!DX39)</f>
      </c>
      <c r="S39" s="899">
        <f>IF('[1]BASE'!DY39=0,"",'[1]BASE'!DY39)</f>
      </c>
      <c r="T39" s="900"/>
      <c r="U39" s="896"/>
    </row>
    <row r="40" spans="2:21" s="890" customFormat="1" ht="19.5" customHeight="1">
      <c r="B40" s="891"/>
      <c r="C40" s="901">
        <f>IF('[1]BASE'!C40=0,"",'[1]BASE'!C40)</f>
        <v>24</v>
      </c>
      <c r="D40" s="901" t="str">
        <f>IF('[1]BASE'!D40=0,"",'[1]BASE'!D40)</f>
        <v>EZEIZA - ABASTO 2</v>
      </c>
      <c r="E40" s="901">
        <f>IF('[1]BASE'!E40=0,"",'[1]BASE'!E40)</f>
        <v>500</v>
      </c>
      <c r="F40" s="901">
        <f>IF('[1]BASE'!F40=0,"",'[1]BASE'!F40)</f>
        <v>58</v>
      </c>
      <c r="G40" s="902" t="str">
        <f>IF('[1]BASE'!G40=0,"",'[1]BASE'!G40)</f>
        <v>C</v>
      </c>
      <c r="H40" s="901">
        <f>IF('[1]BASE'!DN40=0,"",'[1]BASE'!DN40)</f>
      </c>
      <c r="I40" s="901">
        <f>IF('[1]BASE'!DO40=0,"",'[1]BASE'!DO40)</f>
      </c>
      <c r="J40" s="901">
        <f>IF('[1]BASE'!DP40=0,"",'[1]BASE'!DP40)</f>
      </c>
      <c r="K40" s="901">
        <f>IF('[1]BASE'!DQ40=0,"",'[1]BASE'!DQ40)</f>
      </c>
      <c r="L40" s="901">
        <f>IF('[1]BASE'!DR40=0,"",'[1]BASE'!DR40)</f>
      </c>
      <c r="M40" s="901">
        <f>IF('[1]BASE'!DS40=0,"",'[1]BASE'!DS40)</f>
      </c>
      <c r="N40" s="901">
        <f>IF('[1]BASE'!DT40=0,"",'[1]BASE'!DT40)</f>
      </c>
      <c r="O40" s="901">
        <f>IF('[1]BASE'!DU40=0,"",'[1]BASE'!DU40)</f>
      </c>
      <c r="P40" s="901">
        <f>IF('[1]BASE'!DV40=0,"",'[1]BASE'!DV40)</f>
      </c>
      <c r="Q40" s="901">
        <f>IF('[1]BASE'!DW40=0,"",'[1]BASE'!DW40)</f>
      </c>
      <c r="R40" s="899">
        <f>IF('[1]BASE'!DX40=0,"",'[1]BASE'!DX40)</f>
      </c>
      <c r="S40" s="899">
        <f>IF('[1]BASE'!DY40=0,"",'[1]BASE'!DY40)</f>
      </c>
      <c r="T40" s="900"/>
      <c r="U40" s="896"/>
    </row>
    <row r="41" spans="2:21" s="890" customFormat="1" ht="19.5" customHeight="1">
      <c r="B41" s="891"/>
      <c r="C41" s="903">
        <f>IF('[1]BASE'!C41=0,"",'[1]BASE'!C41)</f>
        <v>25</v>
      </c>
      <c r="D41" s="903" t="str">
        <f>IF('[1]BASE'!D41=0,"",'[1]BASE'!D41)</f>
        <v>EZEIZA - RODRIGUEZ 1</v>
      </c>
      <c r="E41" s="903">
        <f>IF('[1]BASE'!E41=0,"",'[1]BASE'!E41)</f>
        <v>500</v>
      </c>
      <c r="F41" s="903">
        <f>IF('[1]BASE'!F41=0,"",'[1]BASE'!F41)</f>
        <v>53</v>
      </c>
      <c r="G41" s="904" t="str">
        <f>IF('[1]BASE'!G41=0,"",'[1]BASE'!G41)</f>
        <v>C</v>
      </c>
      <c r="H41" s="903">
        <f>IF('[1]BASE'!DN41=0,"",'[1]BASE'!DN41)</f>
      </c>
      <c r="I41" s="903">
        <f>IF('[1]BASE'!DO41=0,"",'[1]BASE'!DO41)</f>
      </c>
      <c r="J41" s="903">
        <f>IF('[1]BASE'!DP41=0,"",'[1]BASE'!DP41)</f>
      </c>
      <c r="K41" s="903">
        <f>IF('[1]BASE'!DQ41=0,"",'[1]BASE'!DQ41)</f>
      </c>
      <c r="L41" s="903">
        <f>IF('[1]BASE'!DR41=0,"",'[1]BASE'!DR41)</f>
      </c>
      <c r="M41" s="903">
        <f>IF('[1]BASE'!DS41=0,"",'[1]BASE'!DS41)</f>
      </c>
      <c r="N41" s="903">
        <f>IF('[1]BASE'!DT41=0,"",'[1]BASE'!DT41)</f>
      </c>
      <c r="O41" s="903">
        <f>IF('[1]BASE'!DU41=0,"",'[1]BASE'!DU41)</f>
      </c>
      <c r="P41" s="903">
        <f>IF('[1]BASE'!DV41=0,"",'[1]BASE'!DV41)</f>
        <v>1</v>
      </c>
      <c r="Q41" s="903">
        <f>IF('[1]BASE'!DW41=0,"",'[1]BASE'!DW41)</f>
      </c>
      <c r="R41" s="899">
        <f>IF('[1]BASE'!DX41=0,"",'[1]BASE'!DX41)</f>
      </c>
      <c r="S41" s="899">
        <f>IF('[1]BASE'!DY41=0,"",'[1]BASE'!DY41)</f>
      </c>
      <c r="T41" s="900"/>
      <c r="U41" s="896"/>
    </row>
    <row r="42" spans="2:21" s="890" customFormat="1" ht="19.5" customHeight="1">
      <c r="B42" s="891"/>
      <c r="C42" s="901">
        <f>IF('[1]BASE'!C42=0,"",'[1]BASE'!C42)</f>
        <v>26</v>
      </c>
      <c r="D42" s="901" t="str">
        <f>IF('[1]BASE'!D42=0,"",'[1]BASE'!D42)</f>
        <v>EZEIZA - RODRIGUEZ 2</v>
      </c>
      <c r="E42" s="901">
        <f>IF('[1]BASE'!E42=0,"",'[1]BASE'!E42)</f>
        <v>500</v>
      </c>
      <c r="F42" s="901">
        <f>IF('[1]BASE'!F42=0,"",'[1]BASE'!F42)</f>
        <v>53</v>
      </c>
      <c r="G42" s="902" t="str">
        <f>IF('[1]BASE'!G42=0,"",'[1]BASE'!G42)</f>
        <v>C</v>
      </c>
      <c r="H42" s="901">
        <f>IF('[1]BASE'!DN42=0,"",'[1]BASE'!DN42)</f>
      </c>
      <c r="I42" s="901">
        <f>IF('[1]BASE'!DO42=0,"",'[1]BASE'!DO42)</f>
      </c>
      <c r="J42" s="901">
        <f>IF('[1]BASE'!DP42=0,"",'[1]BASE'!DP42)</f>
      </c>
      <c r="K42" s="901">
        <f>IF('[1]BASE'!DQ42=0,"",'[1]BASE'!DQ42)</f>
      </c>
      <c r="L42" s="901">
        <f>IF('[1]BASE'!DR42=0,"",'[1]BASE'!DR42)</f>
      </c>
      <c r="M42" s="901">
        <f>IF('[1]BASE'!DS42=0,"",'[1]BASE'!DS42)</f>
      </c>
      <c r="N42" s="901">
        <f>IF('[1]BASE'!DT42=0,"",'[1]BASE'!DT42)</f>
      </c>
      <c r="O42" s="901">
        <f>IF('[1]BASE'!DU42=0,"",'[1]BASE'!DU42)</f>
      </c>
      <c r="P42" s="901">
        <f>IF('[1]BASE'!DV42=0,"",'[1]BASE'!DV42)</f>
      </c>
      <c r="Q42" s="901">
        <f>IF('[1]BASE'!DW42=0,"",'[1]BASE'!DW42)</f>
      </c>
      <c r="R42" s="899">
        <f>IF('[1]BASE'!DX42=0,"",'[1]BASE'!DX42)</f>
      </c>
      <c r="S42" s="899">
        <f>IF('[1]BASE'!DY42=0,"",'[1]BASE'!DY42)</f>
      </c>
      <c r="T42" s="900"/>
      <c r="U42" s="896"/>
    </row>
    <row r="43" spans="2:21" s="890" customFormat="1" ht="19.5" customHeight="1">
      <c r="B43" s="891"/>
      <c r="C43" s="903">
        <f>IF('[1]BASE'!C43=0,"",'[1]BASE'!C43)</f>
        <v>27</v>
      </c>
      <c r="D43" s="903" t="str">
        <f>IF('[1]BASE'!D43=0,"",'[1]BASE'!D43)</f>
        <v>EZEIZA- HENDERSON 1</v>
      </c>
      <c r="E43" s="903">
        <f>IF('[1]BASE'!E43=0,"",'[1]BASE'!E43)</f>
        <v>500</v>
      </c>
      <c r="F43" s="903">
        <f>IF('[1]BASE'!F43=0,"",'[1]BASE'!F43)</f>
        <v>313</v>
      </c>
      <c r="G43" s="904" t="str">
        <f>IF('[1]BASE'!G43=0,"",'[1]BASE'!G43)</f>
        <v>A</v>
      </c>
      <c r="H43" s="903">
        <f>IF('[1]BASE'!DN43=0,"",'[1]BASE'!DN43)</f>
      </c>
      <c r="I43" s="903">
        <f>IF('[1]BASE'!DO43=0,"",'[1]BASE'!DO43)</f>
      </c>
      <c r="J43" s="903">
        <f>IF('[1]BASE'!DP43=0,"",'[1]BASE'!DP43)</f>
      </c>
      <c r="K43" s="903">
        <f>IF('[1]BASE'!DQ43=0,"",'[1]BASE'!DQ43)</f>
      </c>
      <c r="L43" s="903">
        <f>IF('[1]BASE'!DR43=0,"",'[1]BASE'!DR43)</f>
      </c>
      <c r="M43" s="903">
        <f>IF('[1]BASE'!DS43=0,"",'[1]BASE'!DS43)</f>
      </c>
      <c r="N43" s="903">
        <f>IF('[1]BASE'!DT43=0,"",'[1]BASE'!DT43)</f>
      </c>
      <c r="O43" s="903">
        <f>IF('[1]BASE'!DU43=0,"",'[1]BASE'!DU43)</f>
      </c>
      <c r="P43" s="903">
        <f>IF('[1]BASE'!DV43=0,"",'[1]BASE'!DV43)</f>
      </c>
      <c r="Q43" s="903">
        <f>IF('[1]BASE'!DW43=0,"",'[1]BASE'!DW43)</f>
      </c>
      <c r="R43" s="899">
        <f>IF('[1]BASE'!DX43=0,"",'[1]BASE'!DX43)</f>
      </c>
      <c r="S43" s="899">
        <f>IF('[1]BASE'!DY43=0,"",'[1]BASE'!DY43)</f>
      </c>
      <c r="T43" s="900"/>
      <c r="U43" s="896"/>
    </row>
    <row r="44" spans="2:21" s="890" customFormat="1" ht="19.5" customHeight="1">
      <c r="B44" s="891"/>
      <c r="C44" s="901">
        <f>IF('[1]BASE'!C44=0,"",'[1]BASE'!C44)</f>
        <v>28</v>
      </c>
      <c r="D44" s="901" t="str">
        <f>IF('[1]BASE'!D44=0,"",'[1]BASE'!D44)</f>
        <v>EZEIZA - HENDERSON 2</v>
      </c>
      <c r="E44" s="901">
        <f>IF('[1]BASE'!E44=0,"",'[1]BASE'!E44)</f>
        <v>500</v>
      </c>
      <c r="F44" s="901">
        <f>IF('[1]BASE'!F44=0,"",'[1]BASE'!F44)</f>
        <v>313</v>
      </c>
      <c r="G44" s="902" t="str">
        <f>IF('[1]BASE'!G44=0,"",'[1]BASE'!G44)</f>
        <v>A</v>
      </c>
      <c r="H44" s="901">
        <f>IF('[1]BASE'!DN44=0,"",'[1]BASE'!DN44)</f>
      </c>
      <c r="I44" s="901">
        <f>IF('[1]BASE'!DO44=0,"",'[1]BASE'!DO44)</f>
      </c>
      <c r="J44" s="901">
        <f>IF('[1]BASE'!DP44=0,"",'[1]BASE'!DP44)</f>
      </c>
      <c r="K44" s="901">
        <f>IF('[1]BASE'!DQ44=0,"",'[1]BASE'!DQ44)</f>
      </c>
      <c r="L44" s="901">
        <f>IF('[1]BASE'!DR44=0,"",'[1]BASE'!DR44)</f>
      </c>
      <c r="M44" s="901">
        <f>IF('[1]BASE'!DS44=0,"",'[1]BASE'!DS44)</f>
      </c>
      <c r="N44" s="901">
        <f>IF('[1]BASE'!DT44=0,"",'[1]BASE'!DT44)</f>
      </c>
      <c r="O44" s="901">
        <f>IF('[1]BASE'!DU44=0,"",'[1]BASE'!DU44)</f>
      </c>
      <c r="P44" s="901">
        <f>IF('[1]BASE'!DV44=0,"",'[1]BASE'!DV44)</f>
      </c>
      <c r="Q44" s="901">
        <f>IF('[1]BASE'!DW44=0,"",'[1]BASE'!DW44)</f>
      </c>
      <c r="R44" s="899">
        <f>IF('[1]BASE'!DX44=0,"",'[1]BASE'!DX44)</f>
      </c>
      <c r="S44" s="899">
        <f>IF('[1]BASE'!DY44=0,"",'[1]BASE'!DY44)</f>
      </c>
      <c r="T44" s="900"/>
      <c r="U44" s="896"/>
    </row>
    <row r="45" spans="2:21" s="890" customFormat="1" ht="19.5" customHeight="1">
      <c r="B45" s="891"/>
      <c r="C45" s="903">
        <f>IF('[1]BASE'!C45=0,"",'[1]BASE'!C45)</f>
        <v>29</v>
      </c>
      <c r="D45" s="903" t="str">
        <f>IF('[1]BASE'!D45=0,"",'[1]BASE'!D45)</f>
        <v>GRAL. RODRIGUEZ - CAMPANA </v>
      </c>
      <c r="E45" s="903">
        <f>IF('[1]BASE'!E45=0,"",'[1]BASE'!E45)</f>
        <v>500</v>
      </c>
      <c r="F45" s="903">
        <f>IF('[1]BASE'!F45=0,"",'[1]BASE'!F45)</f>
        <v>42</v>
      </c>
      <c r="G45" s="904" t="str">
        <f>IF('[1]BASE'!G45=0,"",'[1]BASE'!G45)</f>
        <v>B</v>
      </c>
      <c r="H45" s="903">
        <f>IF('[1]BASE'!DN45=0,"",'[1]BASE'!DN45)</f>
      </c>
      <c r="I45" s="903">
        <f>IF('[1]BASE'!DO45=0,"",'[1]BASE'!DO45)</f>
      </c>
      <c r="J45" s="903">
        <f>IF('[1]BASE'!DP45=0,"",'[1]BASE'!DP45)</f>
      </c>
      <c r="K45" s="903">
        <f>IF('[1]BASE'!DQ45=0,"",'[1]BASE'!DQ45)</f>
      </c>
      <c r="L45" s="903">
        <f>IF('[1]BASE'!DR45=0,"",'[1]BASE'!DR45)</f>
      </c>
      <c r="M45" s="903">
        <f>IF('[1]BASE'!DS45=0,"",'[1]BASE'!DS45)</f>
      </c>
      <c r="N45" s="903">
        <f>IF('[1]BASE'!DT45=0,"",'[1]BASE'!DT45)</f>
      </c>
      <c r="O45" s="903">
        <f>IF('[1]BASE'!DU45=0,"",'[1]BASE'!DU45)</f>
      </c>
      <c r="P45" s="903">
        <f>IF('[1]BASE'!DV45=0,"",'[1]BASE'!DV45)</f>
      </c>
      <c r="Q45" s="903">
        <f>IF('[1]BASE'!DW45=0,"",'[1]BASE'!DW45)</f>
      </c>
      <c r="R45" s="899">
        <f>IF('[1]BASE'!DX45=0,"",'[1]BASE'!DX45)</f>
      </c>
      <c r="S45" s="899">
        <f>IF('[1]BASE'!DY45=0,"",'[1]BASE'!DY45)</f>
      </c>
      <c r="T45" s="900"/>
      <c r="U45" s="896"/>
    </row>
    <row r="46" spans="2:21" s="890" customFormat="1" ht="19.5" customHeight="1">
      <c r="B46" s="891"/>
      <c r="C46" s="901">
        <f>IF('[1]BASE'!C46=0,"",'[1]BASE'!C46)</f>
        <v>30</v>
      </c>
      <c r="D46" s="901" t="str">
        <f>IF('[1]BASE'!D46=0,"",'[1]BASE'!D46)</f>
        <v>GRAL. RODRIGUEZ- ROSARIO OESTE </v>
      </c>
      <c r="E46" s="901">
        <f>IF('[1]BASE'!E46=0,"",'[1]BASE'!E46)</f>
        <v>500</v>
      </c>
      <c r="F46" s="901">
        <f>IF('[1]BASE'!F46=0,"",'[1]BASE'!F46)</f>
        <v>258</v>
      </c>
      <c r="G46" s="902" t="str">
        <f>IF('[1]BASE'!G46=0,"",'[1]BASE'!G46)</f>
        <v>C</v>
      </c>
      <c r="H46" s="901" t="str">
        <f>IF('[1]BASE'!DN46=0,"",'[1]BASE'!DN46)</f>
        <v>XXXX</v>
      </c>
      <c r="I46" s="901" t="str">
        <f>IF('[1]BASE'!DO46=0,"",'[1]BASE'!DO46)</f>
        <v>XXXX</v>
      </c>
      <c r="J46" s="901" t="str">
        <f>IF('[1]BASE'!DP46=0,"",'[1]BASE'!DP46)</f>
        <v>XXXX</v>
      </c>
      <c r="K46" s="901" t="str">
        <f>IF('[1]BASE'!DQ46=0,"",'[1]BASE'!DQ46)</f>
        <v>XXXX</v>
      </c>
      <c r="L46" s="901" t="str">
        <f>IF('[1]BASE'!DR46=0,"",'[1]BASE'!DR46)</f>
        <v>XXXX</v>
      </c>
      <c r="M46" s="901" t="str">
        <f>IF('[1]BASE'!DS46=0,"",'[1]BASE'!DS46)</f>
        <v>XXXX</v>
      </c>
      <c r="N46" s="901" t="str">
        <f>IF('[1]BASE'!DT46=0,"",'[1]BASE'!DT46)</f>
        <v>XXXX</v>
      </c>
      <c r="O46" s="901" t="str">
        <f>IF('[1]BASE'!DU46=0,"",'[1]BASE'!DU46)</f>
        <v>XXXX</v>
      </c>
      <c r="P46" s="901" t="str">
        <f>IF('[1]BASE'!DV46=0,"",'[1]BASE'!DV46)</f>
        <v>XXXX</v>
      </c>
      <c r="Q46" s="901" t="str">
        <f>IF('[1]BASE'!DW46=0,"",'[1]BASE'!DW46)</f>
        <v>XXXX</v>
      </c>
      <c r="R46" s="899" t="str">
        <f>IF('[1]BASE'!DX46=0,"",'[1]BASE'!DX46)</f>
        <v>XXXX</v>
      </c>
      <c r="S46" s="899" t="str">
        <f>IF('[1]BASE'!DY46=0,"",'[1]BASE'!DY46)</f>
        <v>XXXX</v>
      </c>
      <c r="T46" s="900"/>
      <c r="U46" s="896"/>
    </row>
    <row r="47" spans="2:21" s="890" customFormat="1" ht="19.5" customHeight="1">
      <c r="B47" s="891"/>
      <c r="C47" s="903">
        <f>IF('[1]BASE'!C47=0,"",'[1]BASE'!C47)</f>
        <v>31</v>
      </c>
      <c r="D47" s="903" t="str">
        <f>IF('[1]BASE'!D47=0,"",'[1]BASE'!D47)</f>
        <v>MALVINAS ARG. - ALMAFUERTE </v>
      </c>
      <c r="E47" s="903">
        <f>IF('[1]BASE'!E47=0,"",'[1]BASE'!E47)</f>
        <v>500</v>
      </c>
      <c r="F47" s="903">
        <f>IF('[1]BASE'!F47=0,"",'[1]BASE'!F47)</f>
        <v>105</v>
      </c>
      <c r="G47" s="904" t="str">
        <f>IF('[1]BASE'!G47=0,"",'[1]BASE'!G47)</f>
        <v>B</v>
      </c>
      <c r="H47" s="903">
        <f>IF('[1]BASE'!DN47=0,"",'[1]BASE'!DN47)</f>
      </c>
      <c r="I47" s="903">
        <f>IF('[1]BASE'!DO47=0,"",'[1]BASE'!DO47)</f>
      </c>
      <c r="J47" s="903">
        <f>IF('[1]BASE'!DP47=0,"",'[1]BASE'!DP47)</f>
      </c>
      <c r="K47" s="903">
        <f>IF('[1]BASE'!DQ47=0,"",'[1]BASE'!DQ47)</f>
      </c>
      <c r="L47" s="903">
        <f>IF('[1]BASE'!DR47=0,"",'[1]BASE'!DR47)</f>
      </c>
      <c r="M47" s="903">
        <f>IF('[1]BASE'!DS47=0,"",'[1]BASE'!DS47)</f>
      </c>
      <c r="N47" s="903">
        <f>IF('[1]BASE'!DT47=0,"",'[1]BASE'!DT47)</f>
      </c>
      <c r="O47" s="903">
        <f>IF('[1]BASE'!DU47=0,"",'[1]BASE'!DU47)</f>
        <v>1</v>
      </c>
      <c r="P47" s="903">
        <f>IF('[1]BASE'!DV47=0,"",'[1]BASE'!DV47)</f>
      </c>
      <c r="Q47" s="903">
        <f>IF('[1]BASE'!DW47=0,"",'[1]BASE'!DW47)</f>
      </c>
      <c r="R47" s="899">
        <f>IF('[1]BASE'!DX47=0,"",'[1]BASE'!DX47)</f>
      </c>
      <c r="S47" s="899">
        <f>IF('[1]BASE'!DY47=0,"",'[1]BASE'!DY47)</f>
      </c>
      <c r="T47" s="900"/>
      <c r="U47" s="896"/>
    </row>
    <row r="48" spans="2:21" s="890" customFormat="1" ht="19.5" customHeight="1">
      <c r="B48" s="891"/>
      <c r="C48" s="901">
        <f>IF('[1]BASE'!C48=0,"",'[1]BASE'!C48)</f>
        <v>32</v>
      </c>
      <c r="D48" s="901" t="str">
        <f>IF('[1]BASE'!D48=0,"",'[1]BASE'!D48)</f>
        <v>OLAVARRIA - BAHIA BLANCA 1</v>
      </c>
      <c r="E48" s="901">
        <f>IF('[1]BASE'!E48=0,"",'[1]BASE'!E48)</f>
        <v>500</v>
      </c>
      <c r="F48" s="901">
        <f>IF('[1]BASE'!F48=0,"",'[1]BASE'!F48)</f>
        <v>255</v>
      </c>
      <c r="G48" s="902" t="str">
        <f>IF('[1]BASE'!G48=0,"",'[1]BASE'!G48)</f>
        <v>B</v>
      </c>
      <c r="H48" s="901">
        <f>IF('[1]BASE'!DN48=0,"",'[1]BASE'!DN48)</f>
      </c>
      <c r="I48" s="901">
        <f>IF('[1]BASE'!DO48=0,"",'[1]BASE'!DO48)</f>
        <v>2</v>
      </c>
      <c r="J48" s="901">
        <f>IF('[1]BASE'!DP48=0,"",'[1]BASE'!DP48)</f>
        <v>2</v>
      </c>
      <c r="K48" s="901">
        <f>IF('[1]BASE'!DQ48=0,"",'[1]BASE'!DQ48)</f>
      </c>
      <c r="L48" s="901">
        <f>IF('[1]BASE'!DR48=0,"",'[1]BASE'!DR48)</f>
      </c>
      <c r="M48" s="901">
        <f>IF('[1]BASE'!DS48=0,"",'[1]BASE'!DS48)</f>
      </c>
      <c r="N48" s="901">
        <f>IF('[1]BASE'!DT48=0,"",'[1]BASE'!DT48)</f>
        <v>1</v>
      </c>
      <c r="O48" s="901">
        <f>IF('[1]BASE'!DU48=0,"",'[1]BASE'!DU48)</f>
      </c>
      <c r="P48" s="901">
        <f>IF('[1]BASE'!DV48=0,"",'[1]BASE'!DV48)</f>
      </c>
      <c r="Q48" s="901">
        <f>IF('[1]BASE'!DW48=0,"",'[1]BASE'!DW48)</f>
      </c>
      <c r="R48" s="899">
        <f>IF('[1]BASE'!DX48=0,"",'[1]BASE'!DX48)</f>
      </c>
      <c r="S48" s="899">
        <f>IF('[1]BASE'!DY48=0,"",'[1]BASE'!DY48)</f>
      </c>
      <c r="T48" s="900"/>
      <c r="U48" s="896"/>
    </row>
    <row r="49" spans="2:21" s="890" customFormat="1" ht="19.5" customHeight="1">
      <c r="B49" s="891"/>
      <c r="C49" s="903">
        <f>IF('[1]BASE'!C49=0,"",'[1]BASE'!C49)</f>
        <v>33</v>
      </c>
      <c r="D49" s="903" t="str">
        <f>IF('[1]BASE'!D49=0,"",'[1]BASE'!D49)</f>
        <v>OLAVARRIA - BAHIA BLANCA 2</v>
      </c>
      <c r="E49" s="903">
        <f>IF('[1]BASE'!E49=0,"",'[1]BASE'!E49)</f>
        <v>500</v>
      </c>
      <c r="F49" s="903">
        <f>IF('[1]BASE'!F49=0,"",'[1]BASE'!F49)</f>
        <v>254.8</v>
      </c>
      <c r="G49" s="904">
        <f>IF('[1]BASE'!G49=0,"",'[1]BASE'!G49)</f>
      </c>
      <c r="H49" s="903">
        <f>IF('[1]BASE'!DN49=0,"",'[1]BASE'!DN49)</f>
      </c>
      <c r="I49" s="903">
        <f>IF('[1]BASE'!DO49=0,"",'[1]BASE'!DO49)</f>
        <v>2</v>
      </c>
      <c r="J49" s="903">
        <f>IF('[1]BASE'!DP49=0,"",'[1]BASE'!DP49)</f>
      </c>
      <c r="K49" s="903">
        <f>IF('[1]BASE'!DQ49=0,"",'[1]BASE'!DQ49)</f>
      </c>
      <c r="L49" s="903">
        <f>IF('[1]BASE'!DR49=0,"",'[1]BASE'!DR49)</f>
      </c>
      <c r="M49" s="903">
        <f>IF('[1]BASE'!DS49=0,"",'[1]BASE'!DS49)</f>
        <v>1</v>
      </c>
      <c r="N49" s="903">
        <f>IF('[1]BASE'!DT49=0,"",'[1]BASE'!DT49)</f>
      </c>
      <c r="O49" s="903">
        <f>IF('[1]BASE'!DU49=0,"",'[1]BASE'!DU49)</f>
      </c>
      <c r="P49" s="903">
        <f>IF('[1]BASE'!DV49=0,"",'[1]BASE'!DV49)</f>
      </c>
      <c r="Q49" s="903">
        <f>IF('[1]BASE'!DW49=0,"",'[1]BASE'!DW49)</f>
      </c>
      <c r="R49" s="899">
        <f>IF('[1]BASE'!DX49=0,"",'[1]BASE'!DX49)</f>
      </c>
      <c r="S49" s="899">
        <f>IF('[1]BASE'!DY49=0,"",'[1]BASE'!DY49)</f>
      </c>
      <c r="T49" s="900"/>
      <c r="U49" s="896"/>
    </row>
    <row r="50" spans="2:21" s="890" customFormat="1" ht="19.5" customHeight="1">
      <c r="B50" s="891"/>
      <c r="C50" s="901">
        <f>IF('[1]BASE'!C50=0,"",'[1]BASE'!C50)</f>
        <v>34</v>
      </c>
      <c r="D50" s="901" t="str">
        <f>IF('[1]BASE'!D50=0,"",'[1]BASE'!D50)</f>
        <v>P.del AGUILA  - CHOELE CHOEL</v>
      </c>
      <c r="E50" s="901">
        <f>IF('[1]BASE'!E50=0,"",'[1]BASE'!E50)</f>
        <v>500</v>
      </c>
      <c r="F50" s="901">
        <f>IF('[1]BASE'!F50=0,"",'[1]BASE'!F50)</f>
        <v>386.7</v>
      </c>
      <c r="G50" s="902">
        <f>IF('[1]BASE'!G50=0,"",'[1]BASE'!G50)</f>
      </c>
      <c r="H50" s="901">
        <f>IF('[1]BASE'!DN50=0,"",'[1]BASE'!DN50)</f>
      </c>
      <c r="I50" s="901">
        <f>IF('[1]BASE'!DO50=0,"",'[1]BASE'!DO50)</f>
      </c>
      <c r="J50" s="901">
        <f>IF('[1]BASE'!DP50=0,"",'[1]BASE'!DP50)</f>
      </c>
      <c r="K50" s="901">
        <f>IF('[1]BASE'!DQ50=0,"",'[1]BASE'!DQ50)</f>
      </c>
      <c r="L50" s="901">
        <f>IF('[1]BASE'!DR50=0,"",'[1]BASE'!DR50)</f>
      </c>
      <c r="M50" s="901">
        <f>IF('[1]BASE'!DS50=0,"",'[1]BASE'!DS50)</f>
      </c>
      <c r="N50" s="901">
        <f>IF('[1]BASE'!DT50=0,"",'[1]BASE'!DT50)</f>
      </c>
      <c r="O50" s="901">
        <f>IF('[1]BASE'!DU50=0,"",'[1]BASE'!DU50)</f>
      </c>
      <c r="P50" s="901">
        <f>IF('[1]BASE'!DV50=0,"",'[1]BASE'!DV50)</f>
      </c>
      <c r="Q50" s="901">
        <f>IF('[1]BASE'!DW50=0,"",'[1]BASE'!DW50)</f>
      </c>
      <c r="R50" s="899">
        <f>IF('[1]BASE'!DX50=0,"",'[1]BASE'!DX50)</f>
      </c>
      <c r="S50" s="899">
        <f>IF('[1]BASE'!DY50=0,"",'[1]BASE'!DY50)</f>
      </c>
      <c r="T50" s="900"/>
      <c r="U50" s="896"/>
    </row>
    <row r="51" spans="2:21" s="890" customFormat="1" ht="19.5" customHeight="1">
      <c r="B51" s="891"/>
      <c r="C51" s="903">
        <f>IF('[1]BASE'!C51=0,"",'[1]BASE'!C51)</f>
        <v>35</v>
      </c>
      <c r="D51" s="903" t="str">
        <f>IF('[1]BASE'!D51=0,"",'[1]BASE'!D51)</f>
        <v>P.del AGUILA  - CHO. W. 1 (5GW1)</v>
      </c>
      <c r="E51" s="903">
        <f>IF('[1]BASE'!E51=0,"",'[1]BASE'!E51)</f>
        <v>500</v>
      </c>
      <c r="F51" s="903">
        <f>IF('[1]BASE'!F51=0,"",'[1]BASE'!F51)</f>
        <v>165</v>
      </c>
      <c r="G51" s="904" t="str">
        <f>IF('[1]BASE'!G51=0,"",'[1]BASE'!G51)</f>
        <v>A</v>
      </c>
      <c r="H51" s="903">
        <f>IF('[1]BASE'!DN51=0,"",'[1]BASE'!DN51)</f>
      </c>
      <c r="I51" s="903">
        <f>IF('[1]BASE'!DO51=0,"",'[1]BASE'!DO51)</f>
      </c>
      <c r="J51" s="903">
        <f>IF('[1]BASE'!DP51=0,"",'[1]BASE'!DP51)</f>
      </c>
      <c r="K51" s="903">
        <f>IF('[1]BASE'!DQ51=0,"",'[1]BASE'!DQ51)</f>
      </c>
      <c r="L51" s="903">
        <f>IF('[1]BASE'!DR51=0,"",'[1]BASE'!DR51)</f>
      </c>
      <c r="M51" s="903">
        <f>IF('[1]BASE'!DS51=0,"",'[1]BASE'!DS51)</f>
      </c>
      <c r="N51" s="903">
        <f>IF('[1]BASE'!DT51=0,"",'[1]BASE'!DT51)</f>
      </c>
      <c r="O51" s="903">
        <f>IF('[1]BASE'!DU51=0,"",'[1]BASE'!DU51)</f>
      </c>
      <c r="P51" s="903">
        <f>IF('[1]BASE'!DV51=0,"",'[1]BASE'!DV51)</f>
      </c>
      <c r="Q51" s="903">
        <f>IF('[1]BASE'!DW51=0,"",'[1]BASE'!DW51)</f>
      </c>
      <c r="R51" s="899">
        <f>IF('[1]BASE'!DX51=0,"",'[1]BASE'!DX51)</f>
      </c>
      <c r="S51" s="899">
        <f>IF('[1]BASE'!DY51=0,"",'[1]BASE'!DY51)</f>
      </c>
      <c r="T51" s="900"/>
      <c r="U51" s="896"/>
    </row>
    <row r="52" spans="2:21" s="890" customFormat="1" ht="19.5" customHeight="1">
      <c r="B52" s="891"/>
      <c r="C52" s="901">
        <f>IF('[1]BASE'!C52=0,"",'[1]BASE'!C52)</f>
        <v>36</v>
      </c>
      <c r="D52" s="901" t="str">
        <f>IF('[1]BASE'!D52=0,"",'[1]BASE'!D52)</f>
        <v>P.del AGUILA  - CHO. W. 2 (5GW2)</v>
      </c>
      <c r="E52" s="901">
        <f>IF('[1]BASE'!E52=0,"",'[1]BASE'!E52)</f>
        <v>500</v>
      </c>
      <c r="F52" s="901">
        <f>IF('[1]BASE'!F52=0,"",'[1]BASE'!F52)</f>
        <v>170</v>
      </c>
      <c r="G52" s="902" t="str">
        <f>IF('[1]BASE'!G52=0,"",'[1]BASE'!G52)</f>
        <v>A</v>
      </c>
      <c r="H52" s="901">
        <f>IF('[1]BASE'!DN52=0,"",'[1]BASE'!DN52)</f>
      </c>
      <c r="I52" s="901">
        <f>IF('[1]BASE'!DO52=0,"",'[1]BASE'!DO52)</f>
      </c>
      <c r="J52" s="901">
        <f>IF('[1]BASE'!DP52=0,"",'[1]BASE'!DP52)</f>
      </c>
      <c r="K52" s="901">
        <f>IF('[1]BASE'!DQ52=0,"",'[1]BASE'!DQ52)</f>
      </c>
      <c r="L52" s="901">
        <f>IF('[1]BASE'!DR52=0,"",'[1]BASE'!DR52)</f>
      </c>
      <c r="M52" s="901">
        <f>IF('[1]BASE'!DS52=0,"",'[1]BASE'!DS52)</f>
      </c>
      <c r="N52" s="901">
        <f>IF('[1]BASE'!DT52=0,"",'[1]BASE'!DT52)</f>
      </c>
      <c r="O52" s="901">
        <f>IF('[1]BASE'!DU52=0,"",'[1]BASE'!DU52)</f>
      </c>
      <c r="P52" s="901">
        <f>IF('[1]BASE'!DV52=0,"",'[1]BASE'!DV52)</f>
      </c>
      <c r="Q52" s="901">
        <f>IF('[1]BASE'!DW52=0,"",'[1]BASE'!DW52)</f>
      </c>
      <c r="R52" s="899">
        <f>IF('[1]BASE'!DX52=0,"",'[1]BASE'!DX52)</f>
      </c>
      <c r="S52" s="899">
        <f>IF('[1]BASE'!DY52=0,"",'[1]BASE'!DY52)</f>
      </c>
      <c r="T52" s="900"/>
      <c r="U52" s="896"/>
    </row>
    <row r="53" spans="2:21" s="890" customFormat="1" ht="19.5" customHeight="1">
      <c r="B53" s="891"/>
      <c r="C53" s="903">
        <f>IF('[1]BASE'!C53=0,"",'[1]BASE'!C53)</f>
        <v>37</v>
      </c>
      <c r="D53" s="903" t="str">
        <f>IF('[1]BASE'!D53=0,"",'[1]BASE'!D53)</f>
        <v>PUELCHES - HENDERSON 1 (B1)</v>
      </c>
      <c r="E53" s="903">
        <f>IF('[1]BASE'!E53=0,"",'[1]BASE'!E53)</f>
        <v>500</v>
      </c>
      <c r="F53" s="903">
        <f>IF('[1]BASE'!F53=0,"",'[1]BASE'!F53)</f>
        <v>421</v>
      </c>
      <c r="G53" s="904" t="str">
        <f>IF('[1]BASE'!G53=0,"",'[1]BASE'!G53)</f>
        <v>A</v>
      </c>
      <c r="H53" s="903">
        <f>IF('[1]BASE'!DN53=0,"",'[1]BASE'!DN53)</f>
      </c>
      <c r="I53" s="903">
        <f>IF('[1]BASE'!DO53=0,"",'[1]BASE'!DO53)</f>
      </c>
      <c r="J53" s="903">
        <f>IF('[1]BASE'!DP53=0,"",'[1]BASE'!DP53)</f>
      </c>
      <c r="K53" s="903">
        <f>IF('[1]BASE'!DQ53=0,"",'[1]BASE'!DQ53)</f>
      </c>
      <c r="L53" s="903">
        <f>IF('[1]BASE'!DR53=0,"",'[1]BASE'!DR53)</f>
      </c>
      <c r="M53" s="903">
        <f>IF('[1]BASE'!DS53=0,"",'[1]BASE'!DS53)</f>
      </c>
      <c r="N53" s="903">
        <f>IF('[1]BASE'!DT53=0,"",'[1]BASE'!DT53)</f>
      </c>
      <c r="O53" s="903">
        <f>IF('[1]BASE'!DU53=0,"",'[1]BASE'!DU53)</f>
        <v>1</v>
      </c>
      <c r="P53" s="903">
        <f>IF('[1]BASE'!DV53=0,"",'[1]BASE'!DV53)</f>
      </c>
      <c r="Q53" s="903">
        <f>IF('[1]BASE'!DW53=0,"",'[1]BASE'!DW53)</f>
      </c>
      <c r="R53" s="899">
        <f>IF('[1]BASE'!DX53=0,"",'[1]BASE'!DX53)</f>
      </c>
      <c r="S53" s="899">
        <f>IF('[1]BASE'!DY53=0,"",'[1]BASE'!DY53)</f>
      </c>
      <c r="T53" s="900"/>
      <c r="U53" s="896"/>
    </row>
    <row r="54" spans="2:21" s="890" customFormat="1" ht="19.5" customHeight="1">
      <c r="B54" s="891"/>
      <c r="C54" s="901">
        <f>IF('[1]BASE'!C54=0,"",'[1]BASE'!C54)</f>
        <v>38</v>
      </c>
      <c r="D54" s="901" t="str">
        <f>IF('[1]BASE'!D54=0,"",'[1]BASE'!D54)</f>
        <v>PUELCHES - HENDERSON 2 (B2)</v>
      </c>
      <c r="E54" s="901">
        <f>IF('[1]BASE'!E54=0,"",'[1]BASE'!E54)</f>
        <v>500</v>
      </c>
      <c r="F54" s="901">
        <f>IF('[1]BASE'!F54=0,"",'[1]BASE'!F54)</f>
        <v>421</v>
      </c>
      <c r="G54" s="902" t="str">
        <f>IF('[1]BASE'!G54=0,"",'[1]BASE'!G54)</f>
        <v>A</v>
      </c>
      <c r="H54" s="901" t="str">
        <f>IF('[1]BASE'!DN54=0,"",'[1]BASE'!DN54)</f>
        <v>XXXX</v>
      </c>
      <c r="I54" s="901" t="str">
        <f>IF('[1]BASE'!DO54=0,"",'[1]BASE'!DO54)</f>
        <v>XXXX</v>
      </c>
      <c r="J54" s="901" t="str">
        <f>IF('[1]BASE'!DP54=0,"",'[1]BASE'!DP54)</f>
        <v>XXXX</v>
      </c>
      <c r="K54" s="901" t="str">
        <f>IF('[1]BASE'!DQ54=0,"",'[1]BASE'!DQ54)</f>
        <v>XXXX</v>
      </c>
      <c r="L54" s="901" t="str">
        <f>IF('[1]BASE'!DR54=0,"",'[1]BASE'!DR54)</f>
        <v>XXXX</v>
      </c>
      <c r="M54" s="901" t="str">
        <f>IF('[1]BASE'!DS54=0,"",'[1]BASE'!DS54)</f>
        <v>XXXX</v>
      </c>
      <c r="N54" s="901" t="str">
        <f>IF('[1]BASE'!DT54=0,"",'[1]BASE'!DT54)</f>
        <v>XXXX</v>
      </c>
      <c r="O54" s="901" t="str">
        <f>IF('[1]BASE'!DU54=0,"",'[1]BASE'!DU54)</f>
        <v>XXXX</v>
      </c>
      <c r="P54" s="901" t="str">
        <f>IF('[1]BASE'!DV54=0,"",'[1]BASE'!DV54)</f>
        <v>XXXX</v>
      </c>
      <c r="Q54" s="901" t="str">
        <f>IF('[1]BASE'!DW54=0,"",'[1]BASE'!DW54)</f>
        <v>XXXX</v>
      </c>
      <c r="R54" s="899" t="str">
        <f>IF('[1]BASE'!DX54=0,"",'[1]BASE'!DX54)</f>
        <v>XXXX</v>
      </c>
      <c r="S54" s="899" t="str">
        <f>IF('[1]BASE'!DY54=0,"",'[1]BASE'!DY54)</f>
        <v>XXXX</v>
      </c>
      <c r="T54" s="900"/>
      <c r="U54" s="896"/>
    </row>
    <row r="55" spans="2:21" s="890" customFormat="1" ht="19.5" customHeight="1">
      <c r="B55" s="891"/>
      <c r="C55" s="903">
        <f>IF('[1]BASE'!C55=0,"",'[1]BASE'!C55)</f>
        <v>39</v>
      </c>
      <c r="D55" s="903" t="str">
        <f>IF('[1]BASE'!D55=0,"",'[1]BASE'!D55)</f>
        <v>RECREO - MALVINAS ARG. </v>
      </c>
      <c r="E55" s="903">
        <f>IF('[1]BASE'!E55=0,"",'[1]BASE'!E55)</f>
        <v>500</v>
      </c>
      <c r="F55" s="903">
        <f>IF('[1]BASE'!F55=0,"",'[1]BASE'!F55)</f>
        <v>259</v>
      </c>
      <c r="G55" s="904" t="str">
        <f>IF('[1]BASE'!G55=0,"",'[1]BASE'!G55)</f>
        <v>C</v>
      </c>
      <c r="H55" s="903">
        <f>IF('[1]BASE'!DN55=0,"",'[1]BASE'!DN55)</f>
      </c>
      <c r="I55" s="903">
        <f>IF('[1]BASE'!DO55=0,"",'[1]BASE'!DO55)</f>
      </c>
      <c r="J55" s="903">
        <f>IF('[1]BASE'!DP55=0,"",'[1]BASE'!DP55)</f>
      </c>
      <c r="K55" s="903">
        <f>IF('[1]BASE'!DQ55=0,"",'[1]BASE'!DQ55)</f>
      </c>
      <c r="L55" s="903">
        <f>IF('[1]BASE'!DR55=0,"",'[1]BASE'!DR55)</f>
      </c>
      <c r="M55" s="903">
        <f>IF('[1]BASE'!DS55=0,"",'[1]BASE'!DS55)</f>
      </c>
      <c r="N55" s="903">
        <f>IF('[1]BASE'!DT55=0,"",'[1]BASE'!DT55)</f>
      </c>
      <c r="O55" s="903">
        <f>IF('[1]BASE'!DU55=0,"",'[1]BASE'!DU55)</f>
      </c>
      <c r="P55" s="903">
        <f>IF('[1]BASE'!DV55=0,"",'[1]BASE'!DV55)</f>
      </c>
      <c r="Q55" s="903">
        <f>IF('[1]BASE'!DW55=0,"",'[1]BASE'!DW55)</f>
      </c>
      <c r="R55" s="899">
        <f>IF('[1]BASE'!DX55=0,"",'[1]BASE'!DX55)</f>
      </c>
      <c r="S55" s="899">
        <f>IF('[1]BASE'!DY55=0,"",'[1]BASE'!DY55)</f>
      </c>
      <c r="T55" s="900"/>
      <c r="U55" s="896"/>
    </row>
    <row r="56" spans="2:21" s="890" customFormat="1" ht="19.5" customHeight="1">
      <c r="B56" s="891"/>
      <c r="C56" s="901">
        <f>IF('[1]BASE'!C56=0,"",'[1]BASE'!C56)</f>
        <v>40</v>
      </c>
      <c r="D56" s="901" t="str">
        <f>IF('[1]BASE'!D56=0,"",'[1]BASE'!D56)</f>
        <v>RIO GRANDE - EMBALSE</v>
      </c>
      <c r="E56" s="901">
        <f>IF('[1]BASE'!E56=0,"",'[1]BASE'!E56)</f>
        <v>500</v>
      </c>
      <c r="F56" s="901">
        <f>IF('[1]BASE'!F56=0,"",'[1]BASE'!F56)</f>
        <v>30</v>
      </c>
      <c r="G56" s="902" t="str">
        <f>IF('[1]BASE'!G56=0,"",'[1]BASE'!G56)</f>
        <v>B</v>
      </c>
      <c r="H56" s="901">
        <f>IF('[1]BASE'!DN56=0,"",'[1]BASE'!DN56)</f>
      </c>
      <c r="I56" s="901">
        <f>IF('[1]BASE'!DO56=0,"",'[1]BASE'!DO56)</f>
      </c>
      <c r="J56" s="901">
        <f>IF('[1]BASE'!DP56=0,"",'[1]BASE'!DP56)</f>
      </c>
      <c r="K56" s="901">
        <f>IF('[1]BASE'!DQ56=0,"",'[1]BASE'!DQ56)</f>
      </c>
      <c r="L56" s="901">
        <f>IF('[1]BASE'!DR56=0,"",'[1]BASE'!DR56)</f>
      </c>
      <c r="M56" s="901">
        <f>IF('[1]BASE'!DS56=0,"",'[1]BASE'!DS56)</f>
      </c>
      <c r="N56" s="901">
        <f>IF('[1]BASE'!DT56=0,"",'[1]BASE'!DT56)</f>
      </c>
      <c r="O56" s="901">
        <f>IF('[1]BASE'!DU56=0,"",'[1]BASE'!DU56)</f>
      </c>
      <c r="P56" s="901">
        <f>IF('[1]BASE'!DV56=0,"",'[1]BASE'!DV56)</f>
      </c>
      <c r="Q56" s="901">
        <f>IF('[1]BASE'!DW56=0,"",'[1]BASE'!DW56)</f>
      </c>
      <c r="R56" s="899">
        <f>IF('[1]BASE'!DX56=0,"",'[1]BASE'!DX56)</f>
      </c>
      <c r="S56" s="899">
        <f>IF('[1]BASE'!DY56=0,"",'[1]BASE'!DY56)</f>
      </c>
      <c r="T56" s="900"/>
      <c r="U56" s="896"/>
    </row>
    <row r="57" spans="2:21" s="890" customFormat="1" ht="19.5" customHeight="1">
      <c r="B57" s="891"/>
      <c r="C57" s="903">
        <f>IF('[1]BASE'!C57=0,"",'[1]BASE'!C57)</f>
        <v>41</v>
      </c>
      <c r="D57" s="903" t="str">
        <f>IF('[1]BASE'!D57=0,"",'[1]BASE'!D57)</f>
        <v>RIO GRANDE - GRAN MENDOZA</v>
      </c>
      <c r="E57" s="903">
        <f>IF('[1]BASE'!E57=0,"",'[1]BASE'!E57)</f>
        <v>500</v>
      </c>
      <c r="F57" s="903">
        <f>IF('[1]BASE'!F57=0,"",'[1]BASE'!F57)</f>
        <v>407</v>
      </c>
      <c r="G57" s="904" t="str">
        <f>IF('[1]BASE'!G57=0,"",'[1]BASE'!G57)</f>
        <v>B</v>
      </c>
      <c r="H57" s="903" t="str">
        <f>IF('[1]BASE'!DN57=0,"",'[1]BASE'!DN57)</f>
        <v>XXXX</v>
      </c>
      <c r="I57" s="903" t="str">
        <f>IF('[1]BASE'!DO57=0,"",'[1]BASE'!DO57)</f>
        <v>XXXX</v>
      </c>
      <c r="J57" s="903" t="str">
        <f>IF('[1]BASE'!DP57=0,"",'[1]BASE'!DP57)</f>
        <v>XXXX</v>
      </c>
      <c r="K57" s="903" t="str">
        <f>IF('[1]BASE'!DQ57=0,"",'[1]BASE'!DQ57)</f>
        <v>XXXX</v>
      </c>
      <c r="L57" s="903" t="str">
        <f>IF('[1]BASE'!DR57=0,"",'[1]BASE'!DR57)</f>
        <v>XXXX</v>
      </c>
      <c r="M57" s="903" t="str">
        <f>IF('[1]BASE'!DS57=0,"",'[1]BASE'!DS57)</f>
        <v>XXXX</v>
      </c>
      <c r="N57" s="903" t="str">
        <f>IF('[1]BASE'!DT57=0,"",'[1]BASE'!DT57)</f>
        <v>XXXX</v>
      </c>
      <c r="O57" s="903" t="str">
        <f>IF('[1]BASE'!DU57=0,"",'[1]BASE'!DU57)</f>
        <v>XXXX</v>
      </c>
      <c r="P57" s="903" t="str">
        <f>IF('[1]BASE'!DV57=0,"",'[1]BASE'!DV57)</f>
        <v>XXXX</v>
      </c>
      <c r="Q57" s="903" t="str">
        <f>IF('[1]BASE'!DW57=0,"",'[1]BASE'!DW57)</f>
        <v>XXXX</v>
      </c>
      <c r="R57" s="899" t="str">
        <f>IF('[1]BASE'!DX57=0,"",'[1]BASE'!DX57)</f>
        <v>XXXX</v>
      </c>
      <c r="S57" s="899" t="str">
        <f>IF('[1]BASE'!DY57=0,"",'[1]BASE'!DY57)</f>
        <v>XXXX</v>
      </c>
      <c r="T57" s="900"/>
      <c r="U57" s="896"/>
    </row>
    <row r="58" spans="2:21" s="890" customFormat="1" ht="19.5" customHeight="1">
      <c r="B58" s="891"/>
      <c r="C58" s="901">
        <f>IF('[1]BASE'!C58=0,"",'[1]BASE'!C58)</f>
        <v>42</v>
      </c>
      <c r="D58" s="901" t="str">
        <f>IF('[1]BASE'!D58=0,"",'[1]BASE'!D58)</f>
        <v>RIO GRANDE - LUJAN</v>
      </c>
      <c r="E58" s="901">
        <f>IF('[1]BASE'!E58=0,"",'[1]BASE'!E58)</f>
        <v>500</v>
      </c>
      <c r="F58" s="901">
        <f>IF('[1]BASE'!F58=0,"",'[1]BASE'!F58)</f>
        <v>150</v>
      </c>
      <c r="G58" s="902" t="str">
        <f>IF('[1]BASE'!G58=0,"",'[1]BASE'!G58)</f>
        <v>A</v>
      </c>
      <c r="H58" s="901">
        <f>IF('[1]BASE'!DN58=0,"",'[1]BASE'!DN58)</f>
      </c>
      <c r="I58" s="901">
        <f>IF('[1]BASE'!DO58=0,"",'[1]BASE'!DO58)</f>
      </c>
      <c r="J58" s="901">
        <f>IF('[1]BASE'!DP58=0,"",'[1]BASE'!DP58)</f>
      </c>
      <c r="K58" s="901">
        <f>IF('[1]BASE'!DQ58=0,"",'[1]BASE'!DQ58)</f>
      </c>
      <c r="L58" s="901">
        <f>IF('[1]BASE'!DR58=0,"",'[1]BASE'!DR58)</f>
      </c>
      <c r="M58" s="901">
        <f>IF('[1]BASE'!DS58=0,"",'[1]BASE'!DS58)</f>
      </c>
      <c r="N58" s="901">
        <f>IF('[1]BASE'!DT58=0,"",'[1]BASE'!DT58)</f>
      </c>
      <c r="O58" s="901">
        <f>IF('[1]BASE'!DU58=0,"",'[1]BASE'!DU58)</f>
      </c>
      <c r="P58" s="901">
        <f>IF('[1]BASE'!DV58=0,"",'[1]BASE'!DV58)</f>
      </c>
      <c r="Q58" s="901">
        <f>IF('[1]BASE'!DW58=0,"",'[1]BASE'!DW58)</f>
      </c>
      <c r="R58" s="899">
        <f>IF('[1]BASE'!DX58=0,"",'[1]BASE'!DX58)</f>
      </c>
      <c r="S58" s="899">
        <f>IF('[1]BASE'!DY58=0,"",'[1]BASE'!DY58)</f>
      </c>
      <c r="T58" s="900"/>
      <c r="U58" s="896"/>
    </row>
    <row r="59" spans="2:21" s="890" customFormat="1" ht="19.5" customHeight="1">
      <c r="B59" s="891"/>
      <c r="C59" s="903">
        <f>IF('[1]BASE'!C59=0,"",'[1]BASE'!C59)</f>
        <v>43</v>
      </c>
      <c r="D59" s="903" t="str">
        <f>IF('[1]BASE'!D59=0,"",'[1]BASE'!D59)</f>
        <v>LUJAN - GRAN MENDOZA</v>
      </c>
      <c r="E59" s="903">
        <f>IF('[1]BASE'!E59=0,"",'[1]BASE'!E59)</f>
        <v>500</v>
      </c>
      <c r="F59" s="903">
        <f>IF('[1]BASE'!F59=0,"",'[1]BASE'!F59)</f>
        <v>257</v>
      </c>
      <c r="G59" s="904" t="str">
        <f>IF('[1]BASE'!G59=0,"",'[1]BASE'!G59)</f>
        <v>B</v>
      </c>
      <c r="H59" s="903">
        <f>IF('[1]BASE'!DN59=0,"",'[1]BASE'!DN59)</f>
      </c>
      <c r="I59" s="903">
        <f>IF('[1]BASE'!DO59=0,"",'[1]BASE'!DO59)</f>
      </c>
      <c r="J59" s="903">
        <f>IF('[1]BASE'!DP59=0,"",'[1]BASE'!DP59)</f>
      </c>
      <c r="K59" s="903">
        <f>IF('[1]BASE'!DQ59=0,"",'[1]BASE'!DQ59)</f>
      </c>
      <c r="L59" s="903">
        <f>IF('[1]BASE'!DR59=0,"",'[1]BASE'!DR59)</f>
      </c>
      <c r="M59" s="903">
        <f>IF('[1]BASE'!DS59=0,"",'[1]BASE'!DS59)</f>
      </c>
      <c r="N59" s="903">
        <f>IF('[1]BASE'!DT59=0,"",'[1]BASE'!DT59)</f>
      </c>
      <c r="O59" s="903">
        <f>IF('[1]BASE'!DU59=0,"",'[1]BASE'!DU59)</f>
      </c>
      <c r="P59" s="903">
        <f>IF('[1]BASE'!DV59=0,"",'[1]BASE'!DV59)</f>
      </c>
      <c r="Q59" s="903">
        <f>IF('[1]BASE'!DW59=0,"",'[1]BASE'!DW59)</f>
      </c>
      <c r="R59" s="899">
        <f>IF('[1]BASE'!DX59=0,"",'[1]BASE'!DX59)</f>
      </c>
      <c r="S59" s="899">
        <f>IF('[1]BASE'!DY59=0,"",'[1]BASE'!DY59)</f>
      </c>
      <c r="T59" s="900"/>
      <c r="U59" s="896"/>
    </row>
    <row r="60" spans="2:21" s="890" customFormat="1" ht="19.5" customHeight="1">
      <c r="B60" s="891"/>
      <c r="C60" s="901">
        <f>IF('[1]BASE'!C60=0,"",'[1]BASE'!C60)</f>
        <v>44</v>
      </c>
      <c r="D60" s="901" t="str">
        <f>IF('[1]BASE'!D60=0,"",'[1]BASE'!D60)</f>
        <v>ROMANG - RESISTENCIA</v>
      </c>
      <c r="E60" s="901">
        <f>IF('[1]BASE'!E60=0,"",'[1]BASE'!E60)</f>
        <v>500</v>
      </c>
      <c r="F60" s="901">
        <f>IF('[1]BASE'!F60=0,"",'[1]BASE'!F60)</f>
        <v>256</v>
      </c>
      <c r="G60" s="902" t="str">
        <f>IF('[1]BASE'!G60=0,"",'[1]BASE'!G60)</f>
        <v>A</v>
      </c>
      <c r="H60" s="901">
        <f>IF('[1]BASE'!DN60=0,"",'[1]BASE'!DN60)</f>
        <v>1</v>
      </c>
      <c r="I60" s="901">
        <f>IF('[1]BASE'!DO60=0,"",'[1]BASE'!DO60)</f>
        <v>1</v>
      </c>
      <c r="J60" s="901">
        <f>IF('[1]BASE'!DP60=0,"",'[1]BASE'!DP60)</f>
      </c>
      <c r="K60" s="901">
        <f>IF('[1]BASE'!DQ60=0,"",'[1]BASE'!DQ60)</f>
      </c>
      <c r="L60" s="901">
        <f>IF('[1]BASE'!DR60=0,"",'[1]BASE'!DR60)</f>
      </c>
      <c r="M60" s="901">
        <f>IF('[1]BASE'!DS60=0,"",'[1]BASE'!DS60)</f>
      </c>
      <c r="N60" s="901">
        <f>IF('[1]BASE'!DT60=0,"",'[1]BASE'!DT60)</f>
      </c>
      <c r="O60" s="901">
        <f>IF('[1]BASE'!DU60=0,"",'[1]BASE'!DU60)</f>
      </c>
      <c r="P60" s="901">
        <f>IF('[1]BASE'!DV60=0,"",'[1]BASE'!DV60)</f>
      </c>
      <c r="Q60" s="901">
        <f>IF('[1]BASE'!DW60=0,"",'[1]BASE'!DW60)</f>
        <v>1</v>
      </c>
      <c r="R60" s="899">
        <f>IF('[1]BASE'!DX60=0,"",'[1]BASE'!DX60)</f>
      </c>
      <c r="S60" s="899">
        <f>IF('[1]BASE'!DY60=0,"",'[1]BASE'!DY60)</f>
      </c>
      <c r="T60" s="900"/>
      <c r="U60" s="896"/>
    </row>
    <row r="61" spans="2:21" s="890" customFormat="1" ht="19.5" customHeight="1">
      <c r="B61" s="891"/>
      <c r="C61" s="903">
        <f>IF('[1]BASE'!C61=0,"",'[1]BASE'!C61)</f>
        <v>45</v>
      </c>
      <c r="D61" s="903" t="str">
        <f>IF('[1]BASE'!D61=0,"",'[1]BASE'!D61)</f>
        <v>ROSARIO OESTE -SANTO TOME</v>
      </c>
      <c r="E61" s="903">
        <f>IF('[1]BASE'!E61=0,"",'[1]BASE'!E61)</f>
        <v>500</v>
      </c>
      <c r="F61" s="903">
        <f>IF('[1]BASE'!F61=0,"",'[1]BASE'!F61)</f>
        <v>159</v>
      </c>
      <c r="G61" s="904" t="str">
        <f>IF('[1]BASE'!G61=0,"",'[1]BASE'!G61)</f>
        <v>C</v>
      </c>
      <c r="H61" s="903">
        <f>IF('[1]BASE'!DN61=0,"",'[1]BASE'!DN61)</f>
        <v>1</v>
      </c>
      <c r="I61" s="903">
        <f>IF('[1]BASE'!DO61=0,"",'[1]BASE'!DO61)</f>
      </c>
      <c r="J61" s="903">
        <f>IF('[1]BASE'!DP61=0,"",'[1]BASE'!DP61)</f>
      </c>
      <c r="K61" s="903">
        <f>IF('[1]BASE'!DQ61=0,"",'[1]BASE'!DQ61)</f>
      </c>
      <c r="L61" s="903">
        <f>IF('[1]BASE'!DR61=0,"",'[1]BASE'!DR61)</f>
      </c>
      <c r="M61" s="903">
        <f>IF('[1]BASE'!DS61=0,"",'[1]BASE'!DS61)</f>
      </c>
      <c r="N61" s="903">
        <f>IF('[1]BASE'!DT61=0,"",'[1]BASE'!DT61)</f>
      </c>
      <c r="O61" s="903">
        <f>IF('[1]BASE'!DU61=0,"",'[1]BASE'!DU61)</f>
      </c>
      <c r="P61" s="903">
        <f>IF('[1]BASE'!DV61=0,"",'[1]BASE'!DV61)</f>
      </c>
      <c r="Q61" s="903">
        <f>IF('[1]BASE'!DW61=0,"",'[1]BASE'!DW61)</f>
      </c>
      <c r="R61" s="899">
        <f>IF('[1]BASE'!DX61=0,"",'[1]BASE'!DX61)</f>
      </c>
      <c r="S61" s="899">
        <f>IF('[1]BASE'!DY61=0,"",'[1]BASE'!DY61)</f>
      </c>
      <c r="T61" s="900"/>
      <c r="U61" s="896"/>
    </row>
    <row r="62" spans="2:21" s="890" customFormat="1" ht="19.5" customHeight="1">
      <c r="B62" s="891"/>
      <c r="C62" s="901">
        <f>IF('[1]BASE'!C62=0,"",'[1]BASE'!C62)</f>
        <v>46</v>
      </c>
      <c r="D62" s="901" t="str">
        <f>IF('[1]BASE'!D62=0,"",'[1]BASE'!D62)</f>
        <v>SALTO GRANDE - SANTO TOME </v>
      </c>
      <c r="E62" s="901">
        <f>IF('[1]BASE'!E62=0,"",'[1]BASE'!E62)</f>
        <v>500</v>
      </c>
      <c r="F62" s="901">
        <f>IF('[1]BASE'!F62=0,"",'[1]BASE'!F62)</f>
        <v>289</v>
      </c>
      <c r="G62" s="902" t="str">
        <f>IF('[1]BASE'!G62=0,"",'[1]BASE'!G62)</f>
        <v>C</v>
      </c>
      <c r="H62" s="901">
        <f>IF('[1]BASE'!DN62=0,"",'[1]BASE'!DN62)</f>
      </c>
      <c r="I62" s="901">
        <f>IF('[1]BASE'!DO62=0,"",'[1]BASE'!DO62)</f>
      </c>
      <c r="J62" s="901">
        <f>IF('[1]BASE'!DP62=0,"",'[1]BASE'!DP62)</f>
      </c>
      <c r="K62" s="901">
        <f>IF('[1]BASE'!DQ62=0,"",'[1]BASE'!DQ62)</f>
      </c>
      <c r="L62" s="901">
        <f>IF('[1]BASE'!DR62=0,"",'[1]BASE'!DR62)</f>
      </c>
      <c r="M62" s="901">
        <f>IF('[1]BASE'!DS62=0,"",'[1]BASE'!DS62)</f>
      </c>
      <c r="N62" s="901">
        <f>IF('[1]BASE'!DT62=0,"",'[1]BASE'!DT62)</f>
      </c>
      <c r="O62" s="901">
        <f>IF('[1]BASE'!DU62=0,"",'[1]BASE'!DU62)</f>
      </c>
      <c r="P62" s="901">
        <f>IF('[1]BASE'!DV62=0,"",'[1]BASE'!DV62)</f>
      </c>
      <c r="Q62" s="901">
        <f>IF('[1]BASE'!DW62=0,"",'[1]BASE'!DW62)</f>
        <v>1</v>
      </c>
      <c r="R62" s="899">
        <f>IF('[1]BASE'!DX62=0,"",'[1]BASE'!DX62)</f>
      </c>
      <c r="S62" s="899">
        <f>IF('[1]BASE'!DY62=0,"",'[1]BASE'!DY62)</f>
      </c>
      <c r="T62" s="900"/>
      <c r="U62" s="896"/>
    </row>
    <row r="63" spans="2:21" s="890" customFormat="1" ht="19.5" customHeight="1">
      <c r="B63" s="891"/>
      <c r="C63" s="903">
        <f>IF('[1]BASE'!C63=0,"",'[1]BASE'!C63)</f>
        <v>47</v>
      </c>
      <c r="D63" s="903" t="str">
        <f>IF('[1]BASE'!D63=0,"",'[1]BASE'!D63)</f>
        <v>SANTO TOME - ROMANG </v>
      </c>
      <c r="E63" s="903">
        <f>IF('[1]BASE'!E63=0,"",'[1]BASE'!E63)</f>
        <v>500</v>
      </c>
      <c r="F63" s="903">
        <f>IF('[1]BASE'!F63=0,"",'[1]BASE'!F63)</f>
        <v>270</v>
      </c>
      <c r="G63" s="904" t="str">
        <f>IF('[1]BASE'!G63=0,"",'[1]BASE'!G63)</f>
        <v>A</v>
      </c>
      <c r="H63" s="903">
        <f>IF('[1]BASE'!DN63=0,"",'[1]BASE'!DN63)</f>
      </c>
      <c r="I63" s="903">
        <f>IF('[1]BASE'!DO63=0,"",'[1]BASE'!DO63)</f>
      </c>
      <c r="J63" s="903">
        <f>IF('[1]BASE'!DP63=0,"",'[1]BASE'!DP63)</f>
      </c>
      <c r="K63" s="903">
        <f>IF('[1]BASE'!DQ63=0,"",'[1]BASE'!DQ63)</f>
      </c>
      <c r="L63" s="903">
        <f>IF('[1]BASE'!DR63=0,"",'[1]BASE'!DR63)</f>
      </c>
      <c r="M63" s="903">
        <f>IF('[1]BASE'!DS63=0,"",'[1]BASE'!DS63)</f>
      </c>
      <c r="N63" s="903">
        <f>IF('[1]BASE'!DT63=0,"",'[1]BASE'!DT63)</f>
        <v>1</v>
      </c>
      <c r="O63" s="903">
        <f>IF('[1]BASE'!DU63=0,"",'[1]BASE'!DU63)</f>
      </c>
      <c r="P63" s="903">
        <f>IF('[1]BASE'!DV63=0,"",'[1]BASE'!DV63)</f>
      </c>
      <c r="Q63" s="903">
        <f>IF('[1]BASE'!DW63=0,"",'[1]BASE'!DW63)</f>
      </c>
      <c r="R63" s="899">
        <f>IF('[1]BASE'!DX63=0,"",'[1]BASE'!DX63)</f>
      </c>
      <c r="S63" s="899">
        <f>IF('[1]BASE'!DY63=0,"",'[1]BASE'!DY63)</f>
      </c>
      <c r="T63" s="900"/>
      <c r="U63" s="896"/>
    </row>
    <row r="64" spans="2:21" s="890" customFormat="1" ht="19.5" customHeight="1">
      <c r="B64" s="891"/>
      <c r="C64" s="901">
        <f>IF('[1]BASE'!C64=0,"",'[1]BASE'!C64)</f>
      </c>
      <c r="D64" s="901">
        <f>IF('[1]BASE'!D64=0,"",'[1]BASE'!D64)</f>
      </c>
      <c r="E64" s="901">
        <f>IF('[1]BASE'!E64=0,"",'[1]BASE'!E64)</f>
      </c>
      <c r="F64" s="901">
        <f>IF('[1]BASE'!F64=0,"",'[1]BASE'!F64)</f>
      </c>
      <c r="G64" s="902">
        <f>IF('[1]BASE'!G64=0,"",'[1]BASE'!G64)</f>
      </c>
      <c r="H64" s="901">
        <f>IF('[1]BASE'!DN64=0,"",'[1]BASE'!DN64)</f>
      </c>
      <c r="I64" s="901">
        <f>IF('[1]BASE'!DO64=0,"",'[1]BASE'!DO64)</f>
      </c>
      <c r="J64" s="901">
        <f>IF('[1]BASE'!DP64=0,"",'[1]BASE'!DP64)</f>
      </c>
      <c r="K64" s="901">
        <f>IF('[1]BASE'!DQ64=0,"",'[1]BASE'!DQ64)</f>
      </c>
      <c r="L64" s="901">
        <f>IF('[1]BASE'!DR64=0,"",'[1]BASE'!DR64)</f>
      </c>
      <c r="M64" s="901">
        <f>IF('[1]BASE'!DS64=0,"",'[1]BASE'!DS64)</f>
      </c>
      <c r="N64" s="901">
        <f>IF('[1]BASE'!DT64=0,"",'[1]BASE'!DT64)</f>
      </c>
      <c r="O64" s="901">
        <f>IF('[1]BASE'!DU64=0,"",'[1]BASE'!DU64)</f>
      </c>
      <c r="P64" s="901">
        <f>IF('[1]BASE'!DV64=0,"",'[1]BASE'!DV64)</f>
      </c>
      <c r="Q64" s="901">
        <f>IF('[1]BASE'!DW64=0,"",'[1]BASE'!DW64)</f>
      </c>
      <c r="R64" s="899">
        <f>IF('[1]BASE'!DX64=0,"",'[1]BASE'!DX64)</f>
      </c>
      <c r="S64" s="899">
        <f>IF('[1]BASE'!DY64=0,"",'[1]BASE'!DY64)</f>
      </c>
      <c r="T64" s="900"/>
      <c r="U64" s="896"/>
    </row>
    <row r="65" spans="2:21" s="890" customFormat="1" ht="19.5" customHeight="1">
      <c r="B65" s="891"/>
      <c r="C65" s="903">
        <f>IF('[1]BASE'!C65=0,"",'[1]BASE'!C65)</f>
        <v>48</v>
      </c>
      <c r="D65" s="903" t="str">
        <f>IF('[1]BASE'!D65=0,"",'[1]BASE'!D65)</f>
        <v>GRAL. RODRIGUEZ - VILLA  LIA 1</v>
      </c>
      <c r="E65" s="903">
        <f>IF('[1]BASE'!E65=0,"",'[1]BASE'!E65)</f>
        <v>220</v>
      </c>
      <c r="F65" s="903">
        <f>IF('[1]BASE'!F65=0,"",'[1]BASE'!F65)</f>
        <v>61</v>
      </c>
      <c r="G65" s="904" t="str">
        <f>IF('[1]BASE'!G65=0,"",'[1]BASE'!G65)</f>
        <v>C</v>
      </c>
      <c r="H65" s="903">
        <f>IF('[1]BASE'!DN65=0,"",'[1]BASE'!DN65)</f>
      </c>
      <c r="I65" s="903">
        <f>IF('[1]BASE'!DO65=0,"",'[1]BASE'!DO65)</f>
      </c>
      <c r="J65" s="903">
        <f>IF('[1]BASE'!DP65=0,"",'[1]BASE'!DP65)</f>
      </c>
      <c r="K65" s="903">
        <f>IF('[1]BASE'!DQ65=0,"",'[1]BASE'!DQ65)</f>
      </c>
      <c r="L65" s="903">
        <f>IF('[1]BASE'!DR65=0,"",'[1]BASE'!DR65)</f>
      </c>
      <c r="M65" s="903">
        <f>IF('[1]BASE'!DS65=0,"",'[1]BASE'!DS65)</f>
        <v>1</v>
      </c>
      <c r="N65" s="903">
        <f>IF('[1]BASE'!DT65=0,"",'[1]BASE'!DT65)</f>
      </c>
      <c r="O65" s="903">
        <f>IF('[1]BASE'!DU65=0,"",'[1]BASE'!DU65)</f>
      </c>
      <c r="P65" s="903">
        <f>IF('[1]BASE'!DV65=0,"",'[1]BASE'!DV65)</f>
      </c>
      <c r="Q65" s="903">
        <f>IF('[1]BASE'!DW65=0,"",'[1]BASE'!DW65)</f>
      </c>
      <c r="R65" s="899">
        <f>IF('[1]BASE'!DX65=0,"",'[1]BASE'!DX65)</f>
      </c>
      <c r="S65" s="899">
        <f>IF('[1]BASE'!DY65=0,"",'[1]BASE'!DY65)</f>
      </c>
      <c r="T65" s="900"/>
      <c r="U65" s="896"/>
    </row>
    <row r="66" spans="2:21" s="890" customFormat="1" ht="19.5" customHeight="1">
      <c r="B66" s="891"/>
      <c r="C66" s="901">
        <f>IF('[1]BASE'!C66=0,"",'[1]BASE'!C66)</f>
        <v>49</v>
      </c>
      <c r="D66" s="901" t="str">
        <f>IF('[1]BASE'!D66=0,"",'[1]BASE'!D66)</f>
        <v>GRAL. RODRIGUEZ - VILLA  LIA 2</v>
      </c>
      <c r="E66" s="901">
        <f>IF('[1]BASE'!E66=0,"",'[1]BASE'!E66)</f>
        <v>220</v>
      </c>
      <c r="F66" s="901">
        <f>IF('[1]BASE'!F66=0,"",'[1]BASE'!F66)</f>
        <v>61</v>
      </c>
      <c r="G66" s="902" t="str">
        <f>IF('[1]BASE'!G66=0,"",'[1]BASE'!G66)</f>
        <v>C</v>
      </c>
      <c r="H66" s="901">
        <f>IF('[1]BASE'!DN66=0,"",'[1]BASE'!DN66)</f>
      </c>
      <c r="I66" s="901">
        <f>IF('[1]BASE'!DO66=0,"",'[1]BASE'!DO66)</f>
      </c>
      <c r="J66" s="901">
        <f>IF('[1]BASE'!DP66=0,"",'[1]BASE'!DP66)</f>
      </c>
      <c r="K66" s="901">
        <f>IF('[1]BASE'!DQ66=0,"",'[1]BASE'!DQ66)</f>
      </c>
      <c r="L66" s="901">
        <f>IF('[1]BASE'!DR66=0,"",'[1]BASE'!DR66)</f>
      </c>
      <c r="M66" s="901">
        <f>IF('[1]BASE'!DS66=0,"",'[1]BASE'!DS66)</f>
      </c>
      <c r="N66" s="901">
        <f>IF('[1]BASE'!DT66=0,"",'[1]BASE'!DT66)</f>
      </c>
      <c r="O66" s="901">
        <f>IF('[1]BASE'!DU66=0,"",'[1]BASE'!DU66)</f>
      </c>
      <c r="P66" s="901">
        <f>IF('[1]BASE'!DV66=0,"",'[1]BASE'!DV66)</f>
      </c>
      <c r="Q66" s="901">
        <f>IF('[1]BASE'!DW66=0,"",'[1]BASE'!DW66)</f>
      </c>
      <c r="R66" s="899">
        <f>IF('[1]BASE'!DX66=0,"",'[1]BASE'!DX66)</f>
      </c>
      <c r="S66" s="899">
        <f>IF('[1]BASE'!DY66=0,"",'[1]BASE'!DY66)</f>
      </c>
      <c r="T66" s="900"/>
      <c r="U66" s="896"/>
    </row>
    <row r="67" spans="2:21" s="890" customFormat="1" ht="19.5" customHeight="1">
      <c r="B67" s="891"/>
      <c r="C67" s="903">
        <f>IF('[1]BASE'!C67=0,"",'[1]BASE'!C67)</f>
        <v>50</v>
      </c>
      <c r="D67" s="903" t="str">
        <f>IF('[1]BASE'!D67=0,"",'[1]BASE'!D67)</f>
        <v>RAMALLO - SAN NICOLAS (2)</v>
      </c>
      <c r="E67" s="903">
        <f>IF('[1]BASE'!E67=0,"",'[1]BASE'!E67)</f>
        <v>220</v>
      </c>
      <c r="F67" s="903">
        <f>IF('[1]BASE'!F67=0,"",'[1]BASE'!F67)</f>
        <v>6</v>
      </c>
      <c r="G67" s="904" t="str">
        <f>IF('[1]BASE'!G67=0,"",'[1]BASE'!G67)</f>
        <v>C</v>
      </c>
      <c r="H67" s="903">
        <f>IF('[1]BASE'!DN67=0,"",'[1]BASE'!DN67)</f>
      </c>
      <c r="I67" s="903">
        <f>IF('[1]BASE'!DO67=0,"",'[1]BASE'!DO67)</f>
      </c>
      <c r="J67" s="903">
        <f>IF('[1]BASE'!DP67=0,"",'[1]BASE'!DP67)</f>
      </c>
      <c r="K67" s="903">
        <f>IF('[1]BASE'!DQ67=0,"",'[1]BASE'!DQ67)</f>
      </c>
      <c r="L67" s="903">
        <f>IF('[1]BASE'!DR67=0,"",'[1]BASE'!DR67)</f>
      </c>
      <c r="M67" s="903">
        <f>IF('[1]BASE'!DS67=0,"",'[1]BASE'!DS67)</f>
      </c>
      <c r="N67" s="903">
        <f>IF('[1]BASE'!DT67=0,"",'[1]BASE'!DT67)</f>
      </c>
      <c r="O67" s="903">
        <f>IF('[1]BASE'!DU67=0,"",'[1]BASE'!DU67)</f>
      </c>
      <c r="P67" s="903">
        <f>IF('[1]BASE'!DV67=0,"",'[1]BASE'!DV67)</f>
      </c>
      <c r="Q67" s="903">
        <f>IF('[1]BASE'!DW67=0,"",'[1]BASE'!DW67)</f>
      </c>
      <c r="R67" s="899">
        <f>IF('[1]BASE'!DX67=0,"",'[1]BASE'!DX67)</f>
      </c>
      <c r="S67" s="899">
        <f>IF('[1]BASE'!DY67=0,"",'[1]BASE'!DY67)</f>
      </c>
      <c r="T67" s="900"/>
      <c r="U67" s="896"/>
    </row>
    <row r="68" spans="2:21" s="890" customFormat="1" ht="19.5" customHeight="1">
      <c r="B68" s="891"/>
      <c r="C68" s="901">
        <f>IF('[1]BASE'!C68=0,"",'[1]BASE'!C68)</f>
        <v>51</v>
      </c>
      <c r="D68" s="901" t="str">
        <f>IF('[1]BASE'!D68=0,"",'[1]BASE'!D68)</f>
        <v>RAMALLO - SAN NICOLAS (1)</v>
      </c>
      <c r="E68" s="901">
        <f>IF('[1]BASE'!E68=0,"",'[1]BASE'!E68)</f>
        <v>220</v>
      </c>
      <c r="F68" s="901">
        <f>IF('[1]BASE'!F68=0,"",'[1]BASE'!F68)</f>
        <v>6</v>
      </c>
      <c r="G68" s="902" t="str">
        <f>IF('[1]BASE'!G68=0,"",'[1]BASE'!G68)</f>
        <v>C</v>
      </c>
      <c r="H68" s="901">
        <f>IF('[1]BASE'!DN68=0,"",'[1]BASE'!DN68)</f>
      </c>
      <c r="I68" s="901">
        <f>IF('[1]BASE'!DO68=0,"",'[1]BASE'!DO68)</f>
      </c>
      <c r="J68" s="901">
        <f>IF('[1]BASE'!DP68=0,"",'[1]BASE'!DP68)</f>
      </c>
      <c r="K68" s="901">
        <f>IF('[1]BASE'!DQ68=0,"",'[1]BASE'!DQ68)</f>
      </c>
      <c r="L68" s="901">
        <f>IF('[1]BASE'!DR68=0,"",'[1]BASE'!DR68)</f>
      </c>
      <c r="M68" s="901">
        <f>IF('[1]BASE'!DS68=0,"",'[1]BASE'!DS68)</f>
      </c>
      <c r="N68" s="901">
        <f>IF('[1]BASE'!DT68=0,"",'[1]BASE'!DT68)</f>
      </c>
      <c r="O68" s="901">
        <f>IF('[1]BASE'!DU68=0,"",'[1]BASE'!DU68)</f>
      </c>
      <c r="P68" s="901">
        <f>IF('[1]BASE'!DV68=0,"",'[1]BASE'!DV68)</f>
      </c>
      <c r="Q68" s="901">
        <f>IF('[1]BASE'!DW68=0,"",'[1]BASE'!DW68)</f>
        <v>1</v>
      </c>
      <c r="R68" s="899">
        <f>IF('[1]BASE'!DX68=0,"",'[1]BASE'!DX68)</f>
      </c>
      <c r="S68" s="899">
        <f>IF('[1]BASE'!DY68=0,"",'[1]BASE'!DY68)</f>
      </c>
      <c r="T68" s="900"/>
      <c r="U68" s="896"/>
    </row>
    <row r="69" spans="2:21" s="890" customFormat="1" ht="19.5" customHeight="1">
      <c r="B69" s="891"/>
      <c r="C69" s="903">
        <f>IF('[1]BASE'!C69=0,"",'[1]BASE'!C69)</f>
        <v>52</v>
      </c>
      <c r="D69" s="903" t="str">
        <f>IF('[1]BASE'!D69=0,"",'[1]BASE'!D69)</f>
        <v>RAMALLO - VILLA LIA  1</v>
      </c>
      <c r="E69" s="903">
        <f>IF('[1]BASE'!E69=0,"",'[1]BASE'!E69)</f>
        <v>220</v>
      </c>
      <c r="F69" s="904">
        <f>IF('[1]BASE'!F69=0,"",'[1]BASE'!F69)</f>
        <v>114</v>
      </c>
      <c r="G69" s="904" t="str">
        <f>IF('[1]BASE'!G69=0,"",'[1]BASE'!G69)</f>
        <v>C</v>
      </c>
      <c r="H69" s="904">
        <f>IF('[1]BASE'!DN69=0,"",'[1]BASE'!DN69)</f>
      </c>
      <c r="I69" s="904">
        <f>IF('[1]BASE'!DO69=0,"",'[1]BASE'!DO69)</f>
      </c>
      <c r="J69" s="904">
        <f>IF('[1]BASE'!DP69=0,"",'[1]BASE'!DP69)</f>
        <v>1</v>
      </c>
      <c r="K69" s="904">
        <f>IF('[1]BASE'!DQ69=0,"",'[1]BASE'!DQ69)</f>
        <v>1</v>
      </c>
      <c r="L69" s="904">
        <f>IF('[1]BASE'!DR69=0,"",'[1]BASE'!DR69)</f>
      </c>
      <c r="M69" s="904">
        <f>IF('[1]BASE'!DS69=0,"",'[1]BASE'!DS69)</f>
      </c>
      <c r="N69" s="904">
        <f>IF('[1]BASE'!DT69=0,"",'[1]BASE'!DT69)</f>
      </c>
      <c r="O69" s="904">
        <f>IF('[1]BASE'!DU69=0,"",'[1]BASE'!DU69)</f>
      </c>
      <c r="P69" s="904">
        <f>IF('[1]BASE'!DV69=0,"",'[1]BASE'!DV69)</f>
      </c>
      <c r="Q69" s="904">
        <f>IF('[1]BASE'!DW69=0,"",'[1]BASE'!DW69)</f>
      </c>
      <c r="R69" s="899">
        <f>IF('[1]BASE'!DX69=0,"",'[1]BASE'!DX69)</f>
      </c>
      <c r="S69" s="899">
        <f>IF('[1]BASE'!DY69=0,"",'[1]BASE'!DY69)</f>
      </c>
      <c r="T69" s="900"/>
      <c r="U69" s="896"/>
    </row>
    <row r="70" spans="2:21" s="890" customFormat="1" ht="19.5" customHeight="1">
      <c r="B70" s="891"/>
      <c r="C70" s="901">
        <f>IF('[1]BASE'!C70=0,"",'[1]BASE'!C70)</f>
        <v>53</v>
      </c>
      <c r="D70" s="901" t="str">
        <f>IF('[1]BASE'!D70=0,"",'[1]BASE'!D70)</f>
        <v>RAMALLO - VILLA LIA  2</v>
      </c>
      <c r="E70" s="901">
        <f>IF('[1]BASE'!E70=0,"",'[1]BASE'!E70)</f>
        <v>220</v>
      </c>
      <c r="F70" s="902">
        <f>IF('[1]BASE'!F70=0,"",'[1]BASE'!F70)</f>
        <v>114</v>
      </c>
      <c r="G70" s="902" t="str">
        <f>IF('[1]BASE'!G70=0,"",'[1]BASE'!G70)</f>
        <v>C</v>
      </c>
      <c r="H70" s="902">
        <f>IF('[1]BASE'!DN70=0,"",'[1]BASE'!DN70)</f>
      </c>
      <c r="I70" s="902">
        <f>IF('[1]BASE'!DO70=0,"",'[1]BASE'!DO70)</f>
      </c>
      <c r="J70" s="902">
        <f>IF('[1]BASE'!DP70=0,"",'[1]BASE'!DP70)</f>
      </c>
      <c r="K70" s="902">
        <f>IF('[1]BASE'!DQ70=0,"",'[1]BASE'!DQ70)</f>
      </c>
      <c r="L70" s="902">
        <f>IF('[1]BASE'!DR70=0,"",'[1]BASE'!DR70)</f>
      </c>
      <c r="M70" s="902">
        <f>IF('[1]BASE'!DS70=0,"",'[1]BASE'!DS70)</f>
      </c>
      <c r="N70" s="902">
        <f>IF('[1]BASE'!DT70=0,"",'[1]BASE'!DT70)</f>
      </c>
      <c r="O70" s="902">
        <f>IF('[1]BASE'!DU70=0,"",'[1]BASE'!DU70)</f>
      </c>
      <c r="P70" s="902">
        <f>IF('[1]BASE'!DV70=0,"",'[1]BASE'!DV70)</f>
      </c>
      <c r="Q70" s="902">
        <f>IF('[1]BASE'!DW70=0,"",'[1]BASE'!DW70)</f>
      </c>
      <c r="R70" s="899">
        <f>IF('[1]BASE'!DX70=0,"",'[1]BASE'!DX70)</f>
      </c>
      <c r="S70" s="899">
        <f>IF('[1]BASE'!DY70=0,"",'[1]BASE'!DY70)</f>
      </c>
      <c r="T70" s="900"/>
      <c r="U70" s="896"/>
    </row>
    <row r="71" spans="2:21" s="890" customFormat="1" ht="19.5" customHeight="1">
      <c r="B71" s="891"/>
      <c r="C71" s="903">
        <f>IF('[1]BASE'!C71=0,"",'[1]BASE'!C71)</f>
        <v>54</v>
      </c>
      <c r="D71" s="903" t="str">
        <f>IF('[1]BASE'!D71=0,"",'[1]BASE'!D71)</f>
        <v>ROSARIO OESTE - RAMALLO  1</v>
      </c>
      <c r="E71" s="903">
        <f>IF('[1]BASE'!E71=0,"",'[1]BASE'!E71)</f>
        <v>220</v>
      </c>
      <c r="F71" s="904">
        <f>IF('[1]BASE'!F71=0,"",'[1]BASE'!F71)</f>
        <v>77</v>
      </c>
      <c r="G71" s="904" t="str">
        <f>IF('[1]BASE'!G71=0,"",'[1]BASE'!G71)</f>
        <v>C</v>
      </c>
      <c r="H71" s="904">
        <f>IF('[1]BASE'!DN71=0,"",'[1]BASE'!DN71)</f>
      </c>
      <c r="I71" s="904">
        <f>IF('[1]BASE'!DO71=0,"",'[1]BASE'!DO71)</f>
      </c>
      <c r="J71" s="904">
        <f>IF('[1]BASE'!DP71=0,"",'[1]BASE'!DP71)</f>
      </c>
      <c r="K71" s="904">
        <f>IF('[1]BASE'!DQ71=0,"",'[1]BASE'!DQ71)</f>
      </c>
      <c r="L71" s="904">
        <f>IF('[1]BASE'!DR71=0,"",'[1]BASE'!DR71)</f>
      </c>
      <c r="M71" s="904">
        <f>IF('[1]BASE'!DS71=0,"",'[1]BASE'!DS71)</f>
      </c>
      <c r="N71" s="904">
        <f>IF('[1]BASE'!DT71=0,"",'[1]BASE'!DT71)</f>
        <v>1</v>
      </c>
      <c r="O71" s="904">
        <f>IF('[1]BASE'!DU71=0,"",'[1]BASE'!DU71)</f>
      </c>
      <c r="P71" s="904">
        <f>IF('[1]BASE'!DV71=0,"",'[1]BASE'!DV71)</f>
      </c>
      <c r="Q71" s="904">
        <f>IF('[1]BASE'!DW71=0,"",'[1]BASE'!DW71)</f>
      </c>
      <c r="R71" s="899">
        <f>IF('[1]BASE'!DX71=0,"",'[1]BASE'!DX71)</f>
      </c>
      <c r="S71" s="899">
        <f>IF('[1]BASE'!DY71=0,"",'[1]BASE'!DY71)</f>
      </c>
      <c r="T71" s="900"/>
      <c r="U71" s="896"/>
    </row>
    <row r="72" spans="2:21" s="890" customFormat="1" ht="19.5" customHeight="1">
      <c r="B72" s="891"/>
      <c r="C72" s="901">
        <f>IF('[1]BASE'!C72=0,"",'[1]BASE'!C72)</f>
        <v>55</v>
      </c>
      <c r="D72" s="901" t="str">
        <f>IF('[1]BASE'!D72=0,"",'[1]BASE'!D72)</f>
        <v>ROSARIO OESTE - RAMALLO  2</v>
      </c>
      <c r="E72" s="901">
        <f>IF('[1]BASE'!E72=0,"",'[1]BASE'!E72)</f>
        <v>220</v>
      </c>
      <c r="F72" s="902">
        <f>IF('[1]BASE'!F72=0,"",'[1]BASE'!F72)</f>
        <v>77</v>
      </c>
      <c r="G72" s="902" t="str">
        <f>IF('[1]BASE'!G72=0,"",'[1]BASE'!G72)</f>
        <v>C</v>
      </c>
      <c r="H72" s="902">
        <f>IF('[1]BASE'!DN72=0,"",'[1]BASE'!DN72)</f>
      </c>
      <c r="I72" s="902">
        <f>IF('[1]BASE'!DO72=0,"",'[1]BASE'!DO72)</f>
      </c>
      <c r="J72" s="902">
        <f>IF('[1]BASE'!DP72=0,"",'[1]BASE'!DP72)</f>
      </c>
      <c r="K72" s="902">
        <f>IF('[1]BASE'!DQ72=0,"",'[1]BASE'!DQ72)</f>
      </c>
      <c r="L72" s="902">
        <f>IF('[1]BASE'!DR72=0,"",'[1]BASE'!DR72)</f>
      </c>
      <c r="M72" s="902">
        <f>IF('[1]BASE'!DS72=0,"",'[1]BASE'!DS72)</f>
      </c>
      <c r="N72" s="902">
        <f>IF('[1]BASE'!DT72=0,"",'[1]BASE'!DT72)</f>
      </c>
      <c r="O72" s="902">
        <f>IF('[1]BASE'!DU72=0,"",'[1]BASE'!DU72)</f>
      </c>
      <c r="P72" s="902">
        <f>IF('[1]BASE'!DV72=0,"",'[1]BASE'!DV72)</f>
      </c>
      <c r="Q72" s="902">
        <f>IF('[1]BASE'!DW72=0,"",'[1]BASE'!DW72)</f>
        <v>1</v>
      </c>
      <c r="R72" s="899">
        <f>IF('[1]BASE'!DX72=0,"",'[1]BASE'!DX72)</f>
      </c>
      <c r="S72" s="899">
        <f>IF('[1]BASE'!DY72=0,"",'[1]BASE'!DY72)</f>
      </c>
      <c r="T72" s="900"/>
      <c r="U72" s="896"/>
    </row>
    <row r="73" spans="2:21" s="890" customFormat="1" ht="19.5" customHeight="1">
      <c r="B73" s="891"/>
      <c r="C73" s="903">
        <f>IF('[1]BASE'!C73=0,"",'[1]BASE'!C73)</f>
        <v>56</v>
      </c>
      <c r="D73" s="903" t="str">
        <f>IF('[1]BASE'!D73=0,"",'[1]BASE'!D73)</f>
        <v>VILLA LIA - ATUCHA 1</v>
      </c>
      <c r="E73" s="903">
        <f>IF('[1]BASE'!E73=0,"",'[1]BASE'!E73)</f>
        <v>220</v>
      </c>
      <c r="F73" s="903">
        <f>IF('[1]BASE'!F73=0,"",'[1]BASE'!F73)</f>
        <v>26</v>
      </c>
      <c r="G73" s="904" t="str">
        <f>IF('[1]BASE'!G73=0,"",'[1]BASE'!G73)</f>
        <v>C</v>
      </c>
      <c r="H73" s="903">
        <f>IF('[1]BASE'!DN73=0,"",'[1]BASE'!DN73)</f>
      </c>
      <c r="I73" s="903">
        <f>IF('[1]BASE'!DO73=0,"",'[1]BASE'!DO73)</f>
      </c>
      <c r="J73" s="903">
        <f>IF('[1]BASE'!DP73=0,"",'[1]BASE'!DP73)</f>
      </c>
      <c r="K73" s="903">
        <f>IF('[1]BASE'!DQ73=0,"",'[1]BASE'!DQ73)</f>
      </c>
      <c r="L73" s="903">
        <f>IF('[1]BASE'!DR73=0,"",'[1]BASE'!DR73)</f>
      </c>
      <c r="M73" s="903">
        <f>IF('[1]BASE'!DS73=0,"",'[1]BASE'!DS73)</f>
      </c>
      <c r="N73" s="903">
        <f>IF('[1]BASE'!DT73=0,"",'[1]BASE'!DT73)</f>
      </c>
      <c r="O73" s="903">
        <f>IF('[1]BASE'!DU73=0,"",'[1]BASE'!DU73)</f>
      </c>
      <c r="P73" s="903">
        <f>IF('[1]BASE'!DV73=0,"",'[1]BASE'!DV73)</f>
      </c>
      <c r="Q73" s="903">
        <f>IF('[1]BASE'!DW73=0,"",'[1]BASE'!DW73)</f>
      </c>
      <c r="R73" s="899">
        <f>IF('[1]BASE'!DX73=0,"",'[1]BASE'!DX73)</f>
      </c>
      <c r="S73" s="899">
        <f>IF('[1]BASE'!DY73=0,"",'[1]BASE'!DY73)</f>
      </c>
      <c r="T73" s="900"/>
      <c r="U73" s="896"/>
    </row>
    <row r="74" spans="2:21" s="890" customFormat="1" ht="19.5" customHeight="1">
      <c r="B74" s="891"/>
      <c r="C74" s="901">
        <f>IF('[1]BASE'!C74=0,"",'[1]BASE'!C74)</f>
        <v>57</v>
      </c>
      <c r="D74" s="901" t="str">
        <f>IF('[1]BASE'!D74=0,"",'[1]BASE'!D74)</f>
        <v>VILLA LIA - ATUCHA 2</v>
      </c>
      <c r="E74" s="901">
        <f>IF('[1]BASE'!E74=0,"",'[1]BASE'!E74)</f>
        <v>220</v>
      </c>
      <c r="F74" s="901">
        <f>IF('[1]BASE'!F74=0,"",'[1]BASE'!F74)</f>
        <v>26</v>
      </c>
      <c r="G74" s="902" t="str">
        <f>IF('[1]BASE'!G74=0,"",'[1]BASE'!G74)</f>
        <v>C</v>
      </c>
      <c r="H74" s="901">
        <f>IF('[1]BASE'!DN74=0,"",'[1]BASE'!DN74)</f>
      </c>
      <c r="I74" s="901">
        <f>IF('[1]BASE'!DO74=0,"",'[1]BASE'!DO74)</f>
      </c>
      <c r="J74" s="901">
        <f>IF('[1]BASE'!DP74=0,"",'[1]BASE'!DP74)</f>
      </c>
      <c r="K74" s="901">
        <f>IF('[1]BASE'!DQ74=0,"",'[1]BASE'!DQ74)</f>
      </c>
      <c r="L74" s="901">
        <f>IF('[1]BASE'!DR74=0,"",'[1]BASE'!DR74)</f>
      </c>
      <c r="M74" s="901">
        <f>IF('[1]BASE'!DS74=0,"",'[1]BASE'!DS74)</f>
      </c>
      <c r="N74" s="901">
        <f>IF('[1]BASE'!DT74=0,"",'[1]BASE'!DT74)</f>
      </c>
      <c r="O74" s="901">
        <f>IF('[1]BASE'!DU74=0,"",'[1]BASE'!DU74)</f>
      </c>
      <c r="P74" s="901">
        <f>IF('[1]BASE'!DV74=0,"",'[1]BASE'!DV74)</f>
      </c>
      <c r="Q74" s="901">
        <f>IF('[1]BASE'!DW74=0,"",'[1]BASE'!DW74)</f>
      </c>
      <c r="R74" s="899">
        <f>IF('[1]BASE'!DX74=0,"",'[1]BASE'!DX74)</f>
      </c>
      <c r="S74" s="899">
        <f>IF('[1]BASE'!DY74=0,"",'[1]BASE'!DY74)</f>
      </c>
      <c r="T74" s="900"/>
      <c r="U74" s="896"/>
    </row>
    <row r="75" spans="2:21" s="890" customFormat="1" ht="19.5" customHeight="1">
      <c r="B75" s="891"/>
      <c r="C75" s="903">
        <f>IF('[1]BASE'!C75=0,"",'[1]BASE'!C75)</f>
      </c>
      <c r="D75" s="903">
        <f>IF('[1]BASE'!D75=0,"",'[1]BASE'!D75)</f>
      </c>
      <c r="E75" s="903">
        <f>IF('[1]BASE'!E75=0,"",'[1]BASE'!E75)</f>
      </c>
      <c r="F75" s="903">
        <f>IF('[1]BASE'!F75=0,"",'[1]BASE'!F75)</f>
      </c>
      <c r="G75" s="904">
        <f>IF('[1]BASE'!G75=0,"",'[1]BASE'!G75)</f>
      </c>
      <c r="H75" s="903">
        <f>IF('[1]BASE'!DN75=0,"",'[1]BASE'!DN75)</f>
      </c>
      <c r="I75" s="903">
        <f>IF('[1]BASE'!DO75=0,"",'[1]BASE'!DO75)</f>
      </c>
      <c r="J75" s="903">
        <f>IF('[1]BASE'!DP75=0,"",'[1]BASE'!DP75)</f>
      </c>
      <c r="K75" s="903">
        <f>IF('[1]BASE'!DQ75=0,"",'[1]BASE'!DQ75)</f>
      </c>
      <c r="L75" s="903">
        <f>IF('[1]BASE'!DR75=0,"",'[1]BASE'!DR75)</f>
      </c>
      <c r="M75" s="903">
        <f>IF('[1]BASE'!DS75=0,"",'[1]BASE'!DS75)</f>
      </c>
      <c r="N75" s="903">
        <f>IF('[1]BASE'!DT75=0,"",'[1]BASE'!DT75)</f>
      </c>
      <c r="O75" s="903">
        <f>IF('[1]BASE'!DU75=0,"",'[1]BASE'!DU75)</f>
      </c>
      <c r="P75" s="903">
        <f>IF('[1]BASE'!DV75=0,"",'[1]BASE'!DV75)</f>
      </c>
      <c r="Q75" s="903">
        <f>IF('[1]BASE'!DW75=0,"",'[1]BASE'!DW75)</f>
      </c>
      <c r="R75" s="899">
        <f>IF('[1]BASE'!DX75=0,"",'[1]BASE'!DX75)</f>
      </c>
      <c r="S75" s="899">
        <f>IF('[1]BASE'!DY75=0,"",'[1]BASE'!DY75)</f>
      </c>
      <c r="T75" s="900"/>
      <c r="U75" s="896"/>
    </row>
    <row r="76" spans="2:21" s="890" customFormat="1" ht="19.5" customHeight="1">
      <c r="B76" s="891"/>
      <c r="C76" s="901">
        <f>IF('[1]BASE'!C76=0,"",'[1]BASE'!C76)</f>
        <v>58</v>
      </c>
      <c r="D76" s="901" t="str">
        <f>IF('[1]BASE'!D76=0,"",'[1]BASE'!D76)</f>
        <v>GRAL RODRIGUEZ - RAMALLO</v>
      </c>
      <c r="E76" s="901">
        <f>IF('[1]BASE'!E76=0,"",'[1]BASE'!E76)</f>
        <v>500</v>
      </c>
      <c r="F76" s="902">
        <f>IF('[1]BASE'!F76=0,"",'[1]BASE'!F76)</f>
        <v>183.9</v>
      </c>
      <c r="G76" s="902" t="str">
        <f>IF('[1]BASE'!G76=0,"",'[1]BASE'!G76)</f>
        <v>C</v>
      </c>
      <c r="H76" s="902">
        <f>IF('[1]BASE'!DN76=0,"",'[1]BASE'!DN76)</f>
      </c>
      <c r="I76" s="902">
        <f>IF('[1]BASE'!DO76=0,"",'[1]BASE'!DO76)</f>
      </c>
      <c r="J76" s="902">
        <f>IF('[1]BASE'!DP76=0,"",'[1]BASE'!DP76)</f>
      </c>
      <c r="K76" s="902">
        <f>IF('[1]BASE'!DQ76=0,"",'[1]BASE'!DQ76)</f>
      </c>
      <c r="L76" s="902">
        <f>IF('[1]BASE'!DR76=0,"",'[1]BASE'!DR76)</f>
      </c>
      <c r="M76" s="902">
        <f>IF('[1]BASE'!DS76=0,"",'[1]BASE'!DS76)</f>
      </c>
      <c r="N76" s="902">
        <f>IF('[1]BASE'!DT76=0,"",'[1]BASE'!DT76)</f>
      </c>
      <c r="O76" s="902">
        <f>IF('[1]BASE'!DU76=0,"",'[1]BASE'!DU76)</f>
      </c>
      <c r="P76" s="902">
        <f>IF('[1]BASE'!DV76=0,"",'[1]BASE'!DV76)</f>
      </c>
      <c r="Q76" s="902">
        <f>IF('[1]BASE'!DW76=0,"",'[1]BASE'!DW76)</f>
      </c>
      <c r="R76" s="899">
        <f>IF('[1]BASE'!DX76=0,"",'[1]BASE'!DX76)</f>
      </c>
      <c r="S76" s="899">
        <f>IF('[1]BASE'!DY76=0,"",'[1]BASE'!DY76)</f>
      </c>
      <c r="T76" s="900"/>
      <c r="U76" s="896"/>
    </row>
    <row r="77" spans="2:21" s="890" customFormat="1" ht="19.5" customHeight="1">
      <c r="B77" s="891"/>
      <c r="C77" s="903">
        <f>IF('[1]BASE'!C77=0,"",'[1]BASE'!C77)</f>
        <v>59</v>
      </c>
      <c r="D77" s="903" t="str">
        <f>IF('[1]BASE'!D77=0,"",'[1]BASE'!D77)</f>
        <v>RAMALLO - ROSARIO OESTE</v>
      </c>
      <c r="E77" s="903">
        <f>IF('[1]BASE'!E77=0,"",'[1]BASE'!E77)</f>
        <v>500</v>
      </c>
      <c r="F77" s="904">
        <f>IF('[1]BASE'!F77=0,"",'[1]BASE'!F77)</f>
        <v>77</v>
      </c>
      <c r="G77" s="904" t="str">
        <f>IF('[1]BASE'!G77=0,"",'[1]BASE'!G77)</f>
        <v>C</v>
      </c>
      <c r="H77" s="904">
        <f>IF('[1]BASE'!DN77=0,"",'[1]BASE'!DN77)</f>
        <v>1</v>
      </c>
      <c r="I77" s="904">
        <f>IF('[1]BASE'!DO77=0,"",'[1]BASE'!DO77)</f>
      </c>
      <c r="J77" s="904">
        <f>IF('[1]BASE'!DP77=0,"",'[1]BASE'!DP77)</f>
      </c>
      <c r="K77" s="904">
        <f>IF('[1]BASE'!DQ77=0,"",'[1]BASE'!DQ77)</f>
      </c>
      <c r="L77" s="904">
        <f>IF('[1]BASE'!DR77=0,"",'[1]BASE'!DR77)</f>
      </c>
      <c r="M77" s="904">
        <f>IF('[1]BASE'!DS77=0,"",'[1]BASE'!DS77)</f>
      </c>
      <c r="N77" s="904">
        <f>IF('[1]BASE'!DT77=0,"",'[1]BASE'!DT77)</f>
      </c>
      <c r="O77" s="904">
        <f>IF('[1]BASE'!DU77=0,"",'[1]BASE'!DU77)</f>
      </c>
      <c r="P77" s="904">
        <f>IF('[1]BASE'!DV77=0,"",'[1]BASE'!DV77)</f>
      </c>
      <c r="Q77" s="904">
        <f>IF('[1]BASE'!DW77=0,"",'[1]BASE'!DW77)</f>
        <v>1</v>
      </c>
      <c r="R77" s="899">
        <f>IF('[1]BASE'!DX77=0,"",'[1]BASE'!DX77)</f>
      </c>
      <c r="S77" s="899">
        <f>IF('[1]BASE'!DY77=0,"",'[1]BASE'!DY77)</f>
      </c>
      <c r="T77" s="900"/>
      <c r="U77" s="896"/>
    </row>
    <row r="78" spans="2:21" s="890" customFormat="1" ht="19.5" customHeight="1">
      <c r="B78" s="891"/>
      <c r="C78" s="901">
        <f>IF('[1]BASE'!C78=0,"",'[1]BASE'!C78)</f>
        <v>60</v>
      </c>
      <c r="D78" s="901" t="str">
        <f>IF('[1]BASE'!D78=0,"",'[1]BASE'!D78)</f>
        <v>MACACHIN - HENDERSON</v>
      </c>
      <c r="E78" s="901">
        <f>IF('[1]BASE'!E78=0,"",'[1]BASE'!E78)</f>
        <v>500</v>
      </c>
      <c r="F78" s="902">
        <f>IF('[1]BASE'!F78=0,"",'[1]BASE'!F78)</f>
        <v>194</v>
      </c>
      <c r="G78" s="902" t="str">
        <f>IF('[1]BASE'!G78=0,"",'[1]BASE'!G78)</f>
        <v>A</v>
      </c>
      <c r="H78" s="902">
        <f>IF('[1]BASE'!DN78=0,"",'[1]BASE'!DN78)</f>
      </c>
      <c r="I78" s="902">
        <f>IF('[1]BASE'!DO78=0,"",'[1]BASE'!DO78)</f>
      </c>
      <c r="J78" s="902">
        <f>IF('[1]BASE'!DP78=0,"",'[1]BASE'!DP78)</f>
      </c>
      <c r="K78" s="902">
        <f>IF('[1]BASE'!DQ78=0,"",'[1]BASE'!DQ78)</f>
      </c>
      <c r="L78" s="902">
        <f>IF('[1]BASE'!DR78=0,"",'[1]BASE'!DR78)</f>
        <v>1</v>
      </c>
      <c r="M78" s="902">
        <f>IF('[1]BASE'!DS78=0,"",'[1]BASE'!DS78)</f>
      </c>
      <c r="N78" s="902">
        <f>IF('[1]BASE'!DT78=0,"",'[1]BASE'!DT78)</f>
      </c>
      <c r="O78" s="902">
        <f>IF('[1]BASE'!DU78=0,"",'[1]BASE'!DU78)</f>
        <v>1</v>
      </c>
      <c r="P78" s="902">
        <f>IF('[1]BASE'!DV78=0,"",'[1]BASE'!DV78)</f>
      </c>
      <c r="Q78" s="902">
        <f>IF('[1]BASE'!DW78=0,"",'[1]BASE'!DW78)</f>
      </c>
      <c r="R78" s="899">
        <f>IF('[1]BASE'!DX78=0,"",'[1]BASE'!DX78)</f>
      </c>
      <c r="S78" s="899">
        <f>IF('[1]BASE'!DY78=0,"",'[1]BASE'!DY78)</f>
      </c>
      <c r="T78" s="900"/>
      <c r="U78" s="896"/>
    </row>
    <row r="79" spans="2:21" s="890" customFormat="1" ht="19.5" customHeight="1">
      <c r="B79" s="891"/>
      <c r="C79" s="903">
        <f>IF('[1]BASE'!C79=0,"",'[1]BASE'!C79)</f>
        <v>61</v>
      </c>
      <c r="D79" s="903" t="str">
        <f>IF('[1]BASE'!D79=0,"",'[1]BASE'!D79)</f>
        <v>PUELCHES - MACACHIN</v>
      </c>
      <c r="E79" s="903">
        <f>IF('[1]BASE'!E79=0,"",'[1]BASE'!E79)</f>
        <v>500</v>
      </c>
      <c r="F79" s="903">
        <f>IF('[1]BASE'!F79=0,"",'[1]BASE'!F79)</f>
        <v>227</v>
      </c>
      <c r="G79" s="904" t="str">
        <f>IF('[1]BASE'!G79=0,"",'[1]BASE'!G79)</f>
        <v>A</v>
      </c>
      <c r="H79" s="903">
        <f>IF('[1]BASE'!DN79=0,"",'[1]BASE'!DN79)</f>
      </c>
      <c r="I79" s="903">
        <f>IF('[1]BASE'!DO79=0,"",'[1]BASE'!DO79)</f>
      </c>
      <c r="J79" s="903">
        <f>IF('[1]BASE'!DP79=0,"",'[1]BASE'!DP79)</f>
      </c>
      <c r="K79" s="903">
        <f>IF('[1]BASE'!DQ79=0,"",'[1]BASE'!DQ79)</f>
      </c>
      <c r="L79" s="903">
        <f>IF('[1]BASE'!DR79=0,"",'[1]BASE'!DR79)</f>
      </c>
      <c r="M79" s="903">
        <f>IF('[1]BASE'!DS79=0,"",'[1]BASE'!DS79)</f>
      </c>
      <c r="N79" s="903">
        <f>IF('[1]BASE'!DT79=0,"",'[1]BASE'!DT79)</f>
      </c>
      <c r="O79" s="903">
        <f>IF('[1]BASE'!DU79=0,"",'[1]BASE'!DU79)</f>
        <v>2</v>
      </c>
      <c r="P79" s="903">
        <f>IF('[1]BASE'!DV79=0,"",'[1]BASE'!DV79)</f>
      </c>
      <c r="Q79" s="903">
        <f>IF('[1]BASE'!DW79=0,"",'[1]BASE'!DW79)</f>
      </c>
      <c r="R79" s="899">
        <f>IF('[1]BASE'!DX79=0,"",'[1]BASE'!DX79)</f>
      </c>
      <c r="S79" s="899">
        <f>IF('[1]BASE'!DY79=0,"",'[1]BASE'!DY79)</f>
      </c>
      <c r="T79" s="900"/>
      <c r="U79" s="896"/>
    </row>
    <row r="80" spans="2:21" s="890" customFormat="1" ht="19.5" customHeight="1">
      <c r="B80" s="891"/>
      <c r="C80" s="901">
        <f>IF('[1]BASE'!C80=0,"",'[1]BASE'!C80)</f>
      </c>
      <c r="D80" s="901">
        <f>IF('[1]BASE'!D80=0,"",'[1]BASE'!D80)</f>
      </c>
      <c r="E80" s="901">
        <f>IF('[1]BASE'!E80=0,"",'[1]BASE'!E80)</f>
      </c>
      <c r="F80" s="902">
        <f>IF('[1]BASE'!F80=0,"",'[1]BASE'!F80)</f>
      </c>
      <c r="G80" s="902">
        <f>IF('[1]BASE'!G80=0,"",'[1]BASE'!G80)</f>
      </c>
      <c r="H80" s="902">
        <f>IF('[1]BASE'!DN80=0,"",'[1]BASE'!DN80)</f>
      </c>
      <c r="I80" s="902">
        <f>IF('[1]BASE'!DO80=0,"",'[1]BASE'!DO80)</f>
      </c>
      <c r="J80" s="902">
        <f>IF('[1]BASE'!DP80=0,"",'[1]BASE'!DP80)</f>
      </c>
      <c r="K80" s="902">
        <f>IF('[1]BASE'!DQ80=0,"",'[1]BASE'!DQ80)</f>
      </c>
      <c r="L80" s="902">
        <f>IF('[1]BASE'!DR80=0,"",'[1]BASE'!DR80)</f>
      </c>
      <c r="M80" s="902">
        <f>IF('[1]BASE'!DS80=0,"",'[1]BASE'!DS80)</f>
      </c>
      <c r="N80" s="902">
        <f>IF('[1]BASE'!DT80=0,"",'[1]BASE'!DT80)</f>
      </c>
      <c r="O80" s="902">
        <f>IF('[1]BASE'!DU80=0,"",'[1]BASE'!DU80)</f>
      </c>
      <c r="P80" s="902">
        <f>IF('[1]BASE'!DV80=0,"",'[1]BASE'!DV80)</f>
      </c>
      <c r="Q80" s="902">
        <f>IF('[1]BASE'!DW80=0,"",'[1]BASE'!DW80)</f>
      </c>
      <c r="R80" s="899">
        <f>IF('[1]BASE'!DX80=0,"",'[1]BASE'!DX80)</f>
      </c>
      <c r="S80" s="899">
        <f>IF('[1]BASE'!DY80=0,"",'[1]BASE'!DY80)</f>
      </c>
      <c r="T80" s="900"/>
      <c r="U80" s="896"/>
    </row>
    <row r="81" spans="2:21" s="890" customFormat="1" ht="19.5" customHeight="1">
      <c r="B81" s="891"/>
      <c r="C81" s="903">
        <f>IF('[1]BASE'!C81=0,"",'[1]BASE'!C81)</f>
      </c>
      <c r="D81" s="903">
        <f>IF('[1]BASE'!D81=0,"",'[1]BASE'!D81)</f>
      </c>
      <c r="E81" s="903">
        <f>IF('[1]BASE'!E81=0,"",'[1]BASE'!E81)</f>
      </c>
      <c r="F81" s="904">
        <f>IF('[1]BASE'!F81=0,"",'[1]BASE'!F81)</f>
      </c>
      <c r="G81" s="904">
        <f>IF('[1]BASE'!G81=0,"",'[1]BASE'!G81)</f>
      </c>
      <c r="H81" s="904">
        <f>IF('[1]BASE'!DN81=0,"",'[1]BASE'!DN81)</f>
      </c>
      <c r="I81" s="904">
        <f>IF('[1]BASE'!DO81=0,"",'[1]BASE'!DO81)</f>
      </c>
      <c r="J81" s="904">
        <f>IF('[1]BASE'!DP81=0,"",'[1]BASE'!DP81)</f>
      </c>
      <c r="K81" s="904">
        <f>IF('[1]BASE'!DQ81=0,"",'[1]BASE'!DQ81)</f>
      </c>
      <c r="L81" s="904">
        <f>IF('[1]BASE'!DR81=0,"",'[1]BASE'!DR81)</f>
      </c>
      <c r="M81" s="904">
        <f>IF('[1]BASE'!DS81=0,"",'[1]BASE'!DS81)</f>
      </c>
      <c r="N81" s="904">
        <f>IF('[1]BASE'!DT81=0,"",'[1]BASE'!DT81)</f>
      </c>
      <c r="O81" s="904">
        <f>IF('[1]BASE'!DU81=0,"",'[1]BASE'!DU81)</f>
      </c>
      <c r="P81" s="904">
        <f>IF('[1]BASE'!DV81=0,"",'[1]BASE'!DV81)</f>
      </c>
      <c r="Q81" s="904">
        <f>IF('[1]BASE'!DW81=0,"",'[1]BASE'!DW81)</f>
      </c>
      <c r="R81" s="899">
        <f>IF('[1]BASE'!DX81=0,"",'[1]BASE'!DX81)</f>
      </c>
      <c r="S81" s="899">
        <f>IF('[1]BASE'!DY81=0,"",'[1]BASE'!DY81)</f>
      </c>
      <c r="T81" s="900"/>
      <c r="U81" s="896"/>
    </row>
    <row r="82" spans="2:21" s="890" customFormat="1" ht="19.5" customHeight="1">
      <c r="B82" s="891"/>
      <c r="C82" s="901">
        <f>IF('[1]BASE'!C82=0,"",'[1]BASE'!C82)</f>
        <v>62</v>
      </c>
      <c r="D82" s="901" t="str">
        <f>IF('[1]BASE'!D82=0,"",'[1]BASE'!D82)</f>
        <v>YACYRETÁ - RINCON I</v>
      </c>
      <c r="E82" s="901">
        <f>IF('[1]BASE'!E82=0,"",'[1]BASE'!E82)</f>
        <v>500</v>
      </c>
      <c r="F82" s="902">
        <f>IF('[1]BASE'!F82=0,"",'[1]BASE'!F82)</f>
        <v>3.6</v>
      </c>
      <c r="G82" s="902" t="str">
        <f>IF('[1]BASE'!G82=0,"",'[1]BASE'!G82)</f>
        <v>B</v>
      </c>
      <c r="H82" s="902">
        <f>IF('[1]BASE'!DN82=0,"",'[1]BASE'!DN82)</f>
      </c>
      <c r="I82" s="902">
        <f>IF('[1]BASE'!DO82=0,"",'[1]BASE'!DO82)</f>
      </c>
      <c r="J82" s="902">
        <f>IF('[1]BASE'!DP82=0,"",'[1]BASE'!DP82)</f>
      </c>
      <c r="K82" s="902">
        <f>IF('[1]BASE'!DQ82=0,"",'[1]BASE'!DQ82)</f>
      </c>
      <c r="L82" s="902">
        <f>IF('[1]BASE'!DR82=0,"",'[1]BASE'!DR82)</f>
      </c>
      <c r="M82" s="902">
        <f>IF('[1]BASE'!DS82=0,"",'[1]BASE'!DS82)</f>
      </c>
      <c r="N82" s="902">
        <f>IF('[1]BASE'!DT82=0,"",'[1]BASE'!DT82)</f>
      </c>
      <c r="O82" s="902">
        <f>IF('[1]BASE'!DU82=0,"",'[1]BASE'!DU82)</f>
      </c>
      <c r="P82" s="902">
        <f>IF('[1]BASE'!DV82=0,"",'[1]BASE'!DV82)</f>
      </c>
      <c r="Q82" s="902">
        <f>IF('[1]BASE'!DW82=0,"",'[1]BASE'!DW82)</f>
      </c>
      <c r="R82" s="899">
        <f>IF('[1]BASE'!DX82=0,"",'[1]BASE'!DX82)</f>
      </c>
      <c r="S82" s="899">
        <f>IF('[1]BASE'!DY82=0,"",'[1]BASE'!DY82)</f>
      </c>
      <c r="T82" s="900"/>
      <c r="U82" s="896"/>
    </row>
    <row r="83" spans="2:21" s="890" customFormat="1" ht="19.5" customHeight="1">
      <c r="B83" s="891"/>
      <c r="C83" s="903">
        <f>IF('[1]BASE'!C83=0,"",'[1]BASE'!C83)</f>
        <v>63</v>
      </c>
      <c r="D83" s="903" t="str">
        <f>IF('[1]BASE'!D83=0,"",'[1]BASE'!D83)</f>
        <v>YACYRETÁ - RINCON II</v>
      </c>
      <c r="E83" s="903">
        <f>IF('[1]BASE'!E83=0,"",'[1]BASE'!E83)</f>
        <v>500</v>
      </c>
      <c r="F83" s="903">
        <f>IF('[1]BASE'!F83=0,"",'[1]BASE'!F83)</f>
        <v>3.6</v>
      </c>
      <c r="G83" s="904" t="str">
        <f>IF('[1]BASE'!G83=0,"",'[1]BASE'!G83)</f>
        <v>B</v>
      </c>
      <c r="H83" s="903">
        <f>IF('[1]BASE'!DN83=0,"",'[1]BASE'!DN83)</f>
      </c>
      <c r="I83" s="903">
        <f>IF('[1]BASE'!DO83=0,"",'[1]BASE'!DO83)</f>
      </c>
      <c r="J83" s="903">
        <f>IF('[1]BASE'!DP83=0,"",'[1]BASE'!DP83)</f>
      </c>
      <c r="K83" s="903">
        <f>IF('[1]BASE'!DQ83=0,"",'[1]BASE'!DQ83)</f>
      </c>
      <c r="L83" s="903">
        <f>IF('[1]BASE'!DR83=0,"",'[1]BASE'!DR83)</f>
      </c>
      <c r="M83" s="903">
        <f>IF('[1]BASE'!DS83=0,"",'[1]BASE'!DS83)</f>
      </c>
      <c r="N83" s="903">
        <f>IF('[1]BASE'!DT83=0,"",'[1]BASE'!DT83)</f>
      </c>
      <c r="O83" s="903">
        <f>IF('[1]BASE'!DU83=0,"",'[1]BASE'!DU83)</f>
      </c>
      <c r="P83" s="903">
        <f>IF('[1]BASE'!DV83=0,"",'[1]BASE'!DV83)</f>
      </c>
      <c r="Q83" s="903">
        <f>IF('[1]BASE'!DW83=0,"",'[1]BASE'!DW83)</f>
      </c>
      <c r="R83" s="899">
        <f>IF('[1]BASE'!DX83=0,"",'[1]BASE'!DX83)</f>
      </c>
      <c r="S83" s="899">
        <f>IF('[1]BASE'!DY83=0,"",'[1]BASE'!DY83)</f>
      </c>
      <c r="T83" s="900"/>
      <c r="U83" s="896"/>
    </row>
    <row r="84" spans="2:21" s="890" customFormat="1" ht="19.5" customHeight="1">
      <c r="B84" s="891"/>
      <c r="C84" s="901">
        <f>IF('[1]BASE'!C84=0,"",'[1]BASE'!C84)</f>
        <v>64</v>
      </c>
      <c r="D84" s="901" t="str">
        <f>IF('[1]BASE'!D84=0,"",'[1]BASE'!D84)</f>
        <v>YACYRETÁ - RINCON III</v>
      </c>
      <c r="E84" s="901">
        <f>IF('[1]BASE'!E84=0,"",'[1]BASE'!E84)</f>
        <v>500</v>
      </c>
      <c r="F84" s="902">
        <f>IF('[1]BASE'!F84=0,"",'[1]BASE'!F84)</f>
        <v>3.6</v>
      </c>
      <c r="G84" s="902" t="str">
        <f>IF('[1]BASE'!G84=0,"",'[1]BASE'!G84)</f>
        <v>B</v>
      </c>
      <c r="H84" s="902">
        <f>IF('[1]BASE'!DN84=0,"",'[1]BASE'!DN84)</f>
      </c>
      <c r="I84" s="902">
        <f>IF('[1]BASE'!DO84=0,"",'[1]BASE'!DO84)</f>
      </c>
      <c r="J84" s="902">
        <f>IF('[1]BASE'!DP84=0,"",'[1]BASE'!DP84)</f>
      </c>
      <c r="K84" s="902">
        <f>IF('[1]BASE'!DQ84=0,"",'[1]BASE'!DQ84)</f>
      </c>
      <c r="L84" s="902">
        <f>IF('[1]BASE'!DR84=0,"",'[1]BASE'!DR84)</f>
      </c>
      <c r="M84" s="902">
        <f>IF('[1]BASE'!DS84=0,"",'[1]BASE'!DS84)</f>
      </c>
      <c r="N84" s="902">
        <f>IF('[1]BASE'!DT84=0,"",'[1]BASE'!DT84)</f>
      </c>
      <c r="O84" s="902">
        <f>IF('[1]BASE'!DU84=0,"",'[1]BASE'!DU84)</f>
      </c>
      <c r="P84" s="902">
        <f>IF('[1]BASE'!DV84=0,"",'[1]BASE'!DV84)</f>
      </c>
      <c r="Q84" s="902">
        <f>IF('[1]BASE'!DW84=0,"",'[1]BASE'!DW84)</f>
      </c>
      <c r="R84" s="899">
        <f>IF('[1]BASE'!DX84=0,"",'[1]BASE'!DX84)</f>
      </c>
      <c r="S84" s="899">
        <f>IF('[1]BASE'!DY84=0,"",'[1]BASE'!DY84)</f>
      </c>
      <c r="T84" s="900"/>
      <c r="U84" s="896"/>
    </row>
    <row r="85" spans="2:21" s="890" customFormat="1" ht="19.5" customHeight="1">
      <c r="B85" s="891"/>
      <c r="C85" s="903">
        <f>IF('[1]BASE'!C85=0,"",'[1]BASE'!C85)</f>
        <v>65</v>
      </c>
      <c r="D85" s="903" t="str">
        <f>IF('[1]BASE'!D85=0,"",'[1]BASE'!D85)</f>
        <v>RINCON - PASO DE LA PATRIA</v>
      </c>
      <c r="E85" s="903">
        <f>IF('[1]BASE'!E85=0,"",'[1]BASE'!E85)</f>
        <v>500</v>
      </c>
      <c r="F85" s="904">
        <f>IF('[1]BASE'!F85=0,"",'[1]BASE'!F85)</f>
        <v>227</v>
      </c>
      <c r="G85" s="904" t="str">
        <f>IF('[1]BASE'!G85=0,"",'[1]BASE'!G85)</f>
        <v>A</v>
      </c>
      <c r="H85" s="904">
        <f>IF('[1]BASE'!DN85=0,"",'[1]BASE'!DN85)</f>
      </c>
      <c r="I85" s="904">
        <f>IF('[1]BASE'!DO85=0,"",'[1]BASE'!DO85)</f>
      </c>
      <c r="J85" s="904">
        <f>IF('[1]BASE'!DP85=0,"",'[1]BASE'!DP85)</f>
      </c>
      <c r="K85" s="904">
        <f>IF('[1]BASE'!DQ85=0,"",'[1]BASE'!DQ85)</f>
      </c>
      <c r="L85" s="904">
        <f>IF('[1]BASE'!DR85=0,"",'[1]BASE'!DR85)</f>
      </c>
      <c r="M85" s="904">
        <f>IF('[1]BASE'!DS85=0,"",'[1]BASE'!DS85)</f>
      </c>
      <c r="N85" s="904">
        <f>IF('[1]BASE'!DT85=0,"",'[1]BASE'!DT85)</f>
      </c>
      <c r="O85" s="904">
        <f>IF('[1]BASE'!DU85=0,"",'[1]BASE'!DU85)</f>
      </c>
      <c r="P85" s="904">
        <f>IF('[1]BASE'!DV85=0,"",'[1]BASE'!DV85)</f>
      </c>
      <c r="Q85" s="904">
        <f>IF('[1]BASE'!DW85=0,"",'[1]BASE'!DW85)</f>
      </c>
      <c r="R85" s="899">
        <f>IF('[1]BASE'!DX85=0,"",'[1]BASE'!DX85)</f>
      </c>
      <c r="S85" s="899">
        <f>IF('[1]BASE'!DY85=0,"",'[1]BASE'!DY85)</f>
      </c>
      <c r="T85" s="900"/>
      <c r="U85" s="896"/>
    </row>
    <row r="86" spans="2:21" s="890" customFormat="1" ht="19.5" customHeight="1">
      <c r="B86" s="891"/>
      <c r="C86" s="901">
        <f>IF('[1]BASE'!C86=0,"",'[1]BASE'!C86)</f>
        <v>66</v>
      </c>
      <c r="D86" s="901" t="str">
        <f>IF('[1]BASE'!D86=0,"",'[1]BASE'!D86)</f>
        <v>PASO DE LA PATRIA - RESISTENCIA</v>
      </c>
      <c r="E86" s="901">
        <f>IF('[1]BASE'!E86=0,"",'[1]BASE'!E86)</f>
        <v>500</v>
      </c>
      <c r="F86" s="902">
        <f>IF('[1]BASE'!F86=0,"",'[1]BASE'!F86)</f>
        <v>40</v>
      </c>
      <c r="G86" s="902" t="str">
        <f>IF('[1]BASE'!G86=0,"",'[1]BASE'!G86)</f>
        <v>C</v>
      </c>
      <c r="H86" s="902">
        <f>IF('[1]BASE'!DN86=0,"",'[1]BASE'!DN86)</f>
      </c>
      <c r="I86" s="902">
        <f>IF('[1]BASE'!DO86=0,"",'[1]BASE'!DO86)</f>
      </c>
      <c r="J86" s="902">
        <f>IF('[1]BASE'!DP86=0,"",'[1]BASE'!DP86)</f>
      </c>
      <c r="K86" s="902">
        <f>IF('[1]BASE'!DQ86=0,"",'[1]BASE'!DQ86)</f>
      </c>
      <c r="L86" s="902">
        <f>IF('[1]BASE'!DR86=0,"",'[1]BASE'!DR86)</f>
      </c>
      <c r="M86" s="902">
        <f>IF('[1]BASE'!DS86=0,"",'[1]BASE'!DS86)</f>
      </c>
      <c r="N86" s="902">
        <f>IF('[1]BASE'!DT86=0,"",'[1]BASE'!DT86)</f>
      </c>
      <c r="O86" s="902">
        <f>IF('[1]BASE'!DU86=0,"",'[1]BASE'!DU86)</f>
      </c>
      <c r="P86" s="902">
        <f>IF('[1]BASE'!DV86=0,"",'[1]BASE'!DV86)</f>
      </c>
      <c r="Q86" s="902">
        <f>IF('[1]BASE'!DW86=0,"",'[1]BASE'!DW86)</f>
        <v>1</v>
      </c>
      <c r="R86" s="899">
        <f>IF('[1]BASE'!DX86=0,"",'[1]BASE'!DX86)</f>
      </c>
      <c r="S86" s="899">
        <f>IF('[1]BASE'!DY86=0,"",'[1]BASE'!DY86)</f>
      </c>
      <c r="T86" s="900"/>
      <c r="U86" s="896"/>
    </row>
    <row r="87" spans="2:21" s="890" customFormat="1" ht="19.5" customHeight="1">
      <c r="B87" s="891"/>
      <c r="C87" s="903">
        <f>IF('[1]BASE'!C87=0,"",'[1]BASE'!C87)</f>
        <v>67</v>
      </c>
      <c r="D87" s="903" t="str">
        <f>IF('[1]BASE'!D87=0,"",'[1]BASE'!D87)</f>
        <v>RINCON - RESISTENCIA</v>
      </c>
      <c r="E87" s="903">
        <f>IF('[1]BASE'!E87=0,"",'[1]BASE'!E87)</f>
        <v>500</v>
      </c>
      <c r="F87" s="903">
        <f>IF('[1]BASE'!F87=0,"",'[1]BASE'!F87)</f>
        <v>267</v>
      </c>
      <c r="G87" s="904" t="str">
        <f>IF('[1]BASE'!G87=0,"",'[1]BASE'!G87)</f>
        <v>B</v>
      </c>
      <c r="H87" s="903" t="str">
        <f>IF('[1]BASE'!DN87=0,"",'[1]BASE'!DN87)</f>
        <v>XXXX</v>
      </c>
      <c r="I87" s="903" t="str">
        <f>IF('[1]BASE'!DO87=0,"",'[1]BASE'!DO87)</f>
        <v>XXXX</v>
      </c>
      <c r="J87" s="903" t="str">
        <f>IF('[1]BASE'!DP87=0,"",'[1]BASE'!DP87)</f>
        <v>XXXX</v>
      </c>
      <c r="K87" s="903" t="str">
        <f>IF('[1]BASE'!DQ87=0,"",'[1]BASE'!DQ87)</f>
        <v>XXXX</v>
      </c>
      <c r="L87" s="903" t="str">
        <f>IF('[1]BASE'!DR87=0,"",'[1]BASE'!DR87)</f>
        <v>XXXX</v>
      </c>
      <c r="M87" s="903" t="str">
        <f>IF('[1]BASE'!DS87=0,"",'[1]BASE'!DS87)</f>
        <v>XXXX</v>
      </c>
      <c r="N87" s="903" t="str">
        <f>IF('[1]BASE'!DT87=0,"",'[1]BASE'!DT87)</f>
        <v>XXXX</v>
      </c>
      <c r="O87" s="903" t="str">
        <f>IF('[1]BASE'!DU87=0,"",'[1]BASE'!DU87)</f>
        <v>XXXX</v>
      </c>
      <c r="P87" s="903" t="str">
        <f>IF('[1]BASE'!DV87=0,"",'[1]BASE'!DV87)</f>
        <v>XXXX</v>
      </c>
      <c r="Q87" s="903" t="str">
        <f>IF('[1]BASE'!DW87=0,"",'[1]BASE'!DW87)</f>
        <v>XXXX</v>
      </c>
      <c r="R87" s="899" t="str">
        <f>IF('[1]BASE'!DX87=0,"",'[1]BASE'!DX87)</f>
        <v>XXXX</v>
      </c>
      <c r="S87" s="899" t="str">
        <f>IF('[1]BASE'!DY87=0,"",'[1]BASE'!DY87)</f>
        <v>XXXX</v>
      </c>
      <c r="T87" s="900"/>
      <c r="U87" s="896"/>
    </row>
    <row r="88" spans="2:21" s="890" customFormat="1" ht="19.5" customHeight="1">
      <c r="B88" s="891"/>
      <c r="C88" s="901">
        <f>IF('[1]BASE'!C88=0,"",'[1]BASE'!C88)</f>
      </c>
      <c r="D88" s="901">
        <f>IF('[1]BASE'!D88=0,"",'[1]BASE'!D88)</f>
      </c>
      <c r="E88" s="901">
        <f>IF('[1]BASE'!E88=0,"",'[1]BASE'!E88)</f>
      </c>
      <c r="F88" s="902">
        <f>IF('[1]BASE'!F88=0,"",'[1]BASE'!F88)</f>
      </c>
      <c r="G88" s="902">
        <f>IF('[1]BASE'!G88=0,"",'[1]BASE'!G88)</f>
      </c>
      <c r="H88" s="902">
        <f>IF('[1]BASE'!DN88=0,"",'[1]BASE'!DN88)</f>
      </c>
      <c r="I88" s="902">
        <f>IF('[1]BASE'!DO88=0,"",'[1]BASE'!DO88)</f>
      </c>
      <c r="J88" s="902">
        <f>IF('[1]BASE'!DP88=0,"",'[1]BASE'!DP88)</f>
      </c>
      <c r="K88" s="902">
        <f>IF('[1]BASE'!DQ88=0,"",'[1]BASE'!DQ88)</f>
      </c>
      <c r="L88" s="902">
        <f>IF('[1]BASE'!DR88=0,"",'[1]BASE'!DR88)</f>
      </c>
      <c r="M88" s="902">
        <f>IF('[1]BASE'!DS88=0,"",'[1]BASE'!DS88)</f>
      </c>
      <c r="N88" s="902">
        <f>IF('[1]BASE'!DT88=0,"",'[1]BASE'!DT88)</f>
      </c>
      <c r="O88" s="902">
        <f>IF('[1]BASE'!DU88=0,"",'[1]BASE'!DU88)</f>
      </c>
      <c r="P88" s="902">
        <f>IF('[1]BASE'!DV88=0,"",'[1]BASE'!DV88)</f>
      </c>
      <c r="Q88" s="902">
        <f>IF('[1]BASE'!DW88=0,"",'[1]BASE'!DW88)</f>
      </c>
      <c r="R88" s="899">
        <f>IF('[1]BASE'!DX88=0,"",'[1]BASE'!DX88)</f>
      </c>
      <c r="S88" s="899">
        <f>IF('[1]BASE'!DY88=0,"",'[1]BASE'!DY88)</f>
      </c>
      <c r="T88" s="900"/>
      <c r="U88" s="896"/>
    </row>
    <row r="89" spans="2:21" s="890" customFormat="1" ht="19.5" customHeight="1">
      <c r="B89" s="891"/>
      <c r="C89" s="903">
        <f>IF('[1]BASE'!C89=0,"",'[1]BASE'!C89)</f>
        <v>68</v>
      </c>
      <c r="D89" s="903" t="str">
        <f>IF('[1]BASE'!D89=0,"",'[1]BASE'!D89)</f>
        <v>RINCON - SALTO GRANDE</v>
      </c>
      <c r="E89" s="903">
        <f>IF('[1]BASE'!E89=0,"",'[1]BASE'!E89)</f>
        <v>500</v>
      </c>
      <c r="F89" s="904">
        <f>IF('[1]BASE'!F89=0,"",'[1]BASE'!F89)</f>
        <v>506</v>
      </c>
      <c r="G89" s="904" t="str">
        <f>IF('[1]BASE'!G89=0,"",'[1]BASE'!G89)</f>
        <v>A</v>
      </c>
      <c r="H89" s="904">
        <f>IF('[1]BASE'!DN89=0,"",'[1]BASE'!DN89)</f>
      </c>
      <c r="I89" s="904">
        <f>IF('[1]BASE'!DO89=0,"",'[1]BASE'!DO89)</f>
      </c>
      <c r="J89" s="904">
        <f>IF('[1]BASE'!DP89=0,"",'[1]BASE'!DP89)</f>
      </c>
      <c r="K89" s="904">
        <f>IF('[1]BASE'!DQ89=0,"",'[1]BASE'!DQ89)</f>
      </c>
      <c r="L89" s="904">
        <f>IF('[1]BASE'!DR89=0,"",'[1]BASE'!DR89)</f>
      </c>
      <c r="M89" s="904">
        <f>IF('[1]BASE'!DS89=0,"",'[1]BASE'!DS89)</f>
      </c>
      <c r="N89" s="904">
        <f>IF('[1]BASE'!DT89=0,"",'[1]BASE'!DT89)</f>
      </c>
      <c r="O89" s="904">
        <f>IF('[1]BASE'!DU89=0,"",'[1]BASE'!DU89)</f>
      </c>
      <c r="P89" s="904">
        <f>IF('[1]BASE'!DV89=0,"",'[1]BASE'!DV89)</f>
        <v>1</v>
      </c>
      <c r="Q89" s="904">
        <f>IF('[1]BASE'!DW89=0,"",'[1]BASE'!DW89)</f>
      </c>
      <c r="R89" s="899">
        <f>IF('[1]BASE'!DX89=0,"",'[1]BASE'!DX89)</f>
      </c>
      <c r="S89" s="899">
        <f>IF('[1]BASE'!DY89=0,"",'[1]BASE'!DY89)</f>
      </c>
      <c r="T89" s="900"/>
      <c r="U89" s="896"/>
    </row>
    <row r="90" spans="2:21" s="890" customFormat="1" ht="19.5" customHeight="1">
      <c r="B90" s="891"/>
      <c r="C90" s="901">
        <f>IF('[1]BASE'!C90=0,"",'[1]BASE'!C90)</f>
        <v>69</v>
      </c>
      <c r="D90" s="901" t="str">
        <f>IF('[1]BASE'!D90=0,"",'[1]BASE'!D90)</f>
        <v>RINCON - SAN ISIDRO</v>
      </c>
      <c r="E90" s="901">
        <f>IF('[1]BASE'!E90=0,"",'[1]BASE'!E90)</f>
        <v>500</v>
      </c>
      <c r="F90" s="902">
        <f>IF('[1]BASE'!F90=0,"",'[1]BASE'!F90)</f>
        <v>85</v>
      </c>
      <c r="G90" s="902" t="str">
        <f>IF('[1]BASE'!G90=0,"",'[1]BASE'!G90)</f>
        <v>C</v>
      </c>
      <c r="H90" s="902">
        <f>IF('[1]BASE'!DN90=0,"",'[1]BASE'!DN90)</f>
      </c>
      <c r="I90" s="902">
        <f>IF('[1]BASE'!DO90=0,"",'[1]BASE'!DO90)</f>
      </c>
      <c r="J90" s="902">
        <f>IF('[1]BASE'!DP90=0,"",'[1]BASE'!DP90)</f>
      </c>
      <c r="K90" s="902">
        <f>IF('[1]BASE'!DQ90=0,"",'[1]BASE'!DQ90)</f>
      </c>
      <c r="L90" s="902">
        <f>IF('[1]BASE'!DR90=0,"",'[1]BASE'!DR90)</f>
      </c>
      <c r="M90" s="902">
        <f>IF('[1]BASE'!DS90=0,"",'[1]BASE'!DS90)</f>
      </c>
      <c r="N90" s="902">
        <f>IF('[1]BASE'!DT90=0,"",'[1]BASE'!DT90)</f>
      </c>
      <c r="O90" s="902">
        <f>IF('[1]BASE'!DU90=0,"",'[1]BASE'!DU90)</f>
      </c>
      <c r="P90" s="902">
        <f>IF('[1]BASE'!DV90=0,"",'[1]BASE'!DV90)</f>
      </c>
      <c r="Q90" s="902">
        <f>IF('[1]BASE'!DW90=0,"",'[1]BASE'!DW90)</f>
      </c>
      <c r="R90" s="899">
        <f>IF('[1]BASE'!DX90=0,"",'[1]BASE'!DX90)</f>
      </c>
      <c r="S90" s="899">
        <f>IF('[1]BASE'!DY90=0,"",'[1]BASE'!DY90)</f>
      </c>
      <c r="T90" s="900"/>
      <c r="U90" s="896"/>
    </row>
    <row r="91" spans="2:21" s="890" customFormat="1" ht="19.5" customHeight="1">
      <c r="B91" s="891"/>
      <c r="C91" s="903">
        <f>IF('[1]BASE'!C91=0,"",'[1]BASE'!C91)</f>
      </c>
      <c r="D91" s="903">
        <f>IF('[1]BASE'!D91=0,"",'[1]BASE'!D91)</f>
      </c>
      <c r="E91" s="903">
        <f>IF('[1]BASE'!E91=0,"",'[1]BASE'!E91)</f>
      </c>
      <c r="F91" s="903">
        <f>IF('[1]BASE'!F91=0,"",'[1]BASE'!F91)</f>
      </c>
      <c r="G91" s="904">
        <f>IF('[1]BASE'!G91=0,"",'[1]BASE'!G91)</f>
      </c>
      <c r="H91" s="903">
        <f>IF('[1]BASE'!DN91=0,"",'[1]BASE'!DN91)</f>
      </c>
      <c r="I91" s="903">
        <f>IF('[1]BASE'!DO91=0,"",'[1]BASE'!DO91)</f>
      </c>
      <c r="J91" s="903">
        <f>IF('[1]BASE'!DP91=0,"",'[1]BASE'!DP91)</f>
      </c>
      <c r="K91" s="903">
        <f>IF('[1]BASE'!DQ91=0,"",'[1]BASE'!DQ91)</f>
      </c>
      <c r="L91" s="903">
        <f>IF('[1]BASE'!DR91=0,"",'[1]BASE'!DR91)</f>
      </c>
      <c r="M91" s="903">
        <f>IF('[1]BASE'!DS91=0,"",'[1]BASE'!DS91)</f>
      </c>
      <c r="N91" s="903">
        <f>IF('[1]BASE'!DT91=0,"",'[1]BASE'!DT91)</f>
      </c>
      <c r="O91" s="903">
        <f>IF('[1]BASE'!DU91=0,"",'[1]BASE'!DU91)</f>
      </c>
      <c r="P91" s="903">
        <f>IF('[1]BASE'!DV91=0,"",'[1]BASE'!DV91)</f>
      </c>
      <c r="Q91" s="903">
        <f>IF('[1]BASE'!DW91=0,"",'[1]BASE'!DW91)</f>
      </c>
      <c r="R91" s="899">
        <f>IF('[1]BASE'!DX91=0,"",'[1]BASE'!DX91)</f>
      </c>
      <c r="S91" s="899">
        <f>IF('[1]BASE'!DY91=0,"",'[1]BASE'!DY91)</f>
      </c>
      <c r="T91" s="900"/>
      <c r="U91" s="896"/>
    </row>
    <row r="92" spans="2:21" s="890" customFormat="1" ht="19.5" customHeight="1" thickBot="1">
      <c r="B92" s="891"/>
      <c r="C92" s="905"/>
      <c r="D92" s="905"/>
      <c r="E92" s="905"/>
      <c r="F92" s="905"/>
      <c r="G92" s="906"/>
      <c r="H92" s="905"/>
      <c r="I92" s="905"/>
      <c r="J92" s="905"/>
      <c r="K92" s="905"/>
      <c r="L92" s="905"/>
      <c r="M92" s="905"/>
      <c r="N92" s="905"/>
      <c r="O92" s="905"/>
      <c r="P92" s="905"/>
      <c r="Q92" s="905"/>
      <c r="R92" s="907"/>
      <c r="S92" s="907"/>
      <c r="T92" s="900"/>
      <c r="U92" s="896"/>
    </row>
    <row r="93" spans="2:21" s="890" customFormat="1" ht="19.5" customHeight="1" thickBot="1" thickTop="1">
      <c r="B93" s="891"/>
      <c r="C93" s="908"/>
      <c r="D93" s="909"/>
      <c r="E93" s="910" t="s">
        <v>240</v>
      </c>
      <c r="F93" s="911">
        <f>SUM(F16:F92)-F46-F57-F78-F79-F87</f>
        <v>9666.7</v>
      </c>
      <c r="G93" s="912"/>
      <c r="H93" s="913"/>
      <c r="I93" s="913"/>
      <c r="J93" s="913"/>
      <c r="K93" s="913"/>
      <c r="L93" s="913"/>
      <c r="M93" s="913"/>
      <c r="N93" s="913"/>
      <c r="O93" s="913"/>
      <c r="P93" s="913"/>
      <c r="Q93" s="913"/>
      <c r="R93" s="913"/>
      <c r="S93" s="914"/>
      <c r="T93" s="900"/>
      <c r="U93" s="896"/>
    </row>
    <row r="94" spans="2:21" s="890" customFormat="1" ht="19.5" customHeight="1" thickBot="1" thickTop="1">
      <c r="B94" s="891"/>
      <c r="C94" s="915"/>
      <c r="D94" s="916"/>
      <c r="E94" s="917"/>
      <c r="F94" s="918" t="s">
        <v>241</v>
      </c>
      <c r="H94" s="919">
        <f aca="true" t="shared" si="0" ref="H94:S94">SUM(H17:H92)</f>
        <v>3</v>
      </c>
      <c r="I94" s="919">
        <f t="shared" si="0"/>
        <v>10</v>
      </c>
      <c r="J94" s="919">
        <f t="shared" si="0"/>
        <v>3</v>
      </c>
      <c r="K94" s="919">
        <f t="shared" si="0"/>
        <v>2</v>
      </c>
      <c r="L94" s="919">
        <f t="shared" si="0"/>
        <v>3</v>
      </c>
      <c r="M94" s="919">
        <f t="shared" si="0"/>
        <v>5</v>
      </c>
      <c r="N94" s="919">
        <f t="shared" si="0"/>
        <v>4</v>
      </c>
      <c r="O94" s="919">
        <f t="shared" si="0"/>
        <v>6</v>
      </c>
      <c r="P94" s="919">
        <f t="shared" si="0"/>
        <v>3</v>
      </c>
      <c r="Q94" s="919">
        <f t="shared" si="0"/>
        <v>6</v>
      </c>
      <c r="R94" s="919">
        <f t="shared" si="0"/>
        <v>0</v>
      </c>
      <c r="S94" s="919">
        <f t="shared" si="0"/>
        <v>0</v>
      </c>
      <c r="T94" s="920"/>
      <c r="U94" s="896"/>
    </row>
    <row r="95" spans="2:21" s="890" customFormat="1" ht="19.5" customHeight="1" thickBot="1" thickTop="1">
      <c r="B95" s="891"/>
      <c r="E95" s="917"/>
      <c r="F95" s="918" t="s">
        <v>242</v>
      </c>
      <c r="H95" s="921">
        <f>'[1]BASE'!DN100</f>
        <v>0.7</v>
      </c>
      <c r="I95" s="921">
        <f>'[1]BASE'!DO100</f>
        <v>0.73</v>
      </c>
      <c r="J95" s="921">
        <f>'[1]BASE'!DP100</f>
        <v>0.79</v>
      </c>
      <c r="K95" s="921">
        <f>'[1]BASE'!DQ100</f>
        <v>0.79</v>
      </c>
      <c r="L95" s="921">
        <f>'[1]BASE'!DR100</f>
        <v>0.78</v>
      </c>
      <c r="M95" s="921">
        <f>'[1]BASE'!DS100</f>
        <v>0.8</v>
      </c>
      <c r="N95" s="921">
        <f>'[1]BASE'!DT100</f>
        <v>0.8</v>
      </c>
      <c r="O95" s="921">
        <f>'[1]BASE'!DU100</f>
        <v>0.8</v>
      </c>
      <c r="P95" s="921">
        <f>'[1]BASE'!DV100</f>
        <v>0.83</v>
      </c>
      <c r="Q95" s="921">
        <f>'[1]BASE'!DW100</f>
        <v>0.8</v>
      </c>
      <c r="R95" s="921">
        <f>'[1]BASE'!DX100</f>
        <v>0.6</v>
      </c>
      <c r="S95" s="922">
        <f>'[1]BASE'!DY100</f>
        <v>0.51</v>
      </c>
      <c r="T95" s="922">
        <f>ROUND(SUM(H94:S94)/($F$93)*100,2)</f>
        <v>0.47</v>
      </c>
      <c r="U95" s="896"/>
    </row>
    <row r="96" spans="2:21" s="923" customFormat="1" ht="15.75" customHeight="1" thickBot="1" thickTop="1">
      <c r="B96" s="924"/>
      <c r="C96"/>
      <c r="D96" s="925"/>
      <c r="E96" s="926"/>
      <c r="F96" s="927"/>
      <c r="G96"/>
      <c r="H96" s="928"/>
      <c r="I96" s="928"/>
      <c r="J96" s="928"/>
      <c r="K96" s="928"/>
      <c r="L96" s="928"/>
      <c r="M96" s="928"/>
      <c r="N96" s="928"/>
      <c r="O96" s="928"/>
      <c r="P96" s="928"/>
      <c r="Q96" s="928"/>
      <c r="R96" s="928"/>
      <c r="S96" s="928"/>
      <c r="T96" s="928"/>
      <c r="U96" s="929"/>
    </row>
    <row r="97" spans="2:21" ht="15.75" customHeight="1" thickBot="1">
      <c r="B97" s="124"/>
      <c r="C97" s="930"/>
      <c r="D97" s="62" t="s">
        <v>243</v>
      </c>
      <c r="E97" s="14"/>
      <c r="F97" s="14"/>
      <c r="G97" s="2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28"/>
    </row>
    <row r="98" spans="2:21" ht="21.75" thickBot="1" thickTop="1">
      <c r="B98" s="124"/>
      <c r="C98" s="2"/>
      <c r="D98" s="14"/>
      <c r="E98" s="14"/>
      <c r="F98" s="931"/>
      <c r="G98" s="931"/>
      <c r="H98" s="932"/>
      <c r="I98" s="933" t="s">
        <v>244</v>
      </c>
      <c r="J98" s="934">
        <f>+T95</f>
        <v>0.47</v>
      </c>
      <c r="K98" s="935" t="s">
        <v>245</v>
      </c>
      <c r="L98" s="932"/>
      <c r="M98" s="936"/>
      <c r="N98"/>
      <c r="O98" s="14"/>
      <c r="P98" s="14"/>
      <c r="Q98" s="14"/>
      <c r="R98" s="14"/>
      <c r="S98" s="14"/>
      <c r="T98" s="14"/>
      <c r="U98" s="128"/>
    </row>
    <row r="99" spans="2:21" s="106" customFormat="1" ht="17.25" thickBot="1" thickTop="1">
      <c r="B99" s="131"/>
      <c r="C99" s="937"/>
      <c r="D99" s="133"/>
      <c r="E99" s="133"/>
      <c r="F99" s="937"/>
      <c r="G99" s="937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4"/>
    </row>
    <row r="100" spans="3:7" ht="13.5" thickTop="1">
      <c r="C100" s="81"/>
      <c r="F100" s="81"/>
      <c r="G100" s="81"/>
    </row>
    <row r="101" spans="3:194" ht="12.75">
      <c r="C101" s="81"/>
      <c r="D101" s="2"/>
      <c r="E101" s="2"/>
      <c r="F101" s="2"/>
      <c r="G101" s="2"/>
      <c r="H101" s="938"/>
      <c r="I101" s="938"/>
      <c r="J101" s="938"/>
      <c r="K101" s="938"/>
      <c r="L101" s="938"/>
      <c r="M101" s="938"/>
      <c r="N101" s="938"/>
      <c r="O101" s="938"/>
      <c r="P101" s="938"/>
      <c r="Q101" s="938"/>
      <c r="R101" s="938"/>
      <c r="S101" s="938"/>
      <c r="T101" s="938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</row>
    <row r="102" spans="3:194" ht="12.75">
      <c r="C102" s="81"/>
      <c r="D102" s="2"/>
      <c r="E102" s="2"/>
      <c r="F102" s="2"/>
      <c r="G102" s="2"/>
      <c r="H102" s="938"/>
      <c r="I102" s="938"/>
      <c r="J102" s="938"/>
      <c r="K102" s="938"/>
      <c r="L102" s="938"/>
      <c r="M102" s="938"/>
      <c r="N102" s="938"/>
      <c r="O102" s="938"/>
      <c r="P102" s="938"/>
      <c r="Q102" s="938"/>
      <c r="R102" s="938"/>
      <c r="S102" s="938"/>
      <c r="T102" s="938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</row>
    <row r="103" spans="3:194" ht="12.75">
      <c r="C103" s="81"/>
      <c r="D103" s="2"/>
      <c r="E103" s="2"/>
      <c r="F103" s="2"/>
      <c r="G103" s="2"/>
      <c r="H103" s="939"/>
      <c r="I103" s="939"/>
      <c r="J103" s="939"/>
      <c r="K103" s="939"/>
      <c r="L103" s="939"/>
      <c r="M103" s="939"/>
      <c r="N103" s="939"/>
      <c r="O103" s="939"/>
      <c r="P103" s="939"/>
      <c r="Q103" s="939"/>
      <c r="R103" s="939"/>
      <c r="S103" s="939"/>
      <c r="T103" s="939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</row>
    <row r="104" spans="3:194" ht="12.75">
      <c r="C104" s="81"/>
      <c r="D104" s="2"/>
      <c r="E104" s="2"/>
      <c r="F104" s="2"/>
      <c r="G104" s="2"/>
      <c r="H104" s="938"/>
      <c r="I104" s="938"/>
      <c r="J104" s="938"/>
      <c r="K104" s="938"/>
      <c r="L104" s="938"/>
      <c r="M104" s="938"/>
      <c r="N104" s="938"/>
      <c r="O104" s="938"/>
      <c r="P104" s="938"/>
      <c r="Q104" s="938"/>
      <c r="R104" s="938"/>
      <c r="S104" s="938"/>
      <c r="T104" s="938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</row>
    <row r="105" spans="3:194" ht="12.75">
      <c r="C105" s="81"/>
      <c r="D105" s="2"/>
      <c r="E105" s="2"/>
      <c r="F105" s="2"/>
      <c r="G105" s="2"/>
      <c r="H105" s="938"/>
      <c r="I105" s="938"/>
      <c r="J105" s="938"/>
      <c r="K105" s="938"/>
      <c r="L105" s="938"/>
      <c r="M105" s="938"/>
      <c r="N105" s="938"/>
      <c r="O105" s="938"/>
      <c r="P105" s="938"/>
      <c r="Q105" s="938"/>
      <c r="R105" s="938"/>
      <c r="S105" s="938"/>
      <c r="T105" s="938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</row>
    <row r="106" spans="3:194" ht="12.75">
      <c r="C106" s="81"/>
      <c r="D106" s="2"/>
      <c r="E106" s="2"/>
      <c r="F106" s="2"/>
      <c r="G106" s="2"/>
      <c r="H106" s="938"/>
      <c r="I106" s="938"/>
      <c r="J106" s="938"/>
      <c r="K106" s="938"/>
      <c r="L106" s="938"/>
      <c r="M106" s="938"/>
      <c r="N106" s="938"/>
      <c r="O106" s="938"/>
      <c r="P106" s="938"/>
      <c r="Q106" s="938"/>
      <c r="R106" s="938"/>
      <c r="S106" s="938"/>
      <c r="T106" s="938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</row>
    <row r="107" spans="3:194" ht="12.75">
      <c r="C107" s="81"/>
      <c r="D107" s="2"/>
      <c r="E107" s="2"/>
      <c r="F107" s="2"/>
      <c r="G107" s="2"/>
      <c r="H107" s="938"/>
      <c r="I107" s="938"/>
      <c r="J107" s="938"/>
      <c r="K107" s="938"/>
      <c r="L107" s="938"/>
      <c r="M107" s="938"/>
      <c r="N107" s="938"/>
      <c r="O107" s="938"/>
      <c r="P107" s="938"/>
      <c r="Q107" s="938"/>
      <c r="R107" s="938"/>
      <c r="S107" s="938"/>
      <c r="T107" s="938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</row>
    <row r="108" spans="3:194" ht="12.75">
      <c r="C108" s="81"/>
      <c r="D108" s="2"/>
      <c r="E108" s="2"/>
      <c r="F108" s="2"/>
      <c r="G108" s="2"/>
      <c r="H108" s="938"/>
      <c r="I108" s="938"/>
      <c r="J108" s="938"/>
      <c r="K108" s="938"/>
      <c r="L108" s="938"/>
      <c r="M108" s="938"/>
      <c r="N108" s="938"/>
      <c r="O108" s="938"/>
      <c r="P108" s="938"/>
      <c r="Q108" s="938"/>
      <c r="R108" s="938"/>
      <c r="S108" s="938"/>
      <c r="T108" s="938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</row>
    <row r="109" spans="3:194" ht="12.75">
      <c r="C109" s="8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</row>
    <row r="110" spans="3:194" ht="12.75">
      <c r="C110" s="81"/>
      <c r="D110" s="14"/>
      <c r="E110" s="14"/>
      <c r="F110" s="2"/>
      <c r="G110" s="2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</row>
    <row r="111" spans="3:7" ht="12.75">
      <c r="C111" s="81"/>
      <c r="F111" s="81"/>
      <c r="G111" s="81"/>
    </row>
    <row r="112" spans="3:7" ht="12.75">
      <c r="C112" s="81"/>
      <c r="F112" s="81"/>
      <c r="G112" s="81"/>
    </row>
    <row r="113" spans="3:7" ht="12.75">
      <c r="C113" s="81"/>
      <c r="F113" s="81"/>
      <c r="G113" s="81"/>
    </row>
    <row r="114" spans="6:7" ht="12.75">
      <c r="F114" s="81"/>
      <c r="G114" s="81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portrait" paperSize="9" scale="25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D44"/>
  <sheetViews>
    <sheetView zoomScale="75" zoomScaleNormal="75" workbookViewId="0" topLeftCell="C13">
      <selection activeCell="F23" sqref="F23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9.28125" style="0" hidden="1" customWidth="1"/>
    <col min="9" max="9" width="10.8515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8" width="15.28125" style="0" hidden="1" customWidth="1"/>
    <col min="19" max="19" width="15.57421875" style="0" hidden="1" customWidth="1"/>
    <col min="20" max="20" width="14.140625" style="0" hidden="1" customWidth="1"/>
    <col min="21" max="21" width="13.57421875" style="0" hidden="1" customWidth="1"/>
    <col min="22" max="22" width="13.00390625" style="0" hidden="1" customWidth="1"/>
    <col min="23" max="23" width="13.57421875" style="0" hidden="1" customWidth="1"/>
    <col min="24" max="24" width="13.140625" style="0" hidden="1" customWidth="1"/>
    <col min="25" max="27" width="14.14062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92" customFormat="1" ht="26.25">
      <c r="A1" s="142"/>
      <c r="AD1" s="754"/>
    </row>
    <row r="2" spans="1:30" s="92" customFormat="1" ht="26.25">
      <c r="A2" s="142"/>
      <c r="B2" s="93" t="str">
        <f>+'tot-0402'!B2</f>
        <v>ANEXO I-1 a la Resolución ENRE N°            1107 /2006    .-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="16" customFormat="1" ht="12.75">
      <c r="A3" s="61"/>
    </row>
    <row r="4" spans="1:2" s="99" customFormat="1" ht="11.25">
      <c r="A4" s="97" t="s">
        <v>52</v>
      </c>
      <c r="B4" s="176"/>
    </row>
    <row r="5" spans="1:2" s="99" customFormat="1" ht="11.25">
      <c r="A5" s="97" t="s">
        <v>53</v>
      </c>
      <c r="B5" s="176"/>
    </row>
    <row r="6" s="16" customFormat="1" ht="13.5" thickBot="1"/>
    <row r="7" spans="2:30" s="16" customFormat="1" ht="13.5" thickTop="1">
      <c r="B7" s="143"/>
      <c r="C7" s="144"/>
      <c r="D7" s="144"/>
      <c r="E7" s="145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6"/>
    </row>
    <row r="8" spans="2:30" s="10" customFormat="1" ht="20.25">
      <c r="B8" s="157"/>
      <c r="C8" s="11"/>
      <c r="D8" s="7" t="s">
        <v>68</v>
      </c>
      <c r="E8" s="11"/>
      <c r="F8" s="11"/>
      <c r="G8" s="11"/>
      <c r="H8" s="11"/>
      <c r="N8" s="11"/>
      <c r="O8" s="11"/>
      <c r="P8" s="158"/>
      <c r="Q8" s="158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59"/>
    </row>
    <row r="9" spans="2:30" s="16" customFormat="1" ht="12.75">
      <c r="B9" s="12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7"/>
    </row>
    <row r="10" spans="2:30" s="10" customFormat="1" ht="20.25">
      <c r="B10" s="157"/>
      <c r="C10" s="11"/>
      <c r="D10" s="158" t="s">
        <v>69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59"/>
    </row>
    <row r="11" spans="2:30" s="16" customFormat="1" ht="12.75">
      <c r="B11" s="12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7"/>
    </row>
    <row r="12" spans="2:30" s="10" customFormat="1" ht="20.25">
      <c r="B12" s="157"/>
      <c r="C12" s="11"/>
      <c r="D12" s="158" t="s">
        <v>70</v>
      </c>
      <c r="E12" s="11"/>
      <c r="F12" s="11"/>
      <c r="G12" s="11"/>
      <c r="I12" s="11"/>
      <c r="J12" s="11"/>
      <c r="K12" s="11"/>
      <c r="L12" s="11"/>
      <c r="M12" s="11"/>
      <c r="N12" s="11"/>
      <c r="O12" s="11"/>
      <c r="P12" s="158"/>
      <c r="Q12" s="158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59"/>
    </row>
    <row r="13" spans="2:30" s="16" customFormat="1" ht="12.75">
      <c r="B13" s="124"/>
      <c r="C13" s="14"/>
      <c r="D13" s="14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7"/>
    </row>
    <row r="14" spans="2:30" s="15" customFormat="1" ht="19.5">
      <c r="B14" s="112" t="str">
        <f>+'tot-0402'!B14</f>
        <v>Desde el 01 al 29 de febrero de 2004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61"/>
      <c r="O14" s="161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62"/>
    </row>
    <row r="15" spans="2:30" s="16" customFormat="1" ht="16.5" customHeight="1" thickBot="1">
      <c r="B15" s="124"/>
      <c r="C15" s="14"/>
      <c r="D15" s="14"/>
      <c r="E15" s="2"/>
      <c r="F15" s="2"/>
      <c r="G15" s="14"/>
      <c r="H15" s="14"/>
      <c r="I15" s="14"/>
      <c r="J15" s="156"/>
      <c r="K15" s="14"/>
      <c r="L15" s="14"/>
      <c r="M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7"/>
    </row>
    <row r="16" spans="2:30" s="16" customFormat="1" ht="16.5" customHeight="1" thickBot="1" thickTop="1">
      <c r="B16" s="124"/>
      <c r="C16" s="14"/>
      <c r="D16" s="163" t="s">
        <v>71</v>
      </c>
      <c r="E16" s="627">
        <v>56.353</v>
      </c>
      <c r="F16" s="268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7"/>
    </row>
    <row r="17" spans="2:30" s="16" customFormat="1" ht="16.5" customHeight="1" thickBot="1" thickTop="1">
      <c r="B17" s="124"/>
      <c r="C17" s="14"/>
      <c r="D17" s="163" t="s">
        <v>72</v>
      </c>
      <c r="E17" s="627">
        <v>46.961</v>
      </c>
      <c r="F17" s="268"/>
      <c r="G17" s="14"/>
      <c r="H17" s="14"/>
      <c r="I17" s="14"/>
      <c r="J17" s="757"/>
      <c r="K17" s="758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9"/>
      <c r="W17" s="149"/>
      <c r="X17" s="149"/>
      <c r="Y17" s="149"/>
      <c r="Z17" s="149"/>
      <c r="AA17" s="149"/>
      <c r="AB17" s="149"/>
      <c r="AD17" s="147"/>
    </row>
    <row r="18" spans="2:30" s="16" customFormat="1" ht="16.5" customHeight="1" thickBot="1" thickTop="1">
      <c r="B18" s="124"/>
      <c r="C18" s="14"/>
      <c r="D18" s="14"/>
      <c r="E18" s="1"/>
      <c r="F18" s="14"/>
      <c r="G18" s="14"/>
      <c r="H18" s="14"/>
      <c r="I18" s="14"/>
      <c r="J18" s="14"/>
      <c r="K18" s="14"/>
      <c r="L18" s="14"/>
      <c r="M18" s="14"/>
      <c r="N18" s="150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7"/>
    </row>
    <row r="19" spans="2:30" s="16" customFormat="1" ht="33.75" customHeight="1" thickBot="1" thickTop="1">
      <c r="B19" s="124"/>
      <c r="C19" s="164" t="s">
        <v>73</v>
      </c>
      <c r="D19" s="166" t="s">
        <v>55</v>
      </c>
      <c r="E19" s="433" t="s">
        <v>74</v>
      </c>
      <c r="F19" s="172" t="s">
        <v>75</v>
      </c>
      <c r="G19" s="165" t="s">
        <v>76</v>
      </c>
      <c r="H19" s="434" t="s">
        <v>77</v>
      </c>
      <c r="I19" s="431" t="s">
        <v>78</v>
      </c>
      <c r="J19" s="166" t="s">
        <v>79</v>
      </c>
      <c r="K19" s="167" t="s">
        <v>80</v>
      </c>
      <c r="L19" s="171" t="s">
        <v>81</v>
      </c>
      <c r="M19" s="172" t="s">
        <v>82</v>
      </c>
      <c r="N19" s="171" t="s">
        <v>83</v>
      </c>
      <c r="O19" s="172" t="s">
        <v>84</v>
      </c>
      <c r="P19" s="167" t="s">
        <v>85</v>
      </c>
      <c r="Q19" s="166" t="s">
        <v>86</v>
      </c>
      <c r="R19" s="396" t="s">
        <v>87</v>
      </c>
      <c r="S19" s="399" t="s">
        <v>88</v>
      </c>
      <c r="T19" s="344" t="s">
        <v>89</v>
      </c>
      <c r="U19" s="345"/>
      <c r="V19" s="346"/>
      <c r="W19" s="403" t="s">
        <v>90</v>
      </c>
      <c r="X19" s="404"/>
      <c r="Y19" s="405"/>
      <c r="Z19" s="419" t="s">
        <v>91</v>
      </c>
      <c r="AA19" s="420" t="s">
        <v>92</v>
      </c>
      <c r="AB19" s="174" t="s">
        <v>93</v>
      </c>
      <c r="AC19" s="174" t="s">
        <v>94</v>
      </c>
      <c r="AD19" s="151"/>
    </row>
    <row r="20" spans="2:30" s="16" customFormat="1" ht="16.5" customHeight="1" hidden="1" thickTop="1">
      <c r="B20" s="124"/>
      <c r="C20" s="416"/>
      <c r="D20" s="439"/>
      <c r="E20" s="439"/>
      <c r="F20" s="416"/>
      <c r="G20" s="416"/>
      <c r="H20" s="437"/>
      <c r="I20" s="438"/>
      <c r="J20" s="416"/>
      <c r="K20" s="416"/>
      <c r="L20" s="416"/>
      <c r="M20" s="416"/>
      <c r="N20" s="416"/>
      <c r="O20" s="416"/>
      <c r="P20" s="416"/>
      <c r="Q20" s="416"/>
      <c r="R20" s="397"/>
      <c r="S20" s="400"/>
      <c r="T20" s="408"/>
      <c r="U20" s="409"/>
      <c r="V20" s="410"/>
      <c r="W20" s="411"/>
      <c r="X20" s="412"/>
      <c r="Y20" s="413"/>
      <c r="Z20" s="417"/>
      <c r="AA20" s="421"/>
      <c r="AB20" s="416"/>
      <c r="AC20" s="566"/>
      <c r="AD20" s="147"/>
    </row>
    <row r="21" spans="2:30" s="16" customFormat="1" ht="16.5" customHeight="1" thickTop="1">
      <c r="B21" s="124"/>
      <c r="C21" s="17"/>
      <c r="D21" s="17"/>
      <c r="E21" s="20"/>
      <c r="F21" s="17"/>
      <c r="G21" s="17"/>
      <c r="H21" s="429"/>
      <c r="I21" s="432"/>
      <c r="J21" s="19"/>
      <c r="K21" s="14"/>
      <c r="L21" s="17"/>
      <c r="M21" s="17"/>
      <c r="N21" s="18"/>
      <c r="O21" s="17"/>
      <c r="P21" s="17"/>
      <c r="Q21" s="17"/>
      <c r="R21" s="395"/>
      <c r="S21" s="398"/>
      <c r="T21" s="415"/>
      <c r="U21" s="401"/>
      <c r="V21" s="402"/>
      <c r="W21" s="414"/>
      <c r="X21" s="406"/>
      <c r="Y21" s="407"/>
      <c r="Z21" s="418"/>
      <c r="AA21" s="422"/>
      <c r="AB21" s="17"/>
      <c r="AC21" s="175"/>
      <c r="AD21" s="147"/>
    </row>
    <row r="22" spans="2:30" s="16" customFormat="1" ht="16.5" customHeight="1">
      <c r="B22" s="124"/>
      <c r="C22" s="769">
        <v>3</v>
      </c>
      <c r="D22" s="773" t="s">
        <v>6</v>
      </c>
      <c r="E22" s="774">
        <v>500</v>
      </c>
      <c r="F22" s="775">
        <v>194</v>
      </c>
      <c r="G22" s="774" t="s">
        <v>2</v>
      </c>
      <c r="H22" s="436">
        <f aca="true" t="shared" si="0" ref="H22:H39">IF(G22="A",200,IF(G22="B",60,20))</f>
        <v>20</v>
      </c>
      <c r="I22" s="624">
        <f aca="true" t="shared" si="1" ref="I22:I39">IF(E22=500,IF(F22&lt;100,100*$E$16/100,F22*$E$16/100),IF(F22&lt;100,100*$E$17/100,F22*$E$17/100))</f>
        <v>109.32482</v>
      </c>
      <c r="J22" s="783">
        <v>38022.15416666667</v>
      </c>
      <c r="K22" s="784">
        <v>38022.22152777778</v>
      </c>
      <c r="L22" s="23">
        <f aca="true" t="shared" si="2" ref="L22:L39">IF(D22="","",(K22-J22)*24)</f>
        <v>1.6166666666977108</v>
      </c>
      <c r="M22" s="24">
        <f aca="true" t="shared" si="3" ref="M22:M39">IF(D22="","",ROUND((K22-J22)*24*60,0))</f>
        <v>97</v>
      </c>
      <c r="N22" s="789" t="s">
        <v>205</v>
      </c>
      <c r="O22" s="790" t="str">
        <f aca="true" t="shared" si="4" ref="O22:O39">IF(D22="","","--")</f>
        <v>--</v>
      </c>
      <c r="P22" s="791" t="str">
        <f aca="true" t="shared" si="5" ref="P22:P39">IF(D22="","","NO")</f>
        <v>NO</v>
      </c>
      <c r="Q22" s="791" t="str">
        <f aca="true" t="shared" si="6" ref="Q22:Q39">IF(D22="","",IF(OR(N22="P",N22="RP"),"--","NO"))</f>
        <v>--</v>
      </c>
      <c r="R22" s="792">
        <f aca="true" t="shared" si="7" ref="R22:R39">IF(N22="P",I22*H22*ROUND(M22/60,2)*0.01,"--")</f>
        <v>35.42124168</v>
      </c>
      <c r="S22" s="793" t="str">
        <f aca="true" t="shared" si="8" ref="S22:S39">IF(N22="RP",I22*H22*ROUND(M22/60,2)*0.01*O22/100,"--")</f>
        <v>--</v>
      </c>
      <c r="T22" s="794" t="str">
        <f aca="true" t="shared" si="9" ref="T22:T39">IF(AND(N22="F",Q22="NO"),I22*H22*IF(P22="SI",1.2,1),"--")</f>
        <v>--</v>
      </c>
      <c r="U22" s="795" t="str">
        <f aca="true" t="shared" si="10" ref="U22:U39">IF(AND(N22="F",M22&gt;=10),I22*H22*IF(P22="SI",1.2,1)*IF(M22&lt;=300,ROUND(M22/60,2),5),"--")</f>
        <v>--</v>
      </c>
      <c r="V22" s="796" t="str">
        <f aca="true" t="shared" si="11" ref="V22:V39">IF(AND(N22="F",M22&gt;300),(ROUND(M22/60,2)-5)*I22*H22*0.1*IF(P22="SI",1.2,1),"--")</f>
        <v>--</v>
      </c>
      <c r="W22" s="797" t="str">
        <f aca="true" t="shared" si="12" ref="W22:W39">IF(AND(N22="R",Q22="NO"),I22*H22*O22/100*IF(P22="SI",1.2,1),"--")</f>
        <v>--</v>
      </c>
      <c r="X22" s="798" t="str">
        <f aca="true" t="shared" si="13" ref="X22:X39">IF(AND(N22="R",M22&gt;=10),I22*H22*O22/100*IF(P22="SI",1.2,1)*IF(M22&lt;=300,ROUND(M22/60,2),5),"--")</f>
        <v>--</v>
      </c>
      <c r="Y22" s="799" t="str">
        <f aca="true" t="shared" si="14" ref="Y22:Y39">IF(AND(N22="R",M22&gt;300),(ROUND(M22/60,2)-5)*I22*H22*0.1*O22/100*IF(P22="SI",1.2,1),"--")</f>
        <v>--</v>
      </c>
      <c r="Z22" s="800" t="str">
        <f aca="true" t="shared" si="15" ref="Z22:Z39">IF(N22="RF",ROUND(M22/60,2)*I22*H22*0.1*IF(P22="SI",1.2,1),"--")</f>
        <v>--</v>
      </c>
      <c r="AA22" s="801" t="str">
        <f aca="true" t="shared" si="16" ref="AA22:AA39">IF(N22="RR",ROUND(M22/60,2)*I22*H22*0.1*O22/100*IF(P22="SI",1.2,1),"--")</f>
        <v>--</v>
      </c>
      <c r="AB22" s="802" t="str">
        <f aca="true" t="shared" si="17" ref="AB22:AB39">IF(D22="","","SI")</f>
        <v>SI</v>
      </c>
      <c r="AC22" s="27">
        <f aca="true" t="shared" si="18" ref="AC22:AC39">IF(D22="","",SUM(R22:AA22)*IF(AB22="SI",1,2))</f>
        <v>35.42124168</v>
      </c>
      <c r="AD22" s="536"/>
    </row>
    <row r="23" spans="2:30" s="16" customFormat="1" ht="16.5" customHeight="1">
      <c r="B23" s="124"/>
      <c r="C23" s="769">
        <v>4</v>
      </c>
      <c r="D23" s="773" t="s">
        <v>191</v>
      </c>
      <c r="E23" s="774">
        <v>500</v>
      </c>
      <c r="F23" s="775">
        <v>346</v>
      </c>
      <c r="G23" s="774" t="s">
        <v>5</v>
      </c>
      <c r="H23" s="436">
        <f t="shared" si="0"/>
        <v>200</v>
      </c>
      <c r="I23" s="624">
        <f t="shared" si="1"/>
        <v>194.98138</v>
      </c>
      <c r="J23" s="783">
        <v>38024.85763888889</v>
      </c>
      <c r="K23" s="784">
        <v>38024.87569444445</v>
      </c>
      <c r="L23" s="23">
        <f t="shared" si="2"/>
        <v>0.4333333333488554</v>
      </c>
      <c r="M23" s="24">
        <f t="shared" si="3"/>
        <v>26</v>
      </c>
      <c r="N23" s="789" t="s">
        <v>197</v>
      </c>
      <c r="O23" s="790" t="str">
        <f t="shared" si="4"/>
        <v>--</v>
      </c>
      <c r="P23" s="791" t="str">
        <f t="shared" si="5"/>
        <v>NO</v>
      </c>
      <c r="Q23" s="791" t="str">
        <f t="shared" si="6"/>
        <v>NO</v>
      </c>
      <c r="R23" s="792" t="str">
        <f t="shared" si="7"/>
        <v>--</v>
      </c>
      <c r="S23" s="793" t="str">
        <f t="shared" si="8"/>
        <v>--</v>
      </c>
      <c r="T23" s="794">
        <f t="shared" si="9"/>
        <v>38996.276</v>
      </c>
      <c r="U23" s="795">
        <f t="shared" si="10"/>
        <v>16768.39868</v>
      </c>
      <c r="V23" s="796" t="str">
        <f t="shared" si="11"/>
        <v>--</v>
      </c>
      <c r="W23" s="797" t="str">
        <f t="shared" si="12"/>
        <v>--</v>
      </c>
      <c r="X23" s="798" t="str">
        <f t="shared" si="13"/>
        <v>--</v>
      </c>
      <c r="Y23" s="799" t="str">
        <f t="shared" si="14"/>
        <v>--</v>
      </c>
      <c r="Z23" s="800" t="str">
        <f t="shared" si="15"/>
        <v>--</v>
      </c>
      <c r="AA23" s="801" t="str">
        <f t="shared" si="16"/>
        <v>--</v>
      </c>
      <c r="AB23" s="802" t="str">
        <f t="shared" si="17"/>
        <v>SI</v>
      </c>
      <c r="AC23" s="27">
        <f t="shared" si="18"/>
        <v>55764.67468</v>
      </c>
      <c r="AD23" s="536"/>
    </row>
    <row r="24" spans="2:30" s="16" customFormat="1" ht="16.5" customHeight="1">
      <c r="B24" s="124"/>
      <c r="C24" s="769">
        <v>5</v>
      </c>
      <c r="D24" s="770" t="s">
        <v>8</v>
      </c>
      <c r="E24" s="771">
        <v>500</v>
      </c>
      <c r="F24" s="772">
        <v>165</v>
      </c>
      <c r="G24" s="771" t="s">
        <v>2</v>
      </c>
      <c r="H24" s="436">
        <f t="shared" si="0"/>
        <v>20</v>
      </c>
      <c r="I24" s="624">
        <f t="shared" si="1"/>
        <v>92.98245000000001</v>
      </c>
      <c r="J24" s="781">
        <v>38024.85763888889</v>
      </c>
      <c r="K24" s="782">
        <v>38024.87569444445</v>
      </c>
      <c r="L24" s="23">
        <f t="shared" si="2"/>
        <v>0.4333333333488554</v>
      </c>
      <c r="M24" s="24">
        <f t="shared" si="3"/>
        <v>26</v>
      </c>
      <c r="N24" s="789" t="s">
        <v>197</v>
      </c>
      <c r="O24" s="790" t="str">
        <f t="shared" si="4"/>
        <v>--</v>
      </c>
      <c r="P24" s="791" t="str">
        <f t="shared" si="5"/>
        <v>NO</v>
      </c>
      <c r="Q24" s="791" t="str">
        <f t="shared" si="6"/>
        <v>NO</v>
      </c>
      <c r="R24" s="792" t="str">
        <f t="shared" si="7"/>
        <v>--</v>
      </c>
      <c r="S24" s="793" t="str">
        <f t="shared" si="8"/>
        <v>--</v>
      </c>
      <c r="T24" s="794">
        <f t="shared" si="9"/>
        <v>1859.6490000000003</v>
      </c>
      <c r="U24" s="795">
        <f t="shared" si="10"/>
        <v>799.6490700000002</v>
      </c>
      <c r="V24" s="796" t="str">
        <f t="shared" si="11"/>
        <v>--</v>
      </c>
      <c r="W24" s="797" t="str">
        <f t="shared" si="12"/>
        <v>--</v>
      </c>
      <c r="X24" s="798" t="str">
        <f t="shared" si="13"/>
        <v>--</v>
      </c>
      <c r="Y24" s="799" t="str">
        <f t="shared" si="14"/>
        <v>--</v>
      </c>
      <c r="Z24" s="800" t="str">
        <f t="shared" si="15"/>
        <v>--</v>
      </c>
      <c r="AA24" s="801" t="str">
        <f t="shared" si="16"/>
        <v>--</v>
      </c>
      <c r="AB24" s="802" t="str">
        <f t="shared" si="17"/>
        <v>SI</v>
      </c>
      <c r="AC24" s="27">
        <f t="shared" si="18"/>
        <v>2659.2980700000007</v>
      </c>
      <c r="AD24" s="536"/>
    </row>
    <row r="25" spans="2:30" s="16" customFormat="1" ht="16.5" customHeight="1">
      <c r="B25" s="124"/>
      <c r="C25" s="769">
        <v>6</v>
      </c>
      <c r="D25" s="770" t="s">
        <v>192</v>
      </c>
      <c r="E25" s="771">
        <v>500</v>
      </c>
      <c r="F25" s="772">
        <v>291</v>
      </c>
      <c r="G25" s="771" t="s">
        <v>5</v>
      </c>
      <c r="H25" s="436">
        <f t="shared" si="0"/>
        <v>200</v>
      </c>
      <c r="I25" s="624">
        <f t="shared" si="1"/>
        <v>163.98723</v>
      </c>
      <c r="J25" s="781">
        <v>38027.683333333334</v>
      </c>
      <c r="K25" s="782">
        <v>38027.70625</v>
      </c>
      <c r="L25" s="23">
        <f t="shared" si="2"/>
        <v>0.5500000000465661</v>
      </c>
      <c r="M25" s="24">
        <f t="shared" si="3"/>
        <v>33</v>
      </c>
      <c r="N25" s="789" t="s">
        <v>197</v>
      </c>
      <c r="O25" s="790" t="str">
        <f t="shared" si="4"/>
        <v>--</v>
      </c>
      <c r="P25" s="791" t="str">
        <f t="shared" si="5"/>
        <v>NO</v>
      </c>
      <c r="Q25" s="791" t="str">
        <f t="shared" si="6"/>
        <v>NO</v>
      </c>
      <c r="R25" s="792" t="str">
        <f t="shared" si="7"/>
        <v>--</v>
      </c>
      <c r="S25" s="793" t="str">
        <f t="shared" si="8"/>
        <v>--</v>
      </c>
      <c r="T25" s="794">
        <f t="shared" si="9"/>
        <v>32797.446</v>
      </c>
      <c r="U25" s="795">
        <f t="shared" si="10"/>
        <v>18038.595300000004</v>
      </c>
      <c r="V25" s="796" t="str">
        <f t="shared" si="11"/>
        <v>--</v>
      </c>
      <c r="W25" s="797" t="str">
        <f t="shared" si="12"/>
        <v>--</v>
      </c>
      <c r="X25" s="798" t="str">
        <f t="shared" si="13"/>
        <v>--</v>
      </c>
      <c r="Y25" s="799" t="str">
        <f t="shared" si="14"/>
        <v>--</v>
      </c>
      <c r="Z25" s="800" t="str">
        <f t="shared" si="15"/>
        <v>--</v>
      </c>
      <c r="AA25" s="801" t="str">
        <f t="shared" si="16"/>
        <v>--</v>
      </c>
      <c r="AB25" s="802" t="str">
        <f t="shared" si="17"/>
        <v>SI</v>
      </c>
      <c r="AC25" s="27">
        <f t="shared" si="18"/>
        <v>50836.04130000001</v>
      </c>
      <c r="AD25" s="536"/>
    </row>
    <row r="26" spans="2:30" s="16" customFormat="1" ht="16.5" customHeight="1">
      <c r="B26" s="124"/>
      <c r="C26" s="769">
        <v>7</v>
      </c>
      <c r="D26" s="769" t="s">
        <v>7</v>
      </c>
      <c r="E26" s="776">
        <v>500</v>
      </c>
      <c r="F26" s="777">
        <v>255</v>
      </c>
      <c r="G26" s="776" t="s">
        <v>3</v>
      </c>
      <c r="H26" s="436">
        <f t="shared" si="0"/>
        <v>60</v>
      </c>
      <c r="I26" s="624">
        <f t="shared" si="1"/>
        <v>143.70015</v>
      </c>
      <c r="J26" s="785">
        <v>38031.40902777778</v>
      </c>
      <c r="K26" s="786">
        <v>38031.71041666667</v>
      </c>
      <c r="L26" s="23">
        <f t="shared" si="2"/>
        <v>7.233333333337214</v>
      </c>
      <c r="M26" s="24">
        <f t="shared" si="3"/>
        <v>434</v>
      </c>
      <c r="N26" s="789" t="s">
        <v>205</v>
      </c>
      <c r="O26" s="790" t="str">
        <f t="shared" si="4"/>
        <v>--</v>
      </c>
      <c r="P26" s="791" t="str">
        <f t="shared" si="5"/>
        <v>NO</v>
      </c>
      <c r="Q26" s="791" t="str">
        <f t="shared" si="6"/>
        <v>--</v>
      </c>
      <c r="R26" s="792">
        <f t="shared" si="7"/>
        <v>623.3712507</v>
      </c>
      <c r="S26" s="793" t="str">
        <f t="shared" si="8"/>
        <v>--</v>
      </c>
      <c r="T26" s="794" t="str">
        <f t="shared" si="9"/>
        <v>--</v>
      </c>
      <c r="U26" s="795" t="str">
        <f t="shared" si="10"/>
        <v>--</v>
      </c>
      <c r="V26" s="796" t="str">
        <f t="shared" si="11"/>
        <v>--</v>
      </c>
      <c r="W26" s="797" t="str">
        <f t="shared" si="12"/>
        <v>--</v>
      </c>
      <c r="X26" s="798" t="str">
        <f t="shared" si="13"/>
        <v>--</v>
      </c>
      <c r="Y26" s="799" t="str">
        <f t="shared" si="14"/>
        <v>--</v>
      </c>
      <c r="Z26" s="800" t="str">
        <f t="shared" si="15"/>
        <v>--</v>
      </c>
      <c r="AA26" s="801" t="str">
        <f t="shared" si="16"/>
        <v>--</v>
      </c>
      <c r="AB26" s="802" t="str">
        <f t="shared" si="17"/>
        <v>SI</v>
      </c>
      <c r="AC26" s="27">
        <f t="shared" si="18"/>
        <v>623.3712507</v>
      </c>
      <c r="AD26" s="536"/>
    </row>
    <row r="27" spans="2:30" s="16" customFormat="1" ht="16.5" customHeight="1">
      <c r="B27" s="124"/>
      <c r="C27" s="769">
        <v>8</v>
      </c>
      <c r="D27" s="769" t="s">
        <v>196</v>
      </c>
      <c r="E27" s="776">
        <v>500</v>
      </c>
      <c r="F27" s="777">
        <v>183.9</v>
      </c>
      <c r="G27" s="776" t="s">
        <v>2</v>
      </c>
      <c r="H27" s="436">
        <f t="shared" si="0"/>
        <v>20</v>
      </c>
      <c r="I27" s="624">
        <f t="shared" si="1"/>
        <v>103.63316700000001</v>
      </c>
      <c r="J27" s="785">
        <v>38034.6</v>
      </c>
      <c r="K27" s="786">
        <v>38034.603472222225</v>
      </c>
      <c r="L27" s="23">
        <f t="shared" si="2"/>
        <v>0.0833333334303461</v>
      </c>
      <c r="M27" s="24">
        <f t="shared" si="3"/>
        <v>5</v>
      </c>
      <c r="N27" s="789" t="s">
        <v>197</v>
      </c>
      <c r="O27" s="790" t="str">
        <f t="shared" si="4"/>
        <v>--</v>
      </c>
      <c r="P27" s="791" t="str">
        <f t="shared" si="5"/>
        <v>NO</v>
      </c>
      <c r="Q27" s="791" t="str">
        <f t="shared" si="6"/>
        <v>NO</v>
      </c>
      <c r="R27" s="792" t="str">
        <f t="shared" si="7"/>
        <v>--</v>
      </c>
      <c r="S27" s="793" t="str">
        <f t="shared" si="8"/>
        <v>--</v>
      </c>
      <c r="T27" s="794">
        <f t="shared" si="9"/>
        <v>2072.66334</v>
      </c>
      <c r="U27" s="795" t="str">
        <f t="shared" si="10"/>
        <v>--</v>
      </c>
      <c r="V27" s="796" t="str">
        <f t="shared" si="11"/>
        <v>--</v>
      </c>
      <c r="W27" s="797" t="str">
        <f t="shared" si="12"/>
        <v>--</v>
      </c>
      <c r="X27" s="798" t="str">
        <f t="shared" si="13"/>
        <v>--</v>
      </c>
      <c r="Y27" s="799" t="str">
        <f t="shared" si="14"/>
        <v>--</v>
      </c>
      <c r="Z27" s="800" t="str">
        <f t="shared" si="15"/>
        <v>--</v>
      </c>
      <c r="AA27" s="801" t="str">
        <f t="shared" si="16"/>
        <v>--</v>
      </c>
      <c r="AB27" s="802" t="str">
        <f t="shared" si="17"/>
        <v>SI</v>
      </c>
      <c r="AC27" s="27">
        <f t="shared" si="18"/>
        <v>2072.66334</v>
      </c>
      <c r="AD27" s="536"/>
    </row>
    <row r="28" spans="2:30" s="16" customFormat="1" ht="16.5" customHeight="1">
      <c r="B28" s="124"/>
      <c r="C28" s="769">
        <v>9</v>
      </c>
      <c r="D28" s="769" t="s">
        <v>6</v>
      </c>
      <c r="E28" s="776">
        <v>500</v>
      </c>
      <c r="F28" s="777">
        <v>194</v>
      </c>
      <c r="G28" s="776" t="s">
        <v>2</v>
      </c>
      <c r="H28" s="436">
        <f t="shared" si="0"/>
        <v>20</v>
      </c>
      <c r="I28" s="624">
        <f t="shared" si="1"/>
        <v>109.32482</v>
      </c>
      <c r="J28" s="785">
        <v>38036.49166666667</v>
      </c>
      <c r="K28" s="786">
        <v>38036.60833333333</v>
      </c>
      <c r="L28" s="23">
        <f t="shared" si="2"/>
        <v>2.799999999871943</v>
      </c>
      <c r="M28" s="24">
        <f t="shared" si="3"/>
        <v>168</v>
      </c>
      <c r="N28" s="789" t="s">
        <v>205</v>
      </c>
      <c r="O28" s="790" t="str">
        <f t="shared" si="4"/>
        <v>--</v>
      </c>
      <c r="P28" s="791" t="str">
        <f t="shared" si="5"/>
        <v>NO</v>
      </c>
      <c r="Q28" s="791" t="str">
        <f t="shared" si="6"/>
        <v>--</v>
      </c>
      <c r="R28" s="792">
        <f t="shared" si="7"/>
        <v>61.221899199999996</v>
      </c>
      <c r="S28" s="793" t="str">
        <f t="shared" si="8"/>
        <v>--</v>
      </c>
      <c r="T28" s="794" t="str">
        <f t="shared" si="9"/>
        <v>--</v>
      </c>
      <c r="U28" s="795" t="str">
        <f t="shared" si="10"/>
        <v>--</v>
      </c>
      <c r="V28" s="796" t="str">
        <f t="shared" si="11"/>
        <v>--</v>
      </c>
      <c r="W28" s="797" t="str">
        <f t="shared" si="12"/>
        <v>--</v>
      </c>
      <c r="X28" s="798" t="str">
        <f t="shared" si="13"/>
        <v>--</v>
      </c>
      <c r="Y28" s="799" t="str">
        <f t="shared" si="14"/>
        <v>--</v>
      </c>
      <c r="Z28" s="800" t="str">
        <f t="shared" si="15"/>
        <v>--</v>
      </c>
      <c r="AA28" s="801" t="str">
        <f t="shared" si="16"/>
        <v>--</v>
      </c>
      <c r="AB28" s="802" t="str">
        <f t="shared" si="17"/>
        <v>SI</v>
      </c>
      <c r="AC28" s="27">
        <f t="shared" si="18"/>
        <v>61.221899199999996</v>
      </c>
      <c r="AD28" s="536"/>
    </row>
    <row r="29" spans="2:30" s="16" customFormat="1" ht="16.5" customHeight="1">
      <c r="B29" s="124"/>
      <c r="C29" s="769">
        <v>10</v>
      </c>
      <c r="D29" s="769" t="s">
        <v>177</v>
      </c>
      <c r="E29" s="776">
        <v>500</v>
      </c>
      <c r="F29" s="777">
        <v>150</v>
      </c>
      <c r="G29" s="776" t="s">
        <v>2</v>
      </c>
      <c r="H29" s="436">
        <f t="shared" si="0"/>
        <v>20</v>
      </c>
      <c r="I29" s="624">
        <f t="shared" si="1"/>
        <v>84.52950000000001</v>
      </c>
      <c r="J29" s="785">
        <v>38037.33611111111</v>
      </c>
      <c r="K29" s="786">
        <v>38037.45972222222</v>
      </c>
      <c r="L29" s="23">
        <f t="shared" si="2"/>
        <v>2.9666666667326353</v>
      </c>
      <c r="M29" s="24">
        <f t="shared" si="3"/>
        <v>178</v>
      </c>
      <c r="N29" s="789" t="s">
        <v>205</v>
      </c>
      <c r="O29" s="790" t="str">
        <f t="shared" si="4"/>
        <v>--</v>
      </c>
      <c r="P29" s="791" t="str">
        <f t="shared" si="5"/>
        <v>NO</v>
      </c>
      <c r="Q29" s="791" t="str">
        <f t="shared" si="6"/>
        <v>--</v>
      </c>
      <c r="R29" s="792">
        <f t="shared" si="7"/>
        <v>50.210523000000016</v>
      </c>
      <c r="S29" s="793" t="str">
        <f t="shared" si="8"/>
        <v>--</v>
      </c>
      <c r="T29" s="794" t="str">
        <f t="shared" si="9"/>
        <v>--</v>
      </c>
      <c r="U29" s="795" t="str">
        <f t="shared" si="10"/>
        <v>--</v>
      </c>
      <c r="V29" s="796" t="str">
        <f t="shared" si="11"/>
        <v>--</v>
      </c>
      <c r="W29" s="797" t="str">
        <f t="shared" si="12"/>
        <v>--</v>
      </c>
      <c r="X29" s="798" t="str">
        <f t="shared" si="13"/>
        <v>--</v>
      </c>
      <c r="Y29" s="799" t="str">
        <f t="shared" si="14"/>
        <v>--</v>
      </c>
      <c r="Z29" s="800" t="str">
        <f t="shared" si="15"/>
        <v>--</v>
      </c>
      <c r="AA29" s="801" t="str">
        <f t="shared" si="16"/>
        <v>--</v>
      </c>
      <c r="AB29" s="802" t="str">
        <f t="shared" si="17"/>
        <v>SI</v>
      </c>
      <c r="AC29" s="27">
        <f t="shared" si="18"/>
        <v>50.210523000000016</v>
      </c>
      <c r="AD29" s="536"/>
    </row>
    <row r="30" spans="2:30" s="16" customFormat="1" ht="16.5" customHeight="1">
      <c r="B30" s="124"/>
      <c r="C30" s="769">
        <v>11</v>
      </c>
      <c r="D30" s="769" t="s">
        <v>4</v>
      </c>
      <c r="E30" s="776">
        <v>500</v>
      </c>
      <c r="F30" s="777">
        <v>3</v>
      </c>
      <c r="G30" s="776" t="s">
        <v>2</v>
      </c>
      <c r="H30" s="436">
        <f t="shared" si="0"/>
        <v>20</v>
      </c>
      <c r="I30" s="624">
        <f t="shared" si="1"/>
        <v>56.353</v>
      </c>
      <c r="J30" s="785">
        <v>38045.27847222222</v>
      </c>
      <c r="K30" s="786">
        <v>38046.99930555555</v>
      </c>
      <c r="L30" s="23">
        <f t="shared" si="2"/>
        <v>41.29999999998836</v>
      </c>
      <c r="M30" s="24">
        <f t="shared" si="3"/>
        <v>2478</v>
      </c>
      <c r="N30" s="789" t="s">
        <v>205</v>
      </c>
      <c r="O30" s="790" t="str">
        <f t="shared" si="4"/>
        <v>--</v>
      </c>
      <c r="P30" s="791" t="str">
        <f t="shared" si="5"/>
        <v>NO</v>
      </c>
      <c r="Q30" s="791" t="str">
        <f t="shared" si="6"/>
        <v>--</v>
      </c>
      <c r="R30" s="792">
        <f t="shared" si="7"/>
        <v>465.47577999999993</v>
      </c>
      <c r="S30" s="793" t="str">
        <f t="shared" si="8"/>
        <v>--</v>
      </c>
      <c r="T30" s="794" t="str">
        <f t="shared" si="9"/>
        <v>--</v>
      </c>
      <c r="U30" s="795" t="str">
        <f t="shared" si="10"/>
        <v>--</v>
      </c>
      <c r="V30" s="796" t="str">
        <f t="shared" si="11"/>
        <v>--</v>
      </c>
      <c r="W30" s="797" t="str">
        <f t="shared" si="12"/>
        <v>--</v>
      </c>
      <c r="X30" s="798" t="str">
        <f t="shared" si="13"/>
        <v>--</v>
      </c>
      <c r="Y30" s="799" t="str">
        <f t="shared" si="14"/>
        <v>--</v>
      </c>
      <c r="Z30" s="800" t="str">
        <f t="shared" si="15"/>
        <v>--</v>
      </c>
      <c r="AA30" s="801" t="str">
        <f t="shared" si="16"/>
        <v>--</v>
      </c>
      <c r="AB30" s="802" t="str">
        <f t="shared" si="17"/>
        <v>SI</v>
      </c>
      <c r="AC30" s="27">
        <f t="shared" si="18"/>
        <v>465.47577999999993</v>
      </c>
      <c r="AD30" s="536"/>
    </row>
    <row r="31" spans="2:30" s="16" customFormat="1" ht="16.5" customHeight="1">
      <c r="B31" s="124"/>
      <c r="C31" s="769"/>
      <c r="D31" s="769"/>
      <c r="E31" s="776"/>
      <c r="F31" s="777"/>
      <c r="G31" s="776"/>
      <c r="H31" s="436">
        <f t="shared" si="0"/>
        <v>20</v>
      </c>
      <c r="I31" s="624">
        <f t="shared" si="1"/>
        <v>46.96099999999999</v>
      </c>
      <c r="J31" s="785"/>
      <c r="K31" s="787"/>
      <c r="L31" s="23">
        <f t="shared" si="2"/>
      </c>
      <c r="M31" s="24">
        <f t="shared" si="3"/>
      </c>
      <c r="N31" s="789"/>
      <c r="O31" s="790">
        <f t="shared" si="4"/>
      </c>
      <c r="P31" s="791">
        <f t="shared" si="5"/>
      </c>
      <c r="Q31" s="791">
        <f t="shared" si="6"/>
      </c>
      <c r="R31" s="792" t="str">
        <f t="shared" si="7"/>
        <v>--</v>
      </c>
      <c r="S31" s="793" t="str">
        <f t="shared" si="8"/>
        <v>--</v>
      </c>
      <c r="T31" s="794" t="str">
        <f t="shared" si="9"/>
        <v>--</v>
      </c>
      <c r="U31" s="795" t="str">
        <f t="shared" si="10"/>
        <v>--</v>
      </c>
      <c r="V31" s="796" t="str">
        <f t="shared" si="11"/>
        <v>--</v>
      </c>
      <c r="W31" s="797" t="str">
        <f t="shared" si="12"/>
        <v>--</v>
      </c>
      <c r="X31" s="798" t="str">
        <f t="shared" si="13"/>
        <v>--</v>
      </c>
      <c r="Y31" s="799" t="str">
        <f t="shared" si="14"/>
        <v>--</v>
      </c>
      <c r="Z31" s="800" t="str">
        <f t="shared" si="15"/>
        <v>--</v>
      </c>
      <c r="AA31" s="801" t="str">
        <f t="shared" si="16"/>
        <v>--</v>
      </c>
      <c r="AB31" s="802">
        <f t="shared" si="17"/>
      </c>
      <c r="AC31" s="27">
        <f t="shared" si="18"/>
      </c>
      <c r="AD31" s="536"/>
    </row>
    <row r="32" spans="2:30" s="16" customFormat="1" ht="16.5" customHeight="1">
      <c r="B32" s="124"/>
      <c r="C32" s="769"/>
      <c r="D32" s="769"/>
      <c r="E32" s="776"/>
      <c r="F32" s="777"/>
      <c r="G32" s="776"/>
      <c r="H32" s="436">
        <f t="shared" si="0"/>
        <v>20</v>
      </c>
      <c r="I32" s="624">
        <f t="shared" si="1"/>
        <v>46.96099999999999</v>
      </c>
      <c r="J32" s="785"/>
      <c r="K32" s="787"/>
      <c r="L32" s="23">
        <f t="shared" si="2"/>
      </c>
      <c r="M32" s="24">
        <f t="shared" si="3"/>
      </c>
      <c r="N32" s="789"/>
      <c r="O32" s="790">
        <f t="shared" si="4"/>
      </c>
      <c r="P32" s="791">
        <f t="shared" si="5"/>
      </c>
      <c r="Q32" s="791">
        <f t="shared" si="6"/>
      </c>
      <c r="R32" s="792" t="str">
        <f t="shared" si="7"/>
        <v>--</v>
      </c>
      <c r="S32" s="793" t="str">
        <f t="shared" si="8"/>
        <v>--</v>
      </c>
      <c r="T32" s="794" t="str">
        <f t="shared" si="9"/>
        <v>--</v>
      </c>
      <c r="U32" s="795" t="str">
        <f t="shared" si="10"/>
        <v>--</v>
      </c>
      <c r="V32" s="796" t="str">
        <f t="shared" si="11"/>
        <v>--</v>
      </c>
      <c r="W32" s="797" t="str">
        <f t="shared" si="12"/>
        <v>--</v>
      </c>
      <c r="X32" s="798" t="str">
        <f t="shared" si="13"/>
        <v>--</v>
      </c>
      <c r="Y32" s="799" t="str">
        <f t="shared" si="14"/>
        <v>--</v>
      </c>
      <c r="Z32" s="800" t="str">
        <f t="shared" si="15"/>
        <v>--</v>
      </c>
      <c r="AA32" s="801" t="str">
        <f t="shared" si="16"/>
        <v>--</v>
      </c>
      <c r="AB32" s="802">
        <f t="shared" si="17"/>
      </c>
      <c r="AC32" s="27">
        <f t="shared" si="18"/>
      </c>
      <c r="AD32" s="536"/>
    </row>
    <row r="33" spans="2:30" s="16" customFormat="1" ht="16.5" customHeight="1">
      <c r="B33" s="124"/>
      <c r="C33" s="769"/>
      <c r="D33" s="769"/>
      <c r="E33" s="776"/>
      <c r="F33" s="777"/>
      <c r="G33" s="776"/>
      <c r="H33" s="436">
        <f t="shared" si="0"/>
        <v>20</v>
      </c>
      <c r="I33" s="624">
        <f t="shared" si="1"/>
        <v>46.96099999999999</v>
      </c>
      <c r="J33" s="785"/>
      <c r="K33" s="787"/>
      <c r="L33" s="23">
        <f t="shared" si="2"/>
      </c>
      <c r="M33" s="24">
        <f t="shared" si="3"/>
      </c>
      <c r="N33" s="789"/>
      <c r="O33" s="790">
        <f t="shared" si="4"/>
      </c>
      <c r="P33" s="791">
        <f t="shared" si="5"/>
      </c>
      <c r="Q33" s="791">
        <f t="shared" si="6"/>
      </c>
      <c r="R33" s="792" t="str">
        <f t="shared" si="7"/>
        <v>--</v>
      </c>
      <c r="S33" s="793" t="str">
        <f t="shared" si="8"/>
        <v>--</v>
      </c>
      <c r="T33" s="794" t="str">
        <f t="shared" si="9"/>
        <v>--</v>
      </c>
      <c r="U33" s="795" t="str">
        <f t="shared" si="10"/>
        <v>--</v>
      </c>
      <c r="V33" s="796" t="str">
        <f t="shared" si="11"/>
        <v>--</v>
      </c>
      <c r="W33" s="797" t="str">
        <f t="shared" si="12"/>
        <v>--</v>
      </c>
      <c r="X33" s="798" t="str">
        <f t="shared" si="13"/>
        <v>--</v>
      </c>
      <c r="Y33" s="799" t="str">
        <f t="shared" si="14"/>
        <v>--</v>
      </c>
      <c r="Z33" s="800" t="str">
        <f t="shared" si="15"/>
        <v>--</v>
      </c>
      <c r="AA33" s="801" t="str">
        <f t="shared" si="16"/>
        <v>--</v>
      </c>
      <c r="AB33" s="802">
        <f t="shared" si="17"/>
      </c>
      <c r="AC33" s="27">
        <f t="shared" si="18"/>
      </c>
      <c r="AD33" s="536"/>
    </row>
    <row r="34" spans="2:30" s="16" customFormat="1" ht="16.5" customHeight="1">
      <c r="B34" s="124"/>
      <c r="C34" s="769"/>
      <c r="D34" s="769"/>
      <c r="E34" s="776"/>
      <c r="F34" s="777"/>
      <c r="G34" s="776"/>
      <c r="H34" s="436">
        <f t="shared" si="0"/>
        <v>20</v>
      </c>
      <c r="I34" s="624">
        <f t="shared" si="1"/>
        <v>46.96099999999999</v>
      </c>
      <c r="J34" s="785"/>
      <c r="K34" s="787"/>
      <c r="L34" s="23">
        <f t="shared" si="2"/>
      </c>
      <c r="M34" s="24">
        <f t="shared" si="3"/>
      </c>
      <c r="N34" s="789"/>
      <c r="O34" s="790">
        <f t="shared" si="4"/>
      </c>
      <c r="P34" s="791">
        <f t="shared" si="5"/>
      </c>
      <c r="Q34" s="791">
        <f t="shared" si="6"/>
      </c>
      <c r="R34" s="792" t="str">
        <f t="shared" si="7"/>
        <v>--</v>
      </c>
      <c r="S34" s="793" t="str">
        <f t="shared" si="8"/>
        <v>--</v>
      </c>
      <c r="T34" s="794" t="str">
        <f t="shared" si="9"/>
        <v>--</v>
      </c>
      <c r="U34" s="795" t="str">
        <f t="shared" si="10"/>
        <v>--</v>
      </c>
      <c r="V34" s="796" t="str">
        <f t="shared" si="11"/>
        <v>--</v>
      </c>
      <c r="W34" s="797" t="str">
        <f t="shared" si="12"/>
        <v>--</v>
      </c>
      <c r="X34" s="798" t="str">
        <f t="shared" si="13"/>
        <v>--</v>
      </c>
      <c r="Y34" s="799" t="str">
        <f t="shared" si="14"/>
        <v>--</v>
      </c>
      <c r="Z34" s="800" t="str">
        <f t="shared" si="15"/>
        <v>--</v>
      </c>
      <c r="AA34" s="801" t="str">
        <f t="shared" si="16"/>
        <v>--</v>
      </c>
      <c r="AB34" s="802">
        <f t="shared" si="17"/>
      </c>
      <c r="AC34" s="27">
        <f t="shared" si="18"/>
      </c>
      <c r="AD34" s="536"/>
    </row>
    <row r="35" spans="2:30" s="16" customFormat="1" ht="16.5" customHeight="1">
      <c r="B35" s="124"/>
      <c r="C35" s="769"/>
      <c r="D35" s="769"/>
      <c r="E35" s="776"/>
      <c r="F35" s="777"/>
      <c r="G35" s="776"/>
      <c r="H35" s="436">
        <f t="shared" si="0"/>
        <v>20</v>
      </c>
      <c r="I35" s="624">
        <f t="shared" si="1"/>
        <v>46.96099999999999</v>
      </c>
      <c r="J35" s="785"/>
      <c r="K35" s="787"/>
      <c r="L35" s="23">
        <f t="shared" si="2"/>
      </c>
      <c r="M35" s="24">
        <f t="shared" si="3"/>
      </c>
      <c r="N35" s="789"/>
      <c r="O35" s="790">
        <f t="shared" si="4"/>
      </c>
      <c r="P35" s="791">
        <f t="shared" si="5"/>
      </c>
      <c r="Q35" s="791">
        <f t="shared" si="6"/>
      </c>
      <c r="R35" s="792" t="str">
        <f t="shared" si="7"/>
        <v>--</v>
      </c>
      <c r="S35" s="793" t="str">
        <f t="shared" si="8"/>
        <v>--</v>
      </c>
      <c r="T35" s="794" t="str">
        <f t="shared" si="9"/>
        <v>--</v>
      </c>
      <c r="U35" s="795" t="str">
        <f t="shared" si="10"/>
        <v>--</v>
      </c>
      <c r="V35" s="796" t="str">
        <f t="shared" si="11"/>
        <v>--</v>
      </c>
      <c r="W35" s="797" t="str">
        <f t="shared" si="12"/>
        <v>--</v>
      </c>
      <c r="X35" s="798" t="str">
        <f t="shared" si="13"/>
        <v>--</v>
      </c>
      <c r="Y35" s="799" t="str">
        <f t="shared" si="14"/>
        <v>--</v>
      </c>
      <c r="Z35" s="800" t="str">
        <f t="shared" si="15"/>
        <v>--</v>
      </c>
      <c r="AA35" s="801" t="str">
        <f t="shared" si="16"/>
        <v>--</v>
      </c>
      <c r="AB35" s="802">
        <f t="shared" si="17"/>
      </c>
      <c r="AC35" s="27">
        <f t="shared" si="18"/>
      </c>
      <c r="AD35" s="536"/>
    </row>
    <row r="36" spans="2:30" s="16" customFormat="1" ht="16.5" customHeight="1">
      <c r="B36" s="124"/>
      <c r="C36" s="769"/>
      <c r="D36" s="769"/>
      <c r="E36" s="776"/>
      <c r="F36" s="777"/>
      <c r="G36" s="776"/>
      <c r="H36" s="436">
        <f t="shared" si="0"/>
        <v>20</v>
      </c>
      <c r="I36" s="624">
        <f t="shared" si="1"/>
        <v>46.96099999999999</v>
      </c>
      <c r="J36" s="785"/>
      <c r="K36" s="787"/>
      <c r="L36" s="23">
        <f t="shared" si="2"/>
      </c>
      <c r="M36" s="24">
        <f t="shared" si="3"/>
      </c>
      <c r="N36" s="789"/>
      <c r="O36" s="790">
        <f t="shared" si="4"/>
      </c>
      <c r="P36" s="791">
        <f t="shared" si="5"/>
      </c>
      <c r="Q36" s="791">
        <f t="shared" si="6"/>
      </c>
      <c r="R36" s="792" t="str">
        <f t="shared" si="7"/>
        <v>--</v>
      </c>
      <c r="S36" s="793" t="str">
        <f t="shared" si="8"/>
        <v>--</v>
      </c>
      <c r="T36" s="794" t="str">
        <f t="shared" si="9"/>
        <v>--</v>
      </c>
      <c r="U36" s="795" t="str">
        <f t="shared" si="10"/>
        <v>--</v>
      </c>
      <c r="V36" s="796" t="str">
        <f t="shared" si="11"/>
        <v>--</v>
      </c>
      <c r="W36" s="797" t="str">
        <f t="shared" si="12"/>
        <v>--</v>
      </c>
      <c r="X36" s="798" t="str">
        <f t="shared" si="13"/>
        <v>--</v>
      </c>
      <c r="Y36" s="799" t="str">
        <f t="shared" si="14"/>
        <v>--</v>
      </c>
      <c r="Z36" s="800" t="str">
        <f t="shared" si="15"/>
        <v>--</v>
      </c>
      <c r="AA36" s="801" t="str">
        <f t="shared" si="16"/>
        <v>--</v>
      </c>
      <c r="AB36" s="802">
        <f t="shared" si="17"/>
      </c>
      <c r="AC36" s="27">
        <f t="shared" si="18"/>
      </c>
      <c r="AD36" s="536"/>
    </row>
    <row r="37" spans="2:30" s="16" customFormat="1" ht="16.5" customHeight="1">
      <c r="B37" s="124"/>
      <c r="C37" s="769"/>
      <c r="D37" s="769"/>
      <c r="E37" s="776"/>
      <c r="F37" s="777"/>
      <c r="G37" s="776"/>
      <c r="H37" s="436">
        <f t="shared" si="0"/>
        <v>20</v>
      </c>
      <c r="I37" s="624">
        <f t="shared" si="1"/>
        <v>46.96099999999999</v>
      </c>
      <c r="J37" s="785"/>
      <c r="K37" s="787"/>
      <c r="L37" s="23">
        <f t="shared" si="2"/>
      </c>
      <c r="M37" s="24">
        <f t="shared" si="3"/>
      </c>
      <c r="N37" s="789"/>
      <c r="O37" s="790">
        <f t="shared" si="4"/>
      </c>
      <c r="P37" s="791">
        <f t="shared" si="5"/>
      </c>
      <c r="Q37" s="791">
        <f t="shared" si="6"/>
      </c>
      <c r="R37" s="792" t="str">
        <f t="shared" si="7"/>
        <v>--</v>
      </c>
      <c r="S37" s="793" t="str">
        <f t="shared" si="8"/>
        <v>--</v>
      </c>
      <c r="T37" s="794" t="str">
        <f t="shared" si="9"/>
        <v>--</v>
      </c>
      <c r="U37" s="795" t="str">
        <f t="shared" si="10"/>
        <v>--</v>
      </c>
      <c r="V37" s="796" t="str">
        <f t="shared" si="11"/>
        <v>--</v>
      </c>
      <c r="W37" s="797" t="str">
        <f t="shared" si="12"/>
        <v>--</v>
      </c>
      <c r="X37" s="798" t="str">
        <f t="shared" si="13"/>
        <v>--</v>
      </c>
      <c r="Y37" s="799" t="str">
        <f t="shared" si="14"/>
        <v>--</v>
      </c>
      <c r="Z37" s="800" t="str">
        <f t="shared" si="15"/>
        <v>--</v>
      </c>
      <c r="AA37" s="801" t="str">
        <f t="shared" si="16"/>
        <v>--</v>
      </c>
      <c r="AB37" s="802">
        <f t="shared" si="17"/>
      </c>
      <c r="AC37" s="27">
        <f t="shared" si="18"/>
      </c>
      <c r="AD37" s="536"/>
    </row>
    <row r="38" spans="2:30" s="16" customFormat="1" ht="16.5" customHeight="1">
      <c r="B38" s="124"/>
      <c r="C38" s="769"/>
      <c r="D38" s="769"/>
      <c r="E38" s="776"/>
      <c r="F38" s="777"/>
      <c r="G38" s="776"/>
      <c r="H38" s="436">
        <f t="shared" si="0"/>
        <v>20</v>
      </c>
      <c r="I38" s="624">
        <f t="shared" si="1"/>
        <v>46.96099999999999</v>
      </c>
      <c r="J38" s="785"/>
      <c r="K38" s="787"/>
      <c r="L38" s="23">
        <f t="shared" si="2"/>
      </c>
      <c r="M38" s="24">
        <f t="shared" si="3"/>
      </c>
      <c r="N38" s="789"/>
      <c r="O38" s="790">
        <f t="shared" si="4"/>
      </c>
      <c r="P38" s="791">
        <f t="shared" si="5"/>
      </c>
      <c r="Q38" s="791">
        <f t="shared" si="6"/>
      </c>
      <c r="R38" s="792" t="str">
        <f t="shared" si="7"/>
        <v>--</v>
      </c>
      <c r="S38" s="793" t="str">
        <f t="shared" si="8"/>
        <v>--</v>
      </c>
      <c r="T38" s="794" t="str">
        <f t="shared" si="9"/>
        <v>--</v>
      </c>
      <c r="U38" s="795" t="str">
        <f t="shared" si="10"/>
        <v>--</v>
      </c>
      <c r="V38" s="796" t="str">
        <f t="shared" si="11"/>
        <v>--</v>
      </c>
      <c r="W38" s="797" t="str">
        <f t="shared" si="12"/>
        <v>--</v>
      </c>
      <c r="X38" s="798" t="str">
        <f t="shared" si="13"/>
        <v>--</v>
      </c>
      <c r="Y38" s="799" t="str">
        <f t="shared" si="14"/>
        <v>--</v>
      </c>
      <c r="Z38" s="800" t="str">
        <f t="shared" si="15"/>
        <v>--</v>
      </c>
      <c r="AA38" s="801" t="str">
        <f t="shared" si="16"/>
        <v>--</v>
      </c>
      <c r="AB38" s="802">
        <f t="shared" si="17"/>
      </c>
      <c r="AC38" s="27">
        <f t="shared" si="18"/>
      </c>
      <c r="AD38" s="536"/>
    </row>
    <row r="39" spans="2:30" s="16" customFormat="1" ht="16.5" customHeight="1">
      <c r="B39" s="124"/>
      <c r="C39" s="769"/>
      <c r="D39" s="769"/>
      <c r="E39" s="776"/>
      <c r="F39" s="777"/>
      <c r="G39" s="776"/>
      <c r="H39" s="436">
        <f t="shared" si="0"/>
        <v>20</v>
      </c>
      <c r="I39" s="624">
        <f t="shared" si="1"/>
        <v>46.96099999999999</v>
      </c>
      <c r="J39" s="785"/>
      <c r="K39" s="787"/>
      <c r="L39" s="23">
        <f t="shared" si="2"/>
      </c>
      <c r="M39" s="24">
        <f t="shared" si="3"/>
      </c>
      <c r="N39" s="789"/>
      <c r="O39" s="790">
        <f t="shared" si="4"/>
      </c>
      <c r="P39" s="791">
        <f t="shared" si="5"/>
      </c>
      <c r="Q39" s="791">
        <f t="shared" si="6"/>
      </c>
      <c r="R39" s="792" t="str">
        <f t="shared" si="7"/>
        <v>--</v>
      </c>
      <c r="S39" s="793" t="str">
        <f t="shared" si="8"/>
        <v>--</v>
      </c>
      <c r="T39" s="794" t="str">
        <f t="shared" si="9"/>
        <v>--</v>
      </c>
      <c r="U39" s="795" t="str">
        <f t="shared" si="10"/>
        <v>--</v>
      </c>
      <c r="V39" s="796" t="str">
        <f t="shared" si="11"/>
        <v>--</v>
      </c>
      <c r="W39" s="797" t="str">
        <f t="shared" si="12"/>
        <v>--</v>
      </c>
      <c r="X39" s="798" t="str">
        <f t="shared" si="13"/>
        <v>--</v>
      </c>
      <c r="Y39" s="799" t="str">
        <f t="shared" si="14"/>
        <v>--</v>
      </c>
      <c r="Z39" s="800" t="str">
        <f t="shared" si="15"/>
        <v>--</v>
      </c>
      <c r="AA39" s="801" t="str">
        <f t="shared" si="16"/>
        <v>--</v>
      </c>
      <c r="AB39" s="802">
        <f t="shared" si="17"/>
      </c>
      <c r="AC39" s="27">
        <f t="shared" si="18"/>
      </c>
      <c r="AD39" s="536"/>
    </row>
    <row r="40" spans="2:30" s="16" customFormat="1" ht="16.5" customHeight="1" thickBot="1">
      <c r="B40" s="124"/>
      <c r="C40" s="778"/>
      <c r="D40" s="778"/>
      <c r="E40" s="779"/>
      <c r="F40" s="778"/>
      <c r="G40" s="780"/>
      <c r="H40" s="430"/>
      <c r="I40" s="625"/>
      <c r="J40" s="788"/>
      <c r="K40" s="788"/>
      <c r="L40" s="30"/>
      <c r="M40" s="30"/>
      <c r="N40" s="788"/>
      <c r="O40" s="803"/>
      <c r="P40" s="788"/>
      <c r="Q40" s="788"/>
      <c r="R40" s="804"/>
      <c r="S40" s="805"/>
      <c r="T40" s="806"/>
      <c r="U40" s="807"/>
      <c r="V40" s="808"/>
      <c r="W40" s="809"/>
      <c r="X40" s="810"/>
      <c r="Y40" s="811"/>
      <c r="Z40" s="812"/>
      <c r="AA40" s="813"/>
      <c r="AB40" s="814"/>
      <c r="AC40" s="33"/>
      <c r="AD40" s="536"/>
    </row>
    <row r="41" spans="2:30" s="16" customFormat="1" ht="16.5" customHeight="1" thickBot="1" thickTop="1">
      <c r="B41" s="124"/>
      <c r="C41" s="269" t="s">
        <v>95</v>
      </c>
      <c r="D41" s="270" t="s">
        <v>96</v>
      </c>
      <c r="E41" s="34"/>
      <c r="F41" s="1"/>
      <c r="G41" s="35"/>
      <c r="H41" s="1"/>
      <c r="I41" s="36"/>
      <c r="J41" s="36"/>
      <c r="K41" s="36"/>
      <c r="L41" s="36"/>
      <c r="M41" s="36"/>
      <c r="N41" s="36"/>
      <c r="O41" s="37"/>
      <c r="P41" s="36"/>
      <c r="Q41" s="36"/>
      <c r="R41" s="423">
        <f aca="true" t="shared" si="19" ref="R41:AA41">SUM(R20:R40)</f>
        <v>1235.70069458</v>
      </c>
      <c r="S41" s="424">
        <f t="shared" si="19"/>
        <v>0</v>
      </c>
      <c r="T41" s="425">
        <f t="shared" si="19"/>
        <v>75726.03434</v>
      </c>
      <c r="U41" s="425">
        <f t="shared" si="19"/>
        <v>35606.64305</v>
      </c>
      <c r="V41" s="425">
        <f t="shared" si="19"/>
        <v>0</v>
      </c>
      <c r="W41" s="426">
        <f t="shared" si="19"/>
        <v>0</v>
      </c>
      <c r="X41" s="426">
        <f t="shared" si="19"/>
        <v>0</v>
      </c>
      <c r="Y41" s="426">
        <f t="shared" si="19"/>
        <v>0</v>
      </c>
      <c r="Z41" s="427">
        <f t="shared" si="19"/>
        <v>0</v>
      </c>
      <c r="AA41" s="428">
        <f t="shared" si="19"/>
        <v>0</v>
      </c>
      <c r="AB41" s="38"/>
      <c r="AC41" s="759">
        <f>ROUND(SUM(AC20:AC40),2)</f>
        <v>112568.38</v>
      </c>
      <c r="AD41" s="536"/>
    </row>
    <row r="42" spans="2:30" s="273" customFormat="1" ht="9.75" thickTop="1">
      <c r="B42" s="274"/>
      <c r="C42" s="271"/>
      <c r="D42" s="272" t="s">
        <v>97</v>
      </c>
      <c r="E42" s="275"/>
      <c r="F42" s="276"/>
      <c r="G42" s="277"/>
      <c r="H42" s="276"/>
      <c r="I42" s="278"/>
      <c r="J42" s="278"/>
      <c r="K42" s="278"/>
      <c r="L42" s="278"/>
      <c r="M42" s="278"/>
      <c r="N42" s="278"/>
      <c r="O42" s="279"/>
      <c r="P42" s="278"/>
      <c r="Q42" s="278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1"/>
      <c r="AD42" s="282"/>
    </row>
    <row r="43" spans="2:30" s="16" customFormat="1" ht="16.5" customHeight="1" thickBot="1">
      <c r="B43" s="153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5"/>
    </row>
    <row r="44" spans="2:30" ht="16.5" customHeight="1" thickTop="1">
      <c r="B44" s="12"/>
      <c r="AD44" s="12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AC157"/>
  <sheetViews>
    <sheetView zoomScale="75" zoomScaleNormal="75" workbookViewId="0" topLeftCell="A1">
      <selection activeCell="O98" sqref="O98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1:28" s="92" customFormat="1" ht="26.2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755"/>
    </row>
    <row r="2" spans="1:28" s="92" customFormat="1" ht="26.25">
      <c r="A2" s="142"/>
      <c r="B2" s="188" t="str">
        <f>+'tot-0402'!B2</f>
        <v>ANEXO I-1 a la Resolución ENRE N°            1107 /2006    .-</v>
      </c>
      <c r="C2" s="188"/>
      <c r="D2" s="188"/>
      <c r="E2" s="93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</row>
    <row r="3" spans="1:28" s="16" customFormat="1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</row>
    <row r="4" spans="1:28" s="99" customFormat="1" ht="11.25">
      <c r="A4" s="212" t="s">
        <v>101</v>
      </c>
      <c r="B4" s="213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</row>
    <row r="5" spans="1:28" s="99" customFormat="1" ht="11.25">
      <c r="A5" s="212" t="s">
        <v>53</v>
      </c>
      <c r="B5" s="213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</row>
    <row r="6" spans="1:28" s="16" customFormat="1" ht="13.5" thickBo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</row>
    <row r="7" spans="1:28" s="16" customFormat="1" ht="13.5" thickTop="1">
      <c r="A7" s="61"/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46"/>
    </row>
    <row r="8" spans="1:28" s="10" customFormat="1" ht="20.25">
      <c r="A8" s="190"/>
      <c r="B8" s="191"/>
      <c r="C8" s="190"/>
      <c r="D8" s="193" t="s">
        <v>68</v>
      </c>
      <c r="E8" s="190"/>
      <c r="F8" s="190"/>
      <c r="G8" s="192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39"/>
      <c r="S8" s="39"/>
      <c r="T8" s="39"/>
      <c r="U8" s="39"/>
      <c r="V8" s="39"/>
      <c r="W8" s="39"/>
      <c r="X8" s="39"/>
      <c r="Y8" s="39"/>
      <c r="Z8" s="39"/>
      <c r="AA8" s="39"/>
      <c r="AB8" s="159"/>
    </row>
    <row r="9" spans="1:28" s="16" customFormat="1" ht="12.75">
      <c r="A9" s="61"/>
      <c r="B9" s="180"/>
      <c r="C9" s="61"/>
      <c r="D9" s="62"/>
      <c r="E9" s="186"/>
      <c r="F9" s="61"/>
      <c r="G9" s="62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  <c r="S9" s="62"/>
      <c r="T9" s="62"/>
      <c r="U9" s="62"/>
      <c r="V9" s="62"/>
      <c r="W9" s="62"/>
      <c r="X9" s="62"/>
      <c r="Y9" s="62"/>
      <c r="Z9" s="62"/>
      <c r="AA9" s="62"/>
      <c r="AB9" s="147"/>
    </row>
    <row r="10" spans="1:28" s="10" customFormat="1" ht="20.25">
      <c r="A10" s="190"/>
      <c r="B10" s="191"/>
      <c r="C10" s="190"/>
      <c r="D10" s="193" t="s">
        <v>102</v>
      </c>
      <c r="E10" s="190"/>
      <c r="F10" s="64"/>
      <c r="G10" s="39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159"/>
    </row>
    <row r="11" spans="1:28" s="16" customFormat="1" ht="12.75">
      <c r="A11" s="61"/>
      <c r="B11" s="180"/>
      <c r="C11" s="61"/>
      <c r="D11" s="62"/>
      <c r="E11" s="62"/>
      <c r="F11" s="62"/>
      <c r="G11" s="62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147"/>
    </row>
    <row r="12" spans="1:28" s="16" customFormat="1" ht="20.25">
      <c r="A12" s="190"/>
      <c r="B12" s="191"/>
      <c r="C12" s="190"/>
      <c r="D12" s="194" t="s">
        <v>103</v>
      </c>
      <c r="E12" s="190"/>
      <c r="F12" s="190"/>
      <c r="G12" s="190"/>
      <c r="H12" s="187"/>
      <c r="I12" s="187"/>
      <c r="J12" s="187"/>
      <c r="K12" s="187"/>
      <c r="L12" s="187"/>
      <c r="M12" s="61"/>
      <c r="N12" s="61"/>
      <c r="O12" s="61"/>
      <c r="P12" s="61"/>
      <c r="Q12" s="61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147"/>
    </row>
    <row r="13" spans="1:28" s="16" customFormat="1" ht="12.75">
      <c r="A13" s="61"/>
      <c r="B13" s="180"/>
      <c r="C13" s="61"/>
      <c r="D13" s="62"/>
      <c r="E13" s="62"/>
      <c r="F13" s="62"/>
      <c r="G13" s="181"/>
      <c r="H13" s="62"/>
      <c r="I13" s="62"/>
      <c r="J13" s="62"/>
      <c r="K13" s="62"/>
      <c r="L13" s="62"/>
      <c r="M13" s="61"/>
      <c r="N13" s="61"/>
      <c r="O13" s="61"/>
      <c r="P13" s="61"/>
      <c r="Q13" s="61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147"/>
    </row>
    <row r="14" spans="1:28" s="15" customFormat="1" ht="19.5">
      <c r="A14" s="195"/>
      <c r="B14" s="196" t="str">
        <f>+'tot-0402'!B14</f>
        <v>Desde el 01 al 29 de febrero de 2004</v>
      </c>
      <c r="C14" s="197"/>
      <c r="D14" s="198"/>
      <c r="E14" s="198"/>
      <c r="F14" s="198"/>
      <c r="G14" s="198"/>
      <c r="H14" s="198"/>
      <c r="I14" s="198"/>
      <c r="J14" s="198"/>
      <c r="K14" s="198"/>
      <c r="L14" s="198"/>
      <c r="M14" s="197"/>
      <c r="N14" s="197"/>
      <c r="O14" s="197"/>
      <c r="P14" s="197"/>
      <c r="Q14" s="197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9"/>
    </row>
    <row r="15" spans="1:28" s="16" customFormat="1" ht="13.5" thickBot="1">
      <c r="A15" s="61"/>
      <c r="B15" s="180"/>
      <c r="C15" s="61"/>
      <c r="D15" s="62"/>
      <c r="E15" s="62"/>
      <c r="F15" s="62"/>
      <c r="G15" s="181"/>
      <c r="H15" s="62"/>
      <c r="I15" s="62"/>
      <c r="J15" s="62"/>
      <c r="K15" s="62"/>
      <c r="L15" s="62"/>
      <c r="M15" s="61"/>
      <c r="N15" s="61"/>
      <c r="O15" s="61"/>
      <c r="P15" s="61"/>
      <c r="Q15" s="61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147"/>
    </row>
    <row r="16" spans="1:28" s="16" customFormat="1" ht="16.5" customHeight="1" thickBot="1" thickTop="1">
      <c r="A16" s="61"/>
      <c r="B16" s="180"/>
      <c r="C16" s="61"/>
      <c r="D16" s="351" t="s">
        <v>104</v>
      </c>
      <c r="E16" s="352"/>
      <c r="F16" s="353">
        <v>0.154</v>
      </c>
      <c r="H16" s="61"/>
      <c r="I16" s="61"/>
      <c r="J16" s="61"/>
      <c r="K16" s="61"/>
      <c r="L16" s="61"/>
      <c r="M16" s="61"/>
      <c r="N16" s="61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147"/>
    </row>
    <row r="17" spans="1:28" s="16" customFormat="1" ht="16.5" customHeight="1" thickBot="1" thickTop="1">
      <c r="A17" s="61"/>
      <c r="B17" s="180"/>
      <c r="C17" s="61"/>
      <c r="D17" s="200" t="s">
        <v>105</v>
      </c>
      <c r="E17" s="201"/>
      <c r="F17" s="202">
        <v>200</v>
      </c>
      <c r="G17"/>
      <c r="H17" s="62"/>
      <c r="I17" s="757"/>
      <c r="J17" s="758"/>
      <c r="K17" s="14"/>
      <c r="L17" s="62"/>
      <c r="M17" s="62"/>
      <c r="N17" s="62"/>
      <c r="O17" s="62"/>
      <c r="P17" s="62"/>
      <c r="Q17" s="62"/>
      <c r="R17" s="62"/>
      <c r="S17" s="62"/>
      <c r="T17" s="62"/>
      <c r="U17" s="63"/>
      <c r="V17" s="63"/>
      <c r="W17" s="63"/>
      <c r="X17" s="63"/>
      <c r="Y17" s="63"/>
      <c r="Z17" s="63"/>
      <c r="AA17" s="61"/>
      <c r="AB17" s="147"/>
    </row>
    <row r="18" spans="1:28" s="16" customFormat="1" ht="16.5" customHeight="1" thickBot="1" thickTop="1">
      <c r="A18" s="61"/>
      <c r="B18" s="180"/>
      <c r="C18" s="61"/>
      <c r="D18" s="62"/>
      <c r="E18" s="62"/>
      <c r="F18" s="62"/>
      <c r="G18" s="18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147"/>
    </row>
    <row r="19" spans="1:28" s="16" customFormat="1" ht="33.75" customHeight="1" thickBot="1" thickTop="1">
      <c r="A19" s="61"/>
      <c r="B19" s="180"/>
      <c r="C19" s="203" t="s">
        <v>73</v>
      </c>
      <c r="D19" s="206" t="s">
        <v>106</v>
      </c>
      <c r="E19" s="204" t="s">
        <v>43</v>
      </c>
      <c r="F19" s="207" t="s">
        <v>107</v>
      </c>
      <c r="G19" s="208" t="s">
        <v>74</v>
      </c>
      <c r="H19" s="347" t="s">
        <v>78</v>
      </c>
      <c r="I19" s="204" t="s">
        <v>79</v>
      </c>
      <c r="J19" s="204" t="s">
        <v>80</v>
      </c>
      <c r="K19" s="206" t="s">
        <v>108</v>
      </c>
      <c r="L19" s="206" t="s">
        <v>82</v>
      </c>
      <c r="M19" s="171" t="s">
        <v>83</v>
      </c>
      <c r="N19" s="171" t="s">
        <v>84</v>
      </c>
      <c r="O19" s="205" t="s">
        <v>86</v>
      </c>
      <c r="P19" s="204" t="s">
        <v>109</v>
      </c>
      <c r="Q19" s="445" t="s">
        <v>77</v>
      </c>
      <c r="R19" s="450" t="s">
        <v>87</v>
      </c>
      <c r="S19" s="456" t="s">
        <v>88</v>
      </c>
      <c r="T19" s="344" t="s">
        <v>110</v>
      </c>
      <c r="U19" s="346"/>
      <c r="V19" s="472" t="s">
        <v>111</v>
      </c>
      <c r="W19" s="473"/>
      <c r="X19" s="485" t="s">
        <v>91</v>
      </c>
      <c r="Y19" s="490" t="s">
        <v>92</v>
      </c>
      <c r="Z19" s="174" t="s">
        <v>93</v>
      </c>
      <c r="AA19" s="208" t="s">
        <v>94</v>
      </c>
      <c r="AB19" s="147"/>
    </row>
    <row r="20" spans="1:28" s="16" customFormat="1" ht="16.5" customHeight="1" hidden="1" thickTop="1">
      <c r="A20" s="61"/>
      <c r="B20" s="180"/>
      <c r="C20" s="442"/>
      <c r="D20" s="442"/>
      <c r="E20" s="442"/>
      <c r="F20" s="442"/>
      <c r="G20" s="443"/>
      <c r="H20" s="441"/>
      <c r="I20" s="442"/>
      <c r="J20" s="442"/>
      <c r="K20" s="442"/>
      <c r="L20" s="442"/>
      <c r="M20" s="442"/>
      <c r="N20" s="416"/>
      <c r="O20" s="444"/>
      <c r="P20" s="442"/>
      <c r="Q20" s="446"/>
      <c r="R20" s="451"/>
      <c r="S20" s="457"/>
      <c r="T20" s="462"/>
      <c r="U20" s="463"/>
      <c r="V20" s="474"/>
      <c r="W20" s="475"/>
      <c r="X20" s="486"/>
      <c r="Y20" s="491"/>
      <c r="Z20" s="444"/>
      <c r="AA20" s="629"/>
      <c r="AB20" s="147"/>
    </row>
    <row r="21" spans="1:28" s="16" customFormat="1" ht="16.5" customHeight="1" thickTop="1">
      <c r="A21" s="61"/>
      <c r="B21" s="180"/>
      <c r="C21" s="41"/>
      <c r="D21" s="41"/>
      <c r="E21" s="41"/>
      <c r="F21" s="41"/>
      <c r="G21" s="42"/>
      <c r="H21" s="355"/>
      <c r="I21" s="41"/>
      <c r="J21" s="41"/>
      <c r="K21" s="41"/>
      <c r="L21" s="41"/>
      <c r="M21" s="41"/>
      <c r="N21" s="18"/>
      <c r="O21" s="43"/>
      <c r="P21" s="41"/>
      <c r="Q21" s="447"/>
      <c r="R21" s="452"/>
      <c r="S21" s="458"/>
      <c r="T21" s="464"/>
      <c r="U21" s="465"/>
      <c r="V21" s="476"/>
      <c r="W21" s="477"/>
      <c r="X21" s="487"/>
      <c r="Y21" s="492"/>
      <c r="Z21" s="43"/>
      <c r="AA21" s="209"/>
      <c r="AB21" s="147"/>
    </row>
    <row r="22" spans="1:28" s="16" customFormat="1" ht="16.5" customHeight="1">
      <c r="A22" s="61"/>
      <c r="B22" s="180"/>
      <c r="C22" s="770">
        <v>12</v>
      </c>
      <c r="D22" s="817" t="s">
        <v>18</v>
      </c>
      <c r="E22" s="818" t="s">
        <v>13</v>
      </c>
      <c r="F22" s="819">
        <v>300</v>
      </c>
      <c r="G22" s="820" t="s">
        <v>11</v>
      </c>
      <c r="H22" s="626">
        <f aca="true" t="shared" si="0" ref="H22:H41">F22*$F$16</f>
        <v>46.2</v>
      </c>
      <c r="I22" s="826">
        <v>38018</v>
      </c>
      <c r="J22" s="826">
        <v>38028.629166666666</v>
      </c>
      <c r="K22" s="52">
        <f aca="true" t="shared" si="1" ref="K22:K41">IF(D22="","",(J22-I22)*24)</f>
        <v>255.09999999997672</v>
      </c>
      <c r="L22" s="53">
        <f aca="true" t="shared" si="2" ref="L22:L41">IF(D22="","",ROUND((J22-I22)*24*60,0))</f>
        <v>15306</v>
      </c>
      <c r="M22" s="828" t="s">
        <v>206</v>
      </c>
      <c r="N22" s="816" t="str">
        <f aca="true" t="shared" si="3" ref="N22:N41">IF(D22="","","--")</f>
        <v>--</v>
      </c>
      <c r="O22" s="829" t="str">
        <f aca="true" t="shared" si="4" ref="O22:O41">IF(D22="","",IF(OR(M22="P",M22="RP"),"--","NO"))</f>
        <v>NO</v>
      </c>
      <c r="P22" s="791" t="str">
        <f aca="true" t="shared" si="5" ref="P22:P41">IF(D22="","","NO")</f>
        <v>NO</v>
      </c>
      <c r="Q22" s="448">
        <f aca="true" t="shared" si="6" ref="Q22:Q41">$F$17*IF(OR(M22="P",M22="RP"),0.1,1)*IF(P22="SI",1,0.1)</f>
        <v>20</v>
      </c>
      <c r="R22" s="453" t="str">
        <f aca="true" t="shared" si="7" ref="R22:R41">IF(M22="P",H22*Q22*ROUND(L22/60,2),"--")</f>
        <v>--</v>
      </c>
      <c r="S22" s="459" t="str">
        <f aca="true" t="shared" si="8" ref="S22:S41">IF(M22="RP",H22*Q22*N22/100*ROUND(L22/60,2),"--")</f>
        <v>--</v>
      </c>
      <c r="T22" s="466" t="str">
        <f aca="true" t="shared" si="9" ref="T22:T41">IF(AND(M22="F",O22="NO"),H22*Q22,"--")</f>
        <v>--</v>
      </c>
      <c r="U22" s="467" t="str">
        <f aca="true" t="shared" si="10" ref="U22:U41">IF(M22="F",H22*Q22*ROUND(L22/60,2),"--")</f>
        <v>--</v>
      </c>
      <c r="V22" s="478" t="str">
        <f aca="true" t="shared" si="11" ref="V22:V41">IF(AND(M22="R",O22="NO"),H22*Q22*N22/100,"--")</f>
        <v>--</v>
      </c>
      <c r="W22" s="479" t="str">
        <f aca="true" t="shared" si="12" ref="W22:W41">IF(M22="R",H22*Q22*N22/100*ROUND(L22/60,2),"--")</f>
        <v>--</v>
      </c>
      <c r="X22" s="488">
        <f aca="true" t="shared" si="13" ref="X22:X41">IF(M22="RF",H22*Q22*ROUND(L22/60,2),"--")</f>
        <v>235712.4</v>
      </c>
      <c r="Y22" s="493" t="str">
        <f aca="true" t="shared" si="14" ref="Y22:Y41">IF(M22="RR",H22*Q22*N22/100*ROUND(L22/60,2),"--")</f>
        <v>--</v>
      </c>
      <c r="Z22" s="55" t="str">
        <f aca="true" t="shared" si="15" ref="Z22:Z41">IF(D22="","","SI")</f>
        <v>SI</v>
      </c>
      <c r="AA22" s="210">
        <f aca="true" t="shared" si="16" ref="AA22:AA41">IF(D22="","",SUM(R22:Y22)*IF(Z22="SI",1,2))</f>
        <v>235712.4</v>
      </c>
      <c r="AB22" s="147"/>
    </row>
    <row r="23" spans="1:28" s="16" customFormat="1" ht="16.5" customHeight="1">
      <c r="A23" s="61"/>
      <c r="B23" s="180"/>
      <c r="C23" s="770">
        <v>13</v>
      </c>
      <c r="D23" s="817" t="s">
        <v>15</v>
      </c>
      <c r="E23" s="818" t="s">
        <v>16</v>
      </c>
      <c r="F23" s="819">
        <v>800</v>
      </c>
      <c r="G23" s="820" t="s">
        <v>17</v>
      </c>
      <c r="H23" s="626">
        <f t="shared" si="0"/>
        <v>123.2</v>
      </c>
      <c r="I23" s="826">
        <v>38025.364583333336</v>
      </c>
      <c r="J23" s="826">
        <v>38025.646527777775</v>
      </c>
      <c r="K23" s="52">
        <f t="shared" si="1"/>
        <v>6.766666666546371</v>
      </c>
      <c r="L23" s="53">
        <f t="shared" si="2"/>
        <v>406</v>
      </c>
      <c r="M23" s="828" t="s">
        <v>205</v>
      </c>
      <c r="N23" s="816" t="str">
        <f t="shared" si="3"/>
        <v>--</v>
      </c>
      <c r="O23" s="829" t="str">
        <f t="shared" si="4"/>
        <v>--</v>
      </c>
      <c r="P23" s="791" t="str">
        <f t="shared" si="5"/>
        <v>NO</v>
      </c>
      <c r="Q23" s="448">
        <f t="shared" si="6"/>
        <v>2</v>
      </c>
      <c r="R23" s="453">
        <f t="shared" si="7"/>
        <v>1668.128</v>
      </c>
      <c r="S23" s="459" t="str">
        <f t="shared" si="8"/>
        <v>--</v>
      </c>
      <c r="T23" s="466" t="str">
        <f t="shared" si="9"/>
        <v>--</v>
      </c>
      <c r="U23" s="467" t="str">
        <f t="shared" si="10"/>
        <v>--</v>
      </c>
      <c r="V23" s="478" t="str">
        <f t="shared" si="11"/>
        <v>--</v>
      </c>
      <c r="W23" s="479" t="str">
        <f t="shared" si="12"/>
        <v>--</v>
      </c>
      <c r="X23" s="488" t="str">
        <f t="shared" si="13"/>
        <v>--</v>
      </c>
      <c r="Y23" s="493" t="str">
        <f t="shared" si="14"/>
        <v>--</v>
      </c>
      <c r="Z23" s="55" t="str">
        <f t="shared" si="15"/>
        <v>SI</v>
      </c>
      <c r="AA23" s="210">
        <f t="shared" si="16"/>
        <v>1668.128</v>
      </c>
      <c r="AB23" s="147"/>
    </row>
    <row r="24" spans="1:28" s="16" customFormat="1" ht="16.5" customHeight="1">
      <c r="A24" s="61"/>
      <c r="B24" s="180"/>
      <c r="C24" s="770"/>
      <c r="D24" s="817"/>
      <c r="E24" s="818"/>
      <c r="F24" s="819"/>
      <c r="G24" s="820"/>
      <c r="H24" s="626">
        <f t="shared" si="0"/>
        <v>0</v>
      </c>
      <c r="I24" s="826"/>
      <c r="J24" s="826"/>
      <c r="K24" s="52">
        <f t="shared" si="1"/>
      </c>
      <c r="L24" s="53">
        <f t="shared" si="2"/>
      </c>
      <c r="M24" s="828"/>
      <c r="N24" s="816">
        <f t="shared" si="3"/>
      </c>
      <c r="O24" s="829">
        <f t="shared" si="4"/>
      </c>
      <c r="P24" s="791">
        <f t="shared" si="5"/>
      </c>
      <c r="Q24" s="448">
        <f t="shared" si="6"/>
        <v>20</v>
      </c>
      <c r="R24" s="453" t="str">
        <f t="shared" si="7"/>
        <v>--</v>
      </c>
      <c r="S24" s="459" t="str">
        <f t="shared" si="8"/>
        <v>--</v>
      </c>
      <c r="T24" s="466" t="str">
        <f t="shared" si="9"/>
        <v>--</v>
      </c>
      <c r="U24" s="467" t="str">
        <f t="shared" si="10"/>
        <v>--</v>
      </c>
      <c r="V24" s="478" t="str">
        <f t="shared" si="11"/>
        <v>--</v>
      </c>
      <c r="W24" s="479" t="str">
        <f t="shared" si="12"/>
        <v>--</v>
      </c>
      <c r="X24" s="488" t="str">
        <f t="shared" si="13"/>
        <v>--</v>
      </c>
      <c r="Y24" s="493" t="str">
        <f t="shared" si="14"/>
        <v>--</v>
      </c>
      <c r="Z24" s="55">
        <f t="shared" si="15"/>
      </c>
      <c r="AA24" s="210">
        <f t="shared" si="16"/>
      </c>
      <c r="AB24" s="147"/>
    </row>
    <row r="25" spans="1:28" s="16" customFormat="1" ht="16.5" customHeight="1">
      <c r="A25" s="61"/>
      <c r="B25" s="180"/>
      <c r="C25" s="770"/>
      <c r="D25" s="817"/>
      <c r="E25" s="818"/>
      <c r="F25" s="819"/>
      <c r="G25" s="820"/>
      <c r="H25" s="626">
        <f t="shared" si="0"/>
        <v>0</v>
      </c>
      <c r="I25" s="826"/>
      <c r="J25" s="826"/>
      <c r="K25" s="52">
        <f t="shared" si="1"/>
      </c>
      <c r="L25" s="53">
        <f t="shared" si="2"/>
      </c>
      <c r="M25" s="828"/>
      <c r="N25" s="816">
        <f t="shared" si="3"/>
      </c>
      <c r="O25" s="829">
        <f t="shared" si="4"/>
      </c>
      <c r="P25" s="791">
        <f t="shared" si="5"/>
      </c>
      <c r="Q25" s="448">
        <f t="shared" si="6"/>
        <v>20</v>
      </c>
      <c r="R25" s="453" t="str">
        <f t="shared" si="7"/>
        <v>--</v>
      </c>
      <c r="S25" s="459" t="str">
        <f t="shared" si="8"/>
        <v>--</v>
      </c>
      <c r="T25" s="466" t="str">
        <f t="shared" si="9"/>
        <v>--</v>
      </c>
      <c r="U25" s="467" t="str">
        <f t="shared" si="10"/>
        <v>--</v>
      </c>
      <c r="V25" s="478" t="str">
        <f t="shared" si="11"/>
        <v>--</v>
      </c>
      <c r="W25" s="479" t="str">
        <f t="shared" si="12"/>
        <v>--</v>
      </c>
      <c r="X25" s="488" t="str">
        <f t="shared" si="13"/>
        <v>--</v>
      </c>
      <c r="Y25" s="493" t="str">
        <f t="shared" si="14"/>
        <v>--</v>
      </c>
      <c r="Z25" s="55">
        <f t="shared" si="15"/>
      </c>
      <c r="AA25" s="210">
        <f t="shared" si="16"/>
      </c>
      <c r="AB25" s="147"/>
    </row>
    <row r="26" spans="1:28" s="16" customFormat="1" ht="16.5" customHeight="1">
      <c r="A26" s="61"/>
      <c r="B26" s="180"/>
      <c r="C26" s="770"/>
      <c r="D26" s="817"/>
      <c r="E26" s="818"/>
      <c r="F26" s="819"/>
      <c r="G26" s="820"/>
      <c r="H26" s="626">
        <f t="shared" si="0"/>
        <v>0</v>
      </c>
      <c r="I26" s="826"/>
      <c r="J26" s="826"/>
      <c r="K26" s="52">
        <f t="shared" si="1"/>
      </c>
      <c r="L26" s="53">
        <f t="shared" si="2"/>
      </c>
      <c r="M26" s="828"/>
      <c r="N26" s="816">
        <f t="shared" si="3"/>
      </c>
      <c r="O26" s="829">
        <f t="shared" si="4"/>
      </c>
      <c r="P26" s="791">
        <f t="shared" si="5"/>
      </c>
      <c r="Q26" s="448">
        <f t="shared" si="6"/>
        <v>20</v>
      </c>
      <c r="R26" s="453" t="str">
        <f t="shared" si="7"/>
        <v>--</v>
      </c>
      <c r="S26" s="459" t="str">
        <f t="shared" si="8"/>
        <v>--</v>
      </c>
      <c r="T26" s="466" t="str">
        <f t="shared" si="9"/>
        <v>--</v>
      </c>
      <c r="U26" s="467" t="str">
        <f t="shared" si="10"/>
        <v>--</v>
      </c>
      <c r="V26" s="478" t="str">
        <f t="shared" si="11"/>
        <v>--</v>
      </c>
      <c r="W26" s="479" t="str">
        <f t="shared" si="12"/>
        <v>--</v>
      </c>
      <c r="X26" s="488" t="str">
        <f t="shared" si="13"/>
        <v>--</v>
      </c>
      <c r="Y26" s="493" t="str">
        <f t="shared" si="14"/>
        <v>--</v>
      </c>
      <c r="Z26" s="55">
        <f t="shared" si="15"/>
      </c>
      <c r="AA26" s="210">
        <f t="shared" si="16"/>
      </c>
      <c r="AB26" s="147"/>
    </row>
    <row r="27" spans="1:28" s="16" customFormat="1" ht="16.5" customHeight="1">
      <c r="A27" s="61"/>
      <c r="B27" s="180"/>
      <c r="C27" s="770"/>
      <c r="D27" s="817"/>
      <c r="E27" s="818"/>
      <c r="F27" s="819"/>
      <c r="G27" s="820"/>
      <c r="H27" s="626">
        <f t="shared" si="0"/>
        <v>0</v>
      </c>
      <c r="I27" s="826"/>
      <c r="J27" s="826"/>
      <c r="K27" s="52">
        <f t="shared" si="1"/>
      </c>
      <c r="L27" s="53">
        <f t="shared" si="2"/>
      </c>
      <c r="M27" s="828"/>
      <c r="N27" s="816">
        <f t="shared" si="3"/>
      </c>
      <c r="O27" s="829">
        <f t="shared" si="4"/>
      </c>
      <c r="P27" s="791">
        <f t="shared" si="5"/>
      </c>
      <c r="Q27" s="448">
        <f t="shared" si="6"/>
        <v>20</v>
      </c>
      <c r="R27" s="453" t="str">
        <f t="shared" si="7"/>
        <v>--</v>
      </c>
      <c r="S27" s="459" t="str">
        <f t="shared" si="8"/>
        <v>--</v>
      </c>
      <c r="T27" s="466" t="str">
        <f t="shared" si="9"/>
        <v>--</v>
      </c>
      <c r="U27" s="467" t="str">
        <f t="shared" si="10"/>
        <v>--</v>
      </c>
      <c r="V27" s="478" t="str">
        <f t="shared" si="11"/>
        <v>--</v>
      </c>
      <c r="W27" s="479" t="str">
        <f t="shared" si="12"/>
        <v>--</v>
      </c>
      <c r="X27" s="488" t="str">
        <f t="shared" si="13"/>
        <v>--</v>
      </c>
      <c r="Y27" s="493" t="str">
        <f t="shared" si="14"/>
        <v>--</v>
      </c>
      <c r="Z27" s="55">
        <f t="shared" si="15"/>
      </c>
      <c r="AA27" s="210">
        <f t="shared" si="16"/>
      </c>
      <c r="AB27" s="147"/>
    </row>
    <row r="28" spans="1:29" s="16" customFormat="1" ht="16.5" customHeight="1">
      <c r="A28" s="61"/>
      <c r="B28" s="180"/>
      <c r="C28" s="770"/>
      <c r="D28" s="817"/>
      <c r="E28" s="818"/>
      <c r="F28" s="819"/>
      <c r="G28" s="820"/>
      <c r="H28" s="626">
        <f t="shared" si="0"/>
        <v>0</v>
      </c>
      <c r="I28" s="826"/>
      <c r="J28" s="826"/>
      <c r="K28" s="52">
        <f t="shared" si="1"/>
      </c>
      <c r="L28" s="53">
        <f t="shared" si="2"/>
      </c>
      <c r="M28" s="828"/>
      <c r="N28" s="816">
        <f t="shared" si="3"/>
      </c>
      <c r="O28" s="829">
        <f t="shared" si="4"/>
      </c>
      <c r="P28" s="791">
        <f t="shared" si="5"/>
      </c>
      <c r="Q28" s="448">
        <f t="shared" si="6"/>
        <v>20</v>
      </c>
      <c r="R28" s="453" t="str">
        <f t="shared" si="7"/>
        <v>--</v>
      </c>
      <c r="S28" s="459" t="str">
        <f t="shared" si="8"/>
        <v>--</v>
      </c>
      <c r="T28" s="466" t="str">
        <f t="shared" si="9"/>
        <v>--</v>
      </c>
      <c r="U28" s="467" t="str">
        <f t="shared" si="10"/>
        <v>--</v>
      </c>
      <c r="V28" s="478" t="str">
        <f t="shared" si="11"/>
        <v>--</v>
      </c>
      <c r="W28" s="479" t="str">
        <f t="shared" si="12"/>
        <v>--</v>
      </c>
      <c r="X28" s="488" t="str">
        <f t="shared" si="13"/>
        <v>--</v>
      </c>
      <c r="Y28" s="493" t="str">
        <f t="shared" si="14"/>
        <v>--</v>
      </c>
      <c r="Z28" s="55">
        <f t="shared" si="15"/>
      </c>
      <c r="AA28" s="210">
        <f t="shared" si="16"/>
      </c>
      <c r="AB28" s="147"/>
      <c r="AC28" s="62"/>
    </row>
    <row r="29" spans="1:28" s="16" customFormat="1" ht="16.5" customHeight="1">
      <c r="A29" s="61"/>
      <c r="B29" s="180"/>
      <c r="C29" s="770"/>
      <c r="D29" s="817"/>
      <c r="E29" s="818"/>
      <c r="F29" s="819"/>
      <c r="G29" s="820"/>
      <c r="H29" s="626">
        <f t="shared" si="0"/>
        <v>0</v>
      </c>
      <c r="I29" s="826"/>
      <c r="J29" s="826"/>
      <c r="K29" s="52">
        <f t="shared" si="1"/>
      </c>
      <c r="L29" s="53">
        <f t="shared" si="2"/>
      </c>
      <c r="M29" s="828"/>
      <c r="N29" s="816">
        <f t="shared" si="3"/>
      </c>
      <c r="O29" s="829">
        <f t="shared" si="4"/>
      </c>
      <c r="P29" s="791">
        <f t="shared" si="5"/>
      </c>
      <c r="Q29" s="448">
        <f t="shared" si="6"/>
        <v>20</v>
      </c>
      <c r="R29" s="453" t="str">
        <f t="shared" si="7"/>
        <v>--</v>
      </c>
      <c r="S29" s="459" t="str">
        <f t="shared" si="8"/>
        <v>--</v>
      </c>
      <c r="T29" s="466" t="str">
        <f t="shared" si="9"/>
        <v>--</v>
      </c>
      <c r="U29" s="467" t="str">
        <f t="shared" si="10"/>
        <v>--</v>
      </c>
      <c r="V29" s="478" t="str">
        <f t="shared" si="11"/>
        <v>--</v>
      </c>
      <c r="W29" s="479" t="str">
        <f t="shared" si="12"/>
        <v>--</v>
      </c>
      <c r="X29" s="488" t="str">
        <f t="shared" si="13"/>
        <v>--</v>
      </c>
      <c r="Y29" s="493" t="str">
        <f t="shared" si="14"/>
        <v>--</v>
      </c>
      <c r="Z29" s="55">
        <f t="shared" si="15"/>
      </c>
      <c r="AA29" s="210">
        <f t="shared" si="16"/>
      </c>
      <c r="AB29" s="147"/>
    </row>
    <row r="30" spans="1:28" s="16" customFormat="1" ht="16.5" customHeight="1">
      <c r="A30" s="61"/>
      <c r="B30" s="180"/>
      <c r="C30" s="770"/>
      <c r="D30" s="817"/>
      <c r="E30" s="818"/>
      <c r="F30" s="819"/>
      <c r="G30" s="820"/>
      <c r="H30" s="626">
        <f t="shared" si="0"/>
        <v>0</v>
      </c>
      <c r="I30" s="826"/>
      <c r="J30" s="826"/>
      <c r="K30" s="52">
        <f t="shared" si="1"/>
      </c>
      <c r="L30" s="53">
        <f t="shared" si="2"/>
      </c>
      <c r="M30" s="828"/>
      <c r="N30" s="816">
        <f t="shared" si="3"/>
      </c>
      <c r="O30" s="829">
        <f t="shared" si="4"/>
      </c>
      <c r="P30" s="791">
        <f t="shared" si="5"/>
      </c>
      <c r="Q30" s="448">
        <f t="shared" si="6"/>
        <v>20</v>
      </c>
      <c r="R30" s="453" t="str">
        <f t="shared" si="7"/>
        <v>--</v>
      </c>
      <c r="S30" s="459" t="str">
        <f t="shared" si="8"/>
        <v>--</v>
      </c>
      <c r="T30" s="466" t="str">
        <f t="shared" si="9"/>
        <v>--</v>
      </c>
      <c r="U30" s="467" t="str">
        <f t="shared" si="10"/>
        <v>--</v>
      </c>
      <c r="V30" s="478" t="str">
        <f t="shared" si="11"/>
        <v>--</v>
      </c>
      <c r="W30" s="479" t="str">
        <f t="shared" si="12"/>
        <v>--</v>
      </c>
      <c r="X30" s="488" t="str">
        <f t="shared" si="13"/>
        <v>--</v>
      </c>
      <c r="Y30" s="493" t="str">
        <f t="shared" si="14"/>
        <v>--</v>
      </c>
      <c r="Z30" s="55">
        <f t="shared" si="15"/>
      </c>
      <c r="AA30" s="210">
        <f t="shared" si="16"/>
      </c>
      <c r="AB30" s="147"/>
    </row>
    <row r="31" spans="1:28" s="16" customFormat="1" ht="16.5" customHeight="1">
      <c r="A31" s="61"/>
      <c r="B31" s="180"/>
      <c r="C31" s="770"/>
      <c r="D31" s="817"/>
      <c r="E31" s="818"/>
      <c r="F31" s="819"/>
      <c r="G31" s="820"/>
      <c r="H31" s="626">
        <f t="shared" si="0"/>
        <v>0</v>
      </c>
      <c r="I31" s="826"/>
      <c r="J31" s="826"/>
      <c r="K31" s="52">
        <f t="shared" si="1"/>
      </c>
      <c r="L31" s="53">
        <f t="shared" si="2"/>
      </c>
      <c r="M31" s="828"/>
      <c r="N31" s="816">
        <f t="shared" si="3"/>
      </c>
      <c r="O31" s="829">
        <f t="shared" si="4"/>
      </c>
      <c r="P31" s="791">
        <f t="shared" si="5"/>
      </c>
      <c r="Q31" s="448">
        <f t="shared" si="6"/>
        <v>20</v>
      </c>
      <c r="R31" s="453" t="str">
        <f t="shared" si="7"/>
        <v>--</v>
      </c>
      <c r="S31" s="459" t="str">
        <f t="shared" si="8"/>
        <v>--</v>
      </c>
      <c r="T31" s="466" t="str">
        <f t="shared" si="9"/>
        <v>--</v>
      </c>
      <c r="U31" s="467" t="str">
        <f t="shared" si="10"/>
        <v>--</v>
      </c>
      <c r="V31" s="478" t="str">
        <f t="shared" si="11"/>
        <v>--</v>
      </c>
      <c r="W31" s="479" t="str">
        <f t="shared" si="12"/>
        <v>--</v>
      </c>
      <c r="X31" s="488" t="str">
        <f t="shared" si="13"/>
        <v>--</v>
      </c>
      <c r="Y31" s="493" t="str">
        <f t="shared" si="14"/>
        <v>--</v>
      </c>
      <c r="Z31" s="55">
        <f t="shared" si="15"/>
      </c>
      <c r="AA31" s="210">
        <f t="shared" si="16"/>
      </c>
      <c r="AB31" s="147"/>
    </row>
    <row r="32" spans="1:28" s="16" customFormat="1" ht="16.5" customHeight="1">
      <c r="A32" s="61"/>
      <c r="B32" s="180"/>
      <c r="C32" s="770"/>
      <c r="D32" s="817"/>
      <c r="E32" s="821"/>
      <c r="F32" s="819"/>
      <c r="G32" s="820"/>
      <c r="H32" s="626">
        <f t="shared" si="0"/>
        <v>0</v>
      </c>
      <c r="I32" s="826"/>
      <c r="J32" s="826"/>
      <c r="K32" s="52">
        <f t="shared" si="1"/>
      </c>
      <c r="L32" s="53">
        <f t="shared" si="2"/>
      </c>
      <c r="M32" s="828"/>
      <c r="N32" s="816">
        <f t="shared" si="3"/>
      </c>
      <c r="O32" s="829">
        <f t="shared" si="4"/>
      </c>
      <c r="P32" s="791">
        <f t="shared" si="5"/>
      </c>
      <c r="Q32" s="448">
        <f t="shared" si="6"/>
        <v>20</v>
      </c>
      <c r="R32" s="453" t="str">
        <f t="shared" si="7"/>
        <v>--</v>
      </c>
      <c r="S32" s="459" t="str">
        <f t="shared" si="8"/>
        <v>--</v>
      </c>
      <c r="T32" s="466" t="str">
        <f t="shared" si="9"/>
        <v>--</v>
      </c>
      <c r="U32" s="467" t="str">
        <f t="shared" si="10"/>
        <v>--</v>
      </c>
      <c r="V32" s="478" t="str">
        <f t="shared" si="11"/>
        <v>--</v>
      </c>
      <c r="W32" s="479" t="str">
        <f t="shared" si="12"/>
        <v>--</v>
      </c>
      <c r="X32" s="488" t="str">
        <f t="shared" si="13"/>
        <v>--</v>
      </c>
      <c r="Y32" s="493" t="str">
        <f t="shared" si="14"/>
        <v>--</v>
      </c>
      <c r="Z32" s="55">
        <f t="shared" si="15"/>
      </c>
      <c r="AA32" s="210">
        <f t="shared" si="16"/>
      </c>
      <c r="AB32" s="147"/>
    </row>
    <row r="33" spans="1:28" s="16" customFormat="1" ht="16.5" customHeight="1">
      <c r="A33" s="61"/>
      <c r="B33" s="180"/>
      <c r="C33" s="770"/>
      <c r="D33" s="817"/>
      <c r="E33" s="821"/>
      <c r="F33" s="819"/>
      <c r="G33" s="820"/>
      <c r="H33" s="626">
        <f t="shared" si="0"/>
        <v>0</v>
      </c>
      <c r="I33" s="826"/>
      <c r="J33" s="826"/>
      <c r="K33" s="52">
        <f t="shared" si="1"/>
      </c>
      <c r="L33" s="53">
        <f t="shared" si="2"/>
      </c>
      <c r="M33" s="828"/>
      <c r="N33" s="816">
        <f t="shared" si="3"/>
      </c>
      <c r="O33" s="829">
        <f t="shared" si="4"/>
      </c>
      <c r="P33" s="791">
        <f t="shared" si="5"/>
      </c>
      <c r="Q33" s="448">
        <f t="shared" si="6"/>
        <v>20</v>
      </c>
      <c r="R33" s="453" t="str">
        <f t="shared" si="7"/>
        <v>--</v>
      </c>
      <c r="S33" s="459" t="str">
        <f t="shared" si="8"/>
        <v>--</v>
      </c>
      <c r="T33" s="466" t="str">
        <f t="shared" si="9"/>
        <v>--</v>
      </c>
      <c r="U33" s="467" t="str">
        <f t="shared" si="10"/>
        <v>--</v>
      </c>
      <c r="V33" s="478" t="str">
        <f t="shared" si="11"/>
        <v>--</v>
      </c>
      <c r="W33" s="479" t="str">
        <f t="shared" si="12"/>
        <v>--</v>
      </c>
      <c r="X33" s="488" t="str">
        <f t="shared" si="13"/>
        <v>--</v>
      </c>
      <c r="Y33" s="493" t="str">
        <f t="shared" si="14"/>
        <v>--</v>
      </c>
      <c r="Z33" s="55">
        <f t="shared" si="15"/>
      </c>
      <c r="AA33" s="210">
        <f t="shared" si="16"/>
      </c>
      <c r="AB33" s="147"/>
    </row>
    <row r="34" spans="1:28" s="16" customFormat="1" ht="16.5" customHeight="1">
      <c r="A34" s="61"/>
      <c r="B34" s="180"/>
      <c r="C34" s="770"/>
      <c r="D34" s="817"/>
      <c r="E34" s="821"/>
      <c r="F34" s="819"/>
      <c r="G34" s="820"/>
      <c r="H34" s="626">
        <f t="shared" si="0"/>
        <v>0</v>
      </c>
      <c r="I34" s="826"/>
      <c r="J34" s="826"/>
      <c r="K34" s="52">
        <f t="shared" si="1"/>
      </c>
      <c r="L34" s="53">
        <f t="shared" si="2"/>
      </c>
      <c r="M34" s="828"/>
      <c r="N34" s="816">
        <f t="shared" si="3"/>
      </c>
      <c r="O34" s="829">
        <f t="shared" si="4"/>
      </c>
      <c r="P34" s="791">
        <f t="shared" si="5"/>
      </c>
      <c r="Q34" s="448">
        <f t="shared" si="6"/>
        <v>20</v>
      </c>
      <c r="R34" s="453" t="str">
        <f t="shared" si="7"/>
        <v>--</v>
      </c>
      <c r="S34" s="459" t="str">
        <f t="shared" si="8"/>
        <v>--</v>
      </c>
      <c r="T34" s="466" t="str">
        <f t="shared" si="9"/>
        <v>--</v>
      </c>
      <c r="U34" s="467" t="str">
        <f t="shared" si="10"/>
        <v>--</v>
      </c>
      <c r="V34" s="478" t="str">
        <f t="shared" si="11"/>
        <v>--</v>
      </c>
      <c r="W34" s="479" t="str">
        <f t="shared" si="12"/>
        <v>--</v>
      </c>
      <c r="X34" s="488" t="str">
        <f t="shared" si="13"/>
        <v>--</v>
      </c>
      <c r="Y34" s="493" t="str">
        <f t="shared" si="14"/>
        <v>--</v>
      </c>
      <c r="Z34" s="55">
        <f t="shared" si="15"/>
      </c>
      <c r="AA34" s="210">
        <f t="shared" si="16"/>
      </c>
      <c r="AB34" s="147"/>
    </row>
    <row r="35" spans="1:28" s="16" customFormat="1" ht="16.5" customHeight="1">
      <c r="A35" s="61"/>
      <c r="B35" s="180"/>
      <c r="C35" s="770"/>
      <c r="D35" s="817"/>
      <c r="E35" s="821"/>
      <c r="F35" s="819"/>
      <c r="G35" s="820"/>
      <c r="H35" s="626">
        <f t="shared" si="0"/>
        <v>0</v>
      </c>
      <c r="I35" s="826"/>
      <c r="J35" s="826"/>
      <c r="K35" s="52">
        <f t="shared" si="1"/>
      </c>
      <c r="L35" s="53">
        <f t="shared" si="2"/>
      </c>
      <c r="M35" s="828"/>
      <c r="N35" s="816">
        <f t="shared" si="3"/>
      </c>
      <c r="O35" s="829">
        <f t="shared" si="4"/>
      </c>
      <c r="P35" s="791">
        <f t="shared" si="5"/>
      </c>
      <c r="Q35" s="448">
        <f t="shared" si="6"/>
        <v>20</v>
      </c>
      <c r="R35" s="453" t="str">
        <f t="shared" si="7"/>
        <v>--</v>
      </c>
      <c r="S35" s="459" t="str">
        <f t="shared" si="8"/>
        <v>--</v>
      </c>
      <c r="T35" s="466" t="str">
        <f t="shared" si="9"/>
        <v>--</v>
      </c>
      <c r="U35" s="467" t="str">
        <f t="shared" si="10"/>
        <v>--</v>
      </c>
      <c r="V35" s="478" t="str">
        <f t="shared" si="11"/>
        <v>--</v>
      </c>
      <c r="W35" s="479" t="str">
        <f t="shared" si="12"/>
        <v>--</v>
      </c>
      <c r="X35" s="488" t="str">
        <f t="shared" si="13"/>
        <v>--</v>
      </c>
      <c r="Y35" s="493" t="str">
        <f t="shared" si="14"/>
        <v>--</v>
      </c>
      <c r="Z35" s="55">
        <f t="shared" si="15"/>
      </c>
      <c r="AA35" s="210">
        <f t="shared" si="16"/>
      </c>
      <c r="AB35" s="147"/>
    </row>
    <row r="36" spans="1:28" s="16" customFormat="1" ht="16.5" customHeight="1">
      <c r="A36" s="61"/>
      <c r="B36" s="180"/>
      <c r="C36" s="770"/>
      <c r="D36" s="817"/>
      <c r="E36" s="821"/>
      <c r="F36" s="819"/>
      <c r="G36" s="820"/>
      <c r="H36" s="626">
        <f t="shared" si="0"/>
        <v>0</v>
      </c>
      <c r="I36" s="826"/>
      <c r="J36" s="826"/>
      <c r="K36" s="52">
        <f t="shared" si="1"/>
      </c>
      <c r="L36" s="53">
        <f t="shared" si="2"/>
      </c>
      <c r="M36" s="828"/>
      <c r="N36" s="816">
        <f t="shared" si="3"/>
      </c>
      <c r="O36" s="829">
        <f t="shared" si="4"/>
      </c>
      <c r="P36" s="791">
        <f t="shared" si="5"/>
      </c>
      <c r="Q36" s="448">
        <f t="shared" si="6"/>
        <v>20</v>
      </c>
      <c r="R36" s="453" t="str">
        <f t="shared" si="7"/>
        <v>--</v>
      </c>
      <c r="S36" s="459" t="str">
        <f t="shared" si="8"/>
        <v>--</v>
      </c>
      <c r="T36" s="466" t="str">
        <f t="shared" si="9"/>
        <v>--</v>
      </c>
      <c r="U36" s="467" t="str">
        <f t="shared" si="10"/>
        <v>--</v>
      </c>
      <c r="V36" s="478" t="str">
        <f t="shared" si="11"/>
        <v>--</v>
      </c>
      <c r="W36" s="479" t="str">
        <f t="shared" si="12"/>
        <v>--</v>
      </c>
      <c r="X36" s="488" t="str">
        <f t="shared" si="13"/>
        <v>--</v>
      </c>
      <c r="Y36" s="493" t="str">
        <f t="shared" si="14"/>
        <v>--</v>
      </c>
      <c r="Z36" s="55">
        <f t="shared" si="15"/>
      </c>
      <c r="AA36" s="210">
        <f t="shared" si="16"/>
      </c>
      <c r="AB36" s="147"/>
    </row>
    <row r="37" spans="1:28" s="16" customFormat="1" ht="16.5" customHeight="1">
      <c r="A37" s="61"/>
      <c r="B37" s="180"/>
      <c r="C37" s="770"/>
      <c r="D37" s="817"/>
      <c r="E37" s="821"/>
      <c r="F37" s="819"/>
      <c r="G37" s="820"/>
      <c r="H37" s="626">
        <f t="shared" si="0"/>
        <v>0</v>
      </c>
      <c r="I37" s="826"/>
      <c r="J37" s="826"/>
      <c r="K37" s="52">
        <f t="shared" si="1"/>
      </c>
      <c r="L37" s="53">
        <f t="shared" si="2"/>
      </c>
      <c r="M37" s="828"/>
      <c r="N37" s="816">
        <f t="shared" si="3"/>
      </c>
      <c r="O37" s="829">
        <f t="shared" si="4"/>
      </c>
      <c r="P37" s="791">
        <f t="shared" si="5"/>
      </c>
      <c r="Q37" s="448">
        <f t="shared" si="6"/>
        <v>20</v>
      </c>
      <c r="R37" s="453" t="str">
        <f t="shared" si="7"/>
        <v>--</v>
      </c>
      <c r="S37" s="459" t="str">
        <f t="shared" si="8"/>
        <v>--</v>
      </c>
      <c r="T37" s="466" t="str">
        <f t="shared" si="9"/>
        <v>--</v>
      </c>
      <c r="U37" s="467" t="str">
        <f t="shared" si="10"/>
        <v>--</v>
      </c>
      <c r="V37" s="478" t="str">
        <f t="shared" si="11"/>
        <v>--</v>
      </c>
      <c r="W37" s="479" t="str">
        <f t="shared" si="12"/>
        <v>--</v>
      </c>
      <c r="X37" s="488" t="str">
        <f t="shared" si="13"/>
        <v>--</v>
      </c>
      <c r="Y37" s="493" t="str">
        <f t="shared" si="14"/>
        <v>--</v>
      </c>
      <c r="Z37" s="55">
        <f t="shared" si="15"/>
      </c>
      <c r="AA37" s="210">
        <f t="shared" si="16"/>
      </c>
      <c r="AB37" s="147"/>
    </row>
    <row r="38" spans="1:28" s="16" customFormat="1" ht="16.5" customHeight="1">
      <c r="A38" s="61"/>
      <c r="B38" s="180"/>
      <c r="C38" s="770"/>
      <c r="D38" s="817"/>
      <c r="E38" s="821"/>
      <c r="F38" s="819"/>
      <c r="G38" s="820"/>
      <c r="H38" s="626">
        <f t="shared" si="0"/>
        <v>0</v>
      </c>
      <c r="I38" s="826"/>
      <c r="J38" s="826"/>
      <c r="K38" s="52">
        <f t="shared" si="1"/>
      </c>
      <c r="L38" s="53">
        <f t="shared" si="2"/>
      </c>
      <c r="M38" s="828"/>
      <c r="N38" s="816">
        <f t="shared" si="3"/>
      </c>
      <c r="O38" s="829">
        <f t="shared" si="4"/>
      </c>
      <c r="P38" s="791">
        <f t="shared" si="5"/>
      </c>
      <c r="Q38" s="448">
        <f t="shared" si="6"/>
        <v>20</v>
      </c>
      <c r="R38" s="453" t="str">
        <f t="shared" si="7"/>
        <v>--</v>
      </c>
      <c r="S38" s="459" t="str">
        <f t="shared" si="8"/>
        <v>--</v>
      </c>
      <c r="T38" s="466" t="str">
        <f t="shared" si="9"/>
        <v>--</v>
      </c>
      <c r="U38" s="467" t="str">
        <f t="shared" si="10"/>
        <v>--</v>
      </c>
      <c r="V38" s="478" t="str">
        <f t="shared" si="11"/>
        <v>--</v>
      </c>
      <c r="W38" s="479" t="str">
        <f t="shared" si="12"/>
        <v>--</v>
      </c>
      <c r="X38" s="488" t="str">
        <f t="shared" si="13"/>
        <v>--</v>
      </c>
      <c r="Y38" s="493" t="str">
        <f t="shared" si="14"/>
        <v>--</v>
      </c>
      <c r="Z38" s="55">
        <f t="shared" si="15"/>
      </c>
      <c r="AA38" s="210">
        <f t="shared" si="16"/>
      </c>
      <c r="AB38" s="147"/>
    </row>
    <row r="39" spans="1:28" s="16" customFormat="1" ht="16.5" customHeight="1">
      <c r="A39" s="61"/>
      <c r="B39" s="180"/>
      <c r="C39" s="770"/>
      <c r="D39" s="817"/>
      <c r="E39" s="821"/>
      <c r="F39" s="819"/>
      <c r="G39" s="820"/>
      <c r="H39" s="626">
        <f t="shared" si="0"/>
        <v>0</v>
      </c>
      <c r="I39" s="826"/>
      <c r="J39" s="826"/>
      <c r="K39" s="52">
        <f t="shared" si="1"/>
      </c>
      <c r="L39" s="53">
        <f t="shared" si="2"/>
      </c>
      <c r="M39" s="828"/>
      <c r="N39" s="816">
        <f t="shared" si="3"/>
      </c>
      <c r="O39" s="829">
        <f t="shared" si="4"/>
      </c>
      <c r="P39" s="791">
        <f t="shared" si="5"/>
      </c>
      <c r="Q39" s="448">
        <f t="shared" si="6"/>
        <v>20</v>
      </c>
      <c r="R39" s="453" t="str">
        <f t="shared" si="7"/>
        <v>--</v>
      </c>
      <c r="S39" s="459" t="str">
        <f t="shared" si="8"/>
        <v>--</v>
      </c>
      <c r="T39" s="466" t="str">
        <f t="shared" si="9"/>
        <v>--</v>
      </c>
      <c r="U39" s="467" t="str">
        <f t="shared" si="10"/>
        <v>--</v>
      </c>
      <c r="V39" s="478" t="str">
        <f t="shared" si="11"/>
        <v>--</v>
      </c>
      <c r="W39" s="479" t="str">
        <f t="shared" si="12"/>
        <v>--</v>
      </c>
      <c r="X39" s="488" t="str">
        <f t="shared" si="13"/>
        <v>--</v>
      </c>
      <c r="Y39" s="493" t="str">
        <f t="shared" si="14"/>
        <v>--</v>
      </c>
      <c r="Z39" s="55">
        <f t="shared" si="15"/>
      </c>
      <c r="AA39" s="210">
        <f t="shared" si="16"/>
      </c>
      <c r="AB39" s="147"/>
    </row>
    <row r="40" spans="1:28" s="16" customFormat="1" ht="16.5" customHeight="1">
      <c r="A40" s="61"/>
      <c r="B40" s="180"/>
      <c r="C40" s="770"/>
      <c r="D40" s="817"/>
      <c r="E40" s="821"/>
      <c r="F40" s="819"/>
      <c r="G40" s="820"/>
      <c r="H40" s="626">
        <f t="shared" si="0"/>
        <v>0</v>
      </c>
      <c r="I40" s="826"/>
      <c r="J40" s="826"/>
      <c r="K40" s="52">
        <f t="shared" si="1"/>
      </c>
      <c r="L40" s="53">
        <f t="shared" si="2"/>
      </c>
      <c r="M40" s="828"/>
      <c r="N40" s="816">
        <f t="shared" si="3"/>
      </c>
      <c r="O40" s="829">
        <f t="shared" si="4"/>
      </c>
      <c r="P40" s="791">
        <f t="shared" si="5"/>
      </c>
      <c r="Q40" s="448">
        <f t="shared" si="6"/>
        <v>20</v>
      </c>
      <c r="R40" s="453" t="str">
        <f t="shared" si="7"/>
        <v>--</v>
      </c>
      <c r="S40" s="459" t="str">
        <f t="shared" si="8"/>
        <v>--</v>
      </c>
      <c r="T40" s="466" t="str">
        <f t="shared" si="9"/>
        <v>--</v>
      </c>
      <c r="U40" s="467" t="str">
        <f t="shared" si="10"/>
        <v>--</v>
      </c>
      <c r="V40" s="478" t="str">
        <f t="shared" si="11"/>
        <v>--</v>
      </c>
      <c r="W40" s="479" t="str">
        <f t="shared" si="12"/>
        <v>--</v>
      </c>
      <c r="X40" s="488" t="str">
        <f t="shared" si="13"/>
        <v>--</v>
      </c>
      <c r="Y40" s="493" t="str">
        <f t="shared" si="14"/>
        <v>--</v>
      </c>
      <c r="Z40" s="55">
        <f t="shared" si="15"/>
      </c>
      <c r="AA40" s="210">
        <f t="shared" si="16"/>
      </c>
      <c r="AB40" s="147"/>
    </row>
    <row r="41" spans="1:28" s="16" customFormat="1" ht="16.5" customHeight="1">
      <c r="A41" s="61"/>
      <c r="B41" s="180"/>
      <c r="C41" s="770"/>
      <c r="D41" s="817"/>
      <c r="E41" s="821"/>
      <c r="F41" s="819"/>
      <c r="G41" s="820"/>
      <c r="H41" s="626">
        <f t="shared" si="0"/>
        <v>0</v>
      </c>
      <c r="I41" s="826"/>
      <c r="J41" s="826"/>
      <c r="K41" s="52">
        <f t="shared" si="1"/>
      </c>
      <c r="L41" s="53">
        <f t="shared" si="2"/>
      </c>
      <c r="M41" s="828"/>
      <c r="N41" s="816">
        <f t="shared" si="3"/>
      </c>
      <c r="O41" s="829">
        <f t="shared" si="4"/>
      </c>
      <c r="P41" s="791">
        <f t="shared" si="5"/>
      </c>
      <c r="Q41" s="448">
        <f t="shared" si="6"/>
        <v>20</v>
      </c>
      <c r="R41" s="453" t="str">
        <f t="shared" si="7"/>
        <v>--</v>
      </c>
      <c r="S41" s="459" t="str">
        <f t="shared" si="8"/>
        <v>--</v>
      </c>
      <c r="T41" s="466" t="str">
        <f t="shared" si="9"/>
        <v>--</v>
      </c>
      <c r="U41" s="467" t="str">
        <f t="shared" si="10"/>
        <v>--</v>
      </c>
      <c r="V41" s="478" t="str">
        <f t="shared" si="11"/>
        <v>--</v>
      </c>
      <c r="W41" s="479" t="str">
        <f t="shared" si="12"/>
        <v>--</v>
      </c>
      <c r="X41" s="488" t="str">
        <f t="shared" si="13"/>
        <v>--</v>
      </c>
      <c r="Y41" s="493" t="str">
        <f t="shared" si="14"/>
        <v>--</v>
      </c>
      <c r="Z41" s="55">
        <f t="shared" si="15"/>
      </c>
      <c r="AA41" s="210">
        <f t="shared" si="16"/>
      </c>
      <c r="AB41" s="147"/>
    </row>
    <row r="42" spans="1:28" s="16" customFormat="1" ht="16.5" customHeight="1" thickBot="1">
      <c r="A42" s="61"/>
      <c r="B42" s="180"/>
      <c r="C42" s="822"/>
      <c r="D42" s="823"/>
      <c r="E42" s="824"/>
      <c r="F42" s="823"/>
      <c r="G42" s="825"/>
      <c r="H42" s="349"/>
      <c r="I42" s="822"/>
      <c r="J42" s="827"/>
      <c r="K42" s="58"/>
      <c r="L42" s="59"/>
      <c r="M42" s="830"/>
      <c r="N42" s="803"/>
      <c r="O42" s="831"/>
      <c r="P42" s="830"/>
      <c r="Q42" s="449"/>
      <c r="R42" s="454"/>
      <c r="S42" s="460"/>
      <c r="T42" s="468"/>
      <c r="U42" s="469"/>
      <c r="V42" s="480"/>
      <c r="W42" s="481"/>
      <c r="X42" s="489"/>
      <c r="Y42" s="494"/>
      <c r="Z42" s="60"/>
      <c r="AA42" s="211"/>
      <c r="AB42" s="147"/>
    </row>
    <row r="43" spans="1:28" s="16" customFormat="1" ht="16.5" customHeight="1" thickBot="1" thickTop="1">
      <c r="A43" s="61"/>
      <c r="B43" s="180"/>
      <c r="C43" s="269" t="s">
        <v>95</v>
      </c>
      <c r="D43" s="270" t="s">
        <v>96</v>
      </c>
      <c r="E43" s="62"/>
      <c r="F43" s="62"/>
      <c r="G43" s="62"/>
      <c r="H43" s="62"/>
      <c r="I43" s="62"/>
      <c r="J43" s="63"/>
      <c r="K43" s="62"/>
      <c r="L43" s="62"/>
      <c r="M43" s="62"/>
      <c r="N43" s="62"/>
      <c r="O43" s="62"/>
      <c r="P43" s="62"/>
      <c r="Q43" s="62"/>
      <c r="R43" s="455">
        <f aca="true" t="shared" si="17" ref="R43:Y43">SUM(R20:R42)</f>
        <v>1668.128</v>
      </c>
      <c r="S43" s="461">
        <f t="shared" si="17"/>
        <v>0</v>
      </c>
      <c r="T43" s="470">
        <f t="shared" si="17"/>
        <v>0</v>
      </c>
      <c r="U43" s="471">
        <f t="shared" si="17"/>
        <v>0</v>
      </c>
      <c r="V43" s="482">
        <f t="shared" si="17"/>
        <v>0</v>
      </c>
      <c r="W43" s="483">
        <f t="shared" si="17"/>
        <v>0</v>
      </c>
      <c r="X43" s="534">
        <f t="shared" si="17"/>
        <v>235712.4</v>
      </c>
      <c r="Y43" s="535">
        <f t="shared" si="17"/>
        <v>0</v>
      </c>
      <c r="Z43" s="61"/>
      <c r="AA43" s="862">
        <f>ROUND(SUM(AA20:AA42),2)</f>
        <v>237380.53</v>
      </c>
      <c r="AB43" s="147"/>
    </row>
    <row r="44" spans="1:28" s="273" customFormat="1" ht="9.75" thickTop="1">
      <c r="A44" s="283"/>
      <c r="B44" s="284"/>
      <c r="C44" s="271"/>
      <c r="D44" s="272" t="s">
        <v>97</v>
      </c>
      <c r="E44" s="285"/>
      <c r="F44" s="285"/>
      <c r="G44" s="285"/>
      <c r="H44" s="285"/>
      <c r="I44" s="285"/>
      <c r="J44" s="286"/>
      <c r="K44" s="285"/>
      <c r="L44" s="285"/>
      <c r="M44" s="285"/>
      <c r="N44" s="285"/>
      <c r="O44" s="285"/>
      <c r="P44" s="285"/>
      <c r="Q44" s="285"/>
      <c r="R44" s="288"/>
      <c r="S44" s="288"/>
      <c r="T44" s="288"/>
      <c r="U44" s="288"/>
      <c r="V44" s="288"/>
      <c r="W44" s="288"/>
      <c r="X44" s="288"/>
      <c r="Y44" s="288"/>
      <c r="Z44" s="283"/>
      <c r="AA44" s="287"/>
      <c r="AB44" s="289"/>
    </row>
    <row r="45" spans="1:28" s="16" customFormat="1" ht="16.5" customHeight="1" thickBot="1">
      <c r="A45" s="61"/>
      <c r="B45" s="18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5"/>
    </row>
    <row r="46" spans="1:29" ht="16.5" customHeight="1" thickTop="1">
      <c r="A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6.5" customHeight="1">
      <c r="A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6.5" customHeight="1">
      <c r="A48" s="3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6.5" customHeight="1">
      <c r="A49" s="3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4:29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4:29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4:29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4:29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4:29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4:29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4:29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4:29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4:29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4:29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4:29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4:29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4:29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4:29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4:29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4:29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4:29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4:29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4:29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4:29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4:29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4:29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4:29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4:29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4:29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4:29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4:29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4:29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4:29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4:29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4:29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4:29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4:29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4:29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4:29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4:29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4:29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4:29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4:29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4:29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4:29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4:29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4:29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4:29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4:29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4:29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4:29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4:29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4:29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4:29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4:29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4:29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4:29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4:29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4:29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4:29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4:29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4:29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4:29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4:29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4:29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4:29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4:29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4:29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4:29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4:29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4:29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4:29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4:29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4:29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4:29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4:29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4:29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4:29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4:29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4:29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4:29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4:29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4:29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4:29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4:29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4:29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4:29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4:29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4:29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4:29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4:29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4:29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4:29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4:29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4:29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4:29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4:29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4:29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4:29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4:29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4:29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4:29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4:29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4:29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4:29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4:29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4:29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4:29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ht="16.5" customHeight="1">
      <c r="AC154" s="5"/>
    </row>
    <row r="155" ht="16.5" customHeight="1">
      <c r="AC155" s="5"/>
    </row>
    <row r="156" ht="16.5" customHeight="1">
      <c r="AC156" s="5"/>
    </row>
    <row r="157" ht="16.5" customHeight="1">
      <c r="AC157" s="5"/>
    </row>
    <row r="158" ht="16.5" customHeight="1"/>
    <row r="159" ht="16.5" customHeight="1"/>
    <row r="160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8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W160"/>
  <sheetViews>
    <sheetView zoomScale="75" zoomScaleNormal="75" workbookViewId="0" topLeftCell="A1">
      <selection activeCell="O98" sqref="O98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92" customFormat="1" ht="26.25">
      <c r="A1" s="142"/>
      <c r="U1" s="754"/>
    </row>
    <row r="2" spans="1:21" s="92" customFormat="1" ht="26.25">
      <c r="A2" s="142"/>
      <c r="B2" s="93" t="str">
        <f>+'tot-0402'!B2</f>
        <v>ANEXO I-1 a la Resolución ENRE N°            1107 /2006    .-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="16" customFormat="1" ht="12.75">
      <c r="A3" s="61"/>
    </row>
    <row r="4" spans="1:2" s="99" customFormat="1" ht="11.25">
      <c r="A4" s="97" t="s">
        <v>52</v>
      </c>
      <c r="B4" s="176"/>
    </row>
    <row r="5" spans="1:2" s="99" customFormat="1" ht="11.25">
      <c r="A5" s="97" t="s">
        <v>53</v>
      </c>
      <c r="B5" s="176"/>
    </row>
    <row r="6" s="16" customFormat="1" ht="13.5" thickBot="1"/>
    <row r="7" spans="2:21" s="16" customFormat="1" ht="13.5" thickTop="1"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214"/>
    </row>
    <row r="8" spans="2:21" s="10" customFormat="1" ht="20.25">
      <c r="B8" s="157"/>
      <c r="C8" s="11"/>
      <c r="D8" s="64" t="s">
        <v>68</v>
      </c>
      <c r="L8" s="190"/>
      <c r="M8" s="190"/>
      <c r="N8" s="39"/>
      <c r="O8" s="11"/>
      <c r="P8" s="11"/>
      <c r="Q8" s="11"/>
      <c r="R8" s="11"/>
      <c r="S8" s="11"/>
      <c r="T8" s="11"/>
      <c r="U8" s="223"/>
    </row>
    <row r="9" spans="2:21" s="16" customFormat="1" ht="12.75">
      <c r="B9" s="124"/>
      <c r="C9" s="14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14"/>
      <c r="P9" s="14"/>
      <c r="Q9" s="14"/>
      <c r="R9" s="14"/>
      <c r="S9" s="14"/>
      <c r="T9" s="14"/>
      <c r="U9" s="128"/>
    </row>
    <row r="10" spans="2:21" s="10" customFormat="1" ht="20.25">
      <c r="B10" s="157"/>
      <c r="C10" s="11"/>
      <c r="D10" s="194" t="s">
        <v>112</v>
      </c>
      <c r="E10" s="40"/>
      <c r="F10" s="190"/>
      <c r="G10" s="224"/>
      <c r="I10" s="224"/>
      <c r="J10" s="224"/>
      <c r="K10" s="224"/>
      <c r="L10" s="224"/>
      <c r="M10" s="224"/>
      <c r="N10" s="224"/>
      <c r="O10" s="11"/>
      <c r="P10" s="11"/>
      <c r="Q10" s="11"/>
      <c r="R10" s="11"/>
      <c r="S10" s="11"/>
      <c r="T10" s="11"/>
      <c r="U10" s="223"/>
    </row>
    <row r="11" spans="2:21" s="16" customFormat="1" ht="13.5">
      <c r="B11" s="124"/>
      <c r="C11" s="14"/>
      <c r="D11" s="222"/>
      <c r="E11" s="222"/>
      <c r="F11" s="61"/>
      <c r="G11" s="215"/>
      <c r="H11" s="126"/>
      <c r="I11" s="215"/>
      <c r="J11" s="215"/>
      <c r="K11" s="215"/>
      <c r="L11" s="215"/>
      <c r="M11" s="215"/>
      <c r="N11" s="215"/>
      <c r="O11" s="14"/>
      <c r="P11" s="14"/>
      <c r="Q11" s="14"/>
      <c r="R11" s="14"/>
      <c r="S11" s="14"/>
      <c r="T11" s="14"/>
      <c r="U11" s="128"/>
    </row>
    <row r="12" spans="2:21" s="10" customFormat="1" ht="20.25">
      <c r="B12" s="157"/>
      <c r="C12" s="11"/>
      <c r="D12" s="194" t="s">
        <v>113</v>
      </c>
      <c r="E12" s="40"/>
      <c r="F12" s="190"/>
      <c r="G12" s="224"/>
      <c r="I12" s="224"/>
      <c r="J12" s="224"/>
      <c r="K12" s="224"/>
      <c r="L12" s="224"/>
      <c r="M12" s="224"/>
      <c r="N12" s="224"/>
      <c r="O12" s="11"/>
      <c r="P12" s="11"/>
      <c r="Q12" s="11"/>
      <c r="R12" s="11"/>
      <c r="S12" s="11"/>
      <c r="T12" s="11"/>
      <c r="U12" s="223"/>
    </row>
    <row r="13" spans="2:21" s="16" customFormat="1" ht="13.5">
      <c r="B13" s="124"/>
      <c r="C13" s="14"/>
      <c r="D13" s="222"/>
      <c r="E13" s="222"/>
      <c r="F13" s="61"/>
      <c r="G13" s="215"/>
      <c r="H13" s="126"/>
      <c r="I13" s="215"/>
      <c r="J13" s="215"/>
      <c r="K13" s="215"/>
      <c r="L13" s="215"/>
      <c r="M13" s="215"/>
      <c r="N13" s="215"/>
      <c r="O13" s="14"/>
      <c r="P13" s="14"/>
      <c r="Q13" s="14"/>
      <c r="R13" s="14"/>
      <c r="S13" s="14"/>
      <c r="T13" s="14"/>
      <c r="U13" s="128"/>
    </row>
    <row r="14" spans="2:21" s="16" customFormat="1" ht="19.5">
      <c r="B14" s="112" t="str">
        <f>+'tot-0402'!B14</f>
        <v>Desde el 01 al 29 de febrero de 2004</v>
      </c>
      <c r="C14" s="115"/>
      <c r="D14" s="115"/>
      <c r="E14" s="115"/>
      <c r="F14" s="115"/>
      <c r="G14" s="225"/>
      <c r="H14" s="225"/>
      <c r="I14" s="225"/>
      <c r="J14" s="225"/>
      <c r="K14" s="225"/>
      <c r="L14" s="225"/>
      <c r="M14" s="225"/>
      <c r="N14" s="225"/>
      <c r="O14" s="115"/>
      <c r="P14" s="115"/>
      <c r="Q14" s="115"/>
      <c r="R14" s="115"/>
      <c r="S14" s="115"/>
      <c r="T14" s="115"/>
      <c r="U14" s="226"/>
    </row>
    <row r="15" spans="2:21" s="16" customFormat="1" ht="14.25" thickBot="1">
      <c r="B15" s="227"/>
      <c r="C15" s="228"/>
      <c r="D15" s="228"/>
      <c r="E15" s="228"/>
      <c r="F15" s="228"/>
      <c r="G15" s="229"/>
      <c r="H15" s="229"/>
      <c r="I15" s="229"/>
      <c r="J15" s="229"/>
      <c r="K15" s="229"/>
      <c r="L15" s="229"/>
      <c r="M15" s="229"/>
      <c r="N15" s="229"/>
      <c r="O15" s="228"/>
      <c r="P15" s="228"/>
      <c r="Q15" s="228"/>
      <c r="R15" s="228"/>
      <c r="S15" s="228"/>
      <c r="T15" s="228"/>
      <c r="U15" s="230"/>
    </row>
    <row r="16" spans="2:21" s="16" customFormat="1" ht="15" thickBot="1" thickTop="1">
      <c r="B16" s="124"/>
      <c r="C16" s="14"/>
      <c r="D16" s="231"/>
      <c r="E16" s="231"/>
      <c r="F16" s="232" t="s">
        <v>114</v>
      </c>
      <c r="G16" s="14"/>
      <c r="H16" s="126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28"/>
    </row>
    <row r="17" spans="2:21" s="16" customFormat="1" ht="16.5" customHeight="1" thickBot="1" thickTop="1">
      <c r="B17" s="124"/>
      <c r="C17" s="14"/>
      <c r="D17" s="760" t="s">
        <v>115</v>
      </c>
      <c r="E17" s="761">
        <v>30.733</v>
      </c>
      <c r="F17" s="762">
        <v>200</v>
      </c>
      <c r="T17" s="149"/>
      <c r="U17" s="128"/>
    </row>
    <row r="18" spans="2:21" s="16" customFormat="1" ht="16.5" customHeight="1" thickBot="1" thickTop="1">
      <c r="B18" s="124"/>
      <c r="C18" s="14"/>
      <c r="D18" s="763" t="s">
        <v>116</v>
      </c>
      <c r="E18" s="764">
        <v>27.658</v>
      </c>
      <c r="F18" s="762">
        <v>100</v>
      </c>
      <c r="M18" s="14"/>
      <c r="N18" s="14"/>
      <c r="O18" s="14"/>
      <c r="P18" s="14"/>
      <c r="Q18" s="14"/>
      <c r="R18" s="14"/>
      <c r="S18" s="14"/>
      <c r="T18" s="14"/>
      <c r="U18" s="128"/>
    </row>
    <row r="19" spans="2:21" s="16" customFormat="1" ht="16.5" customHeight="1" thickBot="1" thickTop="1">
      <c r="B19" s="124"/>
      <c r="C19" s="14"/>
      <c r="D19" s="765" t="s">
        <v>117</v>
      </c>
      <c r="E19" s="764">
        <v>24.587</v>
      </c>
      <c r="F19" s="762">
        <v>40</v>
      </c>
      <c r="I19" s="757"/>
      <c r="J19" s="758"/>
      <c r="K19" s="14"/>
      <c r="M19" s="14"/>
      <c r="O19" s="14"/>
      <c r="P19" s="14"/>
      <c r="Q19" s="14"/>
      <c r="R19" s="14"/>
      <c r="S19" s="14"/>
      <c r="T19" s="14"/>
      <c r="U19" s="128"/>
    </row>
    <row r="20" spans="2:21" s="16" customFormat="1" ht="16.5" customHeight="1" thickBot="1" thickTop="1">
      <c r="B20" s="124"/>
      <c r="C20" s="21"/>
      <c r="D20" s="80"/>
      <c r="E20" s="80"/>
      <c r="F20" s="216"/>
      <c r="G20" s="217"/>
      <c r="H20" s="217"/>
      <c r="I20" s="217"/>
      <c r="J20" s="217"/>
      <c r="K20" s="217"/>
      <c r="L20" s="217"/>
      <c r="M20" s="217"/>
      <c r="N20" s="72"/>
      <c r="O20" s="218"/>
      <c r="P20" s="219"/>
      <c r="Q20" s="219"/>
      <c r="R20" s="219"/>
      <c r="S20" s="220"/>
      <c r="T20" s="221"/>
      <c r="U20" s="128"/>
    </row>
    <row r="21" spans="2:21" s="16" customFormat="1" ht="33.75" customHeight="1" thickBot="1" thickTop="1">
      <c r="B21" s="124"/>
      <c r="C21" s="164" t="s">
        <v>73</v>
      </c>
      <c r="D21" s="172" t="s">
        <v>106</v>
      </c>
      <c r="E21" s="168" t="s">
        <v>43</v>
      </c>
      <c r="F21" s="234" t="s">
        <v>74</v>
      </c>
      <c r="G21" s="347" t="s">
        <v>78</v>
      </c>
      <c r="H21" s="166" t="s">
        <v>79</v>
      </c>
      <c r="I21" s="168" t="s">
        <v>80</v>
      </c>
      <c r="J21" s="235" t="s">
        <v>81</v>
      </c>
      <c r="K21" s="235" t="s">
        <v>82</v>
      </c>
      <c r="L21" s="171" t="s">
        <v>83</v>
      </c>
      <c r="M21" s="167" t="s">
        <v>86</v>
      </c>
      <c r="N21" s="496" t="s">
        <v>77</v>
      </c>
      <c r="O21" s="484" t="s">
        <v>99</v>
      </c>
      <c r="P21" s="503" t="s">
        <v>118</v>
      </c>
      <c r="Q21" s="504"/>
      <c r="R21" s="513" t="s">
        <v>91</v>
      </c>
      <c r="S21" s="174" t="s">
        <v>93</v>
      </c>
      <c r="T21" s="208" t="s">
        <v>94</v>
      </c>
      <c r="U21" s="128"/>
    </row>
    <row r="22" spans="2:21" s="16" customFormat="1" ht="16.5" customHeight="1" hidden="1" thickTop="1">
      <c r="B22" s="124"/>
      <c r="C22" s="20"/>
      <c r="D22" s="66"/>
      <c r="E22" s="66"/>
      <c r="F22" s="66"/>
      <c r="G22" s="356"/>
      <c r="H22" s="66"/>
      <c r="I22" s="66"/>
      <c r="J22" s="66"/>
      <c r="K22" s="66"/>
      <c r="L22" s="66"/>
      <c r="M22" s="66"/>
      <c r="N22" s="498"/>
      <c r="O22" s="501"/>
      <c r="P22" s="505"/>
      <c r="Q22" s="506"/>
      <c r="R22" s="514"/>
      <c r="S22" s="66"/>
      <c r="T22" s="630"/>
      <c r="U22" s="128"/>
    </row>
    <row r="23" spans="2:21" s="16" customFormat="1" ht="16.5" customHeight="1" thickTop="1">
      <c r="B23" s="124"/>
      <c r="C23" s="20"/>
      <c r="D23" s="67"/>
      <c r="E23" s="67"/>
      <c r="F23" s="67"/>
      <c r="G23" s="357"/>
      <c r="H23" s="67"/>
      <c r="I23" s="67"/>
      <c r="J23" s="67"/>
      <c r="K23" s="67"/>
      <c r="L23" s="67"/>
      <c r="M23" s="67"/>
      <c r="N23" s="495"/>
      <c r="O23" s="499"/>
      <c r="P23" s="507"/>
      <c r="Q23" s="508"/>
      <c r="R23" s="511"/>
      <c r="S23" s="67"/>
      <c r="T23" s="236"/>
      <c r="U23" s="128"/>
    </row>
    <row r="24" spans="2:21" s="16" customFormat="1" ht="16.5" customHeight="1">
      <c r="B24" s="124"/>
      <c r="C24" s="769">
        <v>14</v>
      </c>
      <c r="D24" s="832" t="s">
        <v>23</v>
      </c>
      <c r="E24" s="832" t="s">
        <v>40</v>
      </c>
      <c r="F24" s="833">
        <v>132</v>
      </c>
      <c r="G24" s="348">
        <f aca="true" t="shared" si="0" ref="G24:G43">IF(F24=500,$E$17,IF(F24=220,$E$18,$E$19))</f>
        <v>24.587</v>
      </c>
      <c r="H24" s="835">
        <v>38018.381944444445</v>
      </c>
      <c r="I24" s="836">
        <v>38018.45208333333</v>
      </c>
      <c r="J24" s="71">
        <f aca="true" t="shared" si="1" ref="J24:J43">IF(D24="","",(I24-H24)*24)</f>
        <v>1.68333333323244</v>
      </c>
      <c r="K24" s="28">
        <f aca="true" t="shared" si="2" ref="K24:K43">IF(D24="","",ROUND((I24-H24)*24*60,0))</f>
        <v>101</v>
      </c>
      <c r="L24" s="789" t="s">
        <v>205</v>
      </c>
      <c r="M24" s="791" t="str">
        <f aca="true" t="shared" si="3" ref="M24:M43">IF(D24="","",IF(L24="P","--","NO"))</f>
        <v>--</v>
      </c>
      <c r="N24" s="838">
        <f aca="true" t="shared" si="4" ref="N24:N43">IF(F24=500,$F$17,IF(F24=220,$F$18,$F$19))</f>
        <v>40</v>
      </c>
      <c r="O24" s="839">
        <f aca="true" t="shared" si="5" ref="O24:O43">IF(L24="P",G24*N24*ROUND(K24/60,2)*0.1,"--")</f>
        <v>165.22464000000002</v>
      </c>
      <c r="P24" s="840" t="str">
        <f aca="true" t="shared" si="6" ref="P24:P43">IF(AND(L24="F",M24="NO"),G24*N24,"--")</f>
        <v>--</v>
      </c>
      <c r="Q24" s="841" t="str">
        <f aca="true" t="shared" si="7" ref="Q24:Q43">IF(L24="F",G24*N24*ROUND(K24/60,2),"--")</f>
        <v>--</v>
      </c>
      <c r="R24" s="842" t="str">
        <f aca="true" t="shared" si="8" ref="R24:R43">IF(L24="RF",G24*N24*ROUND(K24/60,2),"--")</f>
        <v>--</v>
      </c>
      <c r="S24" s="791" t="str">
        <f aca="true" t="shared" si="9" ref="S24:S43">IF(D24="","","SI")</f>
        <v>SI</v>
      </c>
      <c r="T24" s="74">
        <f aca="true" t="shared" si="10" ref="T24:T43">IF(D24="","",SUM(O24:R24)*IF(S24="SI",1,2))</f>
        <v>165.22464000000002</v>
      </c>
      <c r="U24" s="128"/>
    </row>
    <row r="25" spans="2:21" s="16" customFormat="1" ht="16.5" customHeight="1">
      <c r="B25" s="124"/>
      <c r="C25" s="769">
        <v>15</v>
      </c>
      <c r="D25" s="832" t="s">
        <v>10</v>
      </c>
      <c r="E25" s="832" t="s">
        <v>28</v>
      </c>
      <c r="F25" s="833">
        <v>132</v>
      </c>
      <c r="G25" s="348">
        <f t="shared" si="0"/>
        <v>24.587</v>
      </c>
      <c r="H25" s="835">
        <v>38019.06875</v>
      </c>
      <c r="I25" s="836">
        <v>38019.07361111111</v>
      </c>
      <c r="J25" s="71">
        <f t="shared" si="1"/>
        <v>0.11666666669771075</v>
      </c>
      <c r="K25" s="28">
        <f t="shared" si="2"/>
        <v>7</v>
      </c>
      <c r="L25" s="789" t="s">
        <v>197</v>
      </c>
      <c r="M25" s="791" t="str">
        <f t="shared" si="3"/>
        <v>NO</v>
      </c>
      <c r="N25" s="838">
        <f t="shared" si="4"/>
        <v>40</v>
      </c>
      <c r="O25" s="839" t="str">
        <f t="shared" si="5"/>
        <v>--</v>
      </c>
      <c r="P25" s="840">
        <f t="shared" si="6"/>
        <v>983.48</v>
      </c>
      <c r="Q25" s="841">
        <f t="shared" si="7"/>
        <v>118.0176</v>
      </c>
      <c r="R25" s="842" t="str">
        <f t="shared" si="8"/>
        <v>--</v>
      </c>
      <c r="S25" s="791" t="str">
        <f t="shared" si="9"/>
        <v>SI</v>
      </c>
      <c r="T25" s="74">
        <f t="shared" si="10"/>
        <v>1101.4976</v>
      </c>
      <c r="U25" s="128"/>
    </row>
    <row r="26" spans="2:21" s="16" customFormat="1" ht="16.5" customHeight="1">
      <c r="B26" s="124"/>
      <c r="C26" s="769">
        <v>16</v>
      </c>
      <c r="D26" s="832" t="s">
        <v>22</v>
      </c>
      <c r="E26" s="832" t="s">
        <v>180</v>
      </c>
      <c r="F26" s="833">
        <v>132</v>
      </c>
      <c r="G26" s="348">
        <f t="shared" si="0"/>
        <v>24.587</v>
      </c>
      <c r="H26" s="835">
        <v>38021.302777777775</v>
      </c>
      <c r="I26" s="836">
        <v>38021.53402777778</v>
      </c>
      <c r="J26" s="71">
        <f t="shared" si="1"/>
        <v>5.550000000104774</v>
      </c>
      <c r="K26" s="28">
        <f t="shared" si="2"/>
        <v>333</v>
      </c>
      <c r="L26" s="789" t="s">
        <v>205</v>
      </c>
      <c r="M26" s="791" t="str">
        <f t="shared" si="3"/>
        <v>--</v>
      </c>
      <c r="N26" s="838">
        <f t="shared" si="4"/>
        <v>40</v>
      </c>
      <c r="O26" s="839">
        <f t="shared" si="5"/>
        <v>545.8314</v>
      </c>
      <c r="P26" s="840" t="str">
        <f t="shared" si="6"/>
        <v>--</v>
      </c>
      <c r="Q26" s="841" t="str">
        <f t="shared" si="7"/>
        <v>--</v>
      </c>
      <c r="R26" s="842" t="str">
        <f t="shared" si="8"/>
        <v>--</v>
      </c>
      <c r="S26" s="791" t="str">
        <f t="shared" si="9"/>
        <v>SI</v>
      </c>
      <c r="T26" s="74">
        <f t="shared" si="10"/>
        <v>545.8314</v>
      </c>
      <c r="U26" s="128"/>
    </row>
    <row r="27" spans="2:21" s="16" customFormat="1" ht="16.5" customHeight="1">
      <c r="B27" s="124"/>
      <c r="C27" s="769">
        <v>17</v>
      </c>
      <c r="D27" s="832" t="s">
        <v>194</v>
      </c>
      <c r="E27" s="832" t="s">
        <v>195</v>
      </c>
      <c r="F27" s="833">
        <v>500</v>
      </c>
      <c r="G27" s="348">
        <f t="shared" si="0"/>
        <v>30.733</v>
      </c>
      <c r="H27" s="835">
        <v>38022.302777777775</v>
      </c>
      <c r="I27" s="836">
        <v>38022.37569444445</v>
      </c>
      <c r="J27" s="71">
        <f t="shared" si="1"/>
        <v>1.7500000001164153</v>
      </c>
      <c r="K27" s="28">
        <f t="shared" si="2"/>
        <v>105</v>
      </c>
      <c r="L27" s="789" t="s">
        <v>205</v>
      </c>
      <c r="M27" s="791" t="str">
        <f t="shared" si="3"/>
        <v>--</v>
      </c>
      <c r="N27" s="838">
        <f t="shared" si="4"/>
        <v>200</v>
      </c>
      <c r="O27" s="839">
        <f t="shared" si="5"/>
        <v>1075.6550000000002</v>
      </c>
      <c r="P27" s="840" t="str">
        <f t="shared" si="6"/>
        <v>--</v>
      </c>
      <c r="Q27" s="841" t="str">
        <f t="shared" si="7"/>
        <v>--</v>
      </c>
      <c r="R27" s="842" t="str">
        <f t="shared" si="8"/>
        <v>--</v>
      </c>
      <c r="S27" s="791" t="str">
        <f t="shared" si="9"/>
        <v>SI</v>
      </c>
      <c r="T27" s="74">
        <f t="shared" si="10"/>
        <v>1075.6550000000002</v>
      </c>
      <c r="U27" s="128"/>
    </row>
    <row r="28" spans="2:21" s="16" customFormat="1" ht="16.5" customHeight="1">
      <c r="B28" s="124"/>
      <c r="C28" s="769">
        <v>18</v>
      </c>
      <c r="D28" s="832" t="s">
        <v>23</v>
      </c>
      <c r="E28" s="832" t="s">
        <v>186</v>
      </c>
      <c r="F28" s="833">
        <v>132</v>
      </c>
      <c r="G28" s="348">
        <f t="shared" si="0"/>
        <v>24.587</v>
      </c>
      <c r="H28" s="835">
        <v>38022.35625</v>
      </c>
      <c r="I28" s="836">
        <v>38022.501388888886</v>
      </c>
      <c r="J28" s="71">
        <f t="shared" si="1"/>
        <v>3.483333333337214</v>
      </c>
      <c r="K28" s="28">
        <f t="shared" si="2"/>
        <v>209</v>
      </c>
      <c r="L28" s="789" t="s">
        <v>205</v>
      </c>
      <c r="M28" s="791" t="str">
        <f t="shared" si="3"/>
        <v>--</v>
      </c>
      <c r="N28" s="838">
        <f t="shared" si="4"/>
        <v>40</v>
      </c>
      <c r="O28" s="839">
        <f t="shared" si="5"/>
        <v>342.25104000000005</v>
      </c>
      <c r="P28" s="840" t="str">
        <f t="shared" si="6"/>
        <v>--</v>
      </c>
      <c r="Q28" s="841" t="str">
        <f t="shared" si="7"/>
        <v>--</v>
      </c>
      <c r="R28" s="842" t="str">
        <f t="shared" si="8"/>
        <v>--</v>
      </c>
      <c r="S28" s="791" t="str">
        <f t="shared" si="9"/>
        <v>SI</v>
      </c>
      <c r="T28" s="74">
        <f t="shared" si="10"/>
        <v>342.25104000000005</v>
      </c>
      <c r="U28" s="128"/>
    </row>
    <row r="29" spans="2:21" s="16" customFormat="1" ht="16.5" customHeight="1">
      <c r="B29" s="124"/>
      <c r="C29" s="769">
        <v>19</v>
      </c>
      <c r="D29" s="832" t="s">
        <v>32</v>
      </c>
      <c r="E29" s="832" t="s">
        <v>33</v>
      </c>
      <c r="F29" s="833">
        <v>500</v>
      </c>
      <c r="G29" s="348">
        <f t="shared" si="0"/>
        <v>30.733</v>
      </c>
      <c r="H29" s="835">
        <v>38025.322916666664</v>
      </c>
      <c r="I29" s="836">
        <v>38025.62013888889</v>
      </c>
      <c r="J29" s="71">
        <f t="shared" si="1"/>
        <v>7.133333333360497</v>
      </c>
      <c r="K29" s="28">
        <f t="shared" si="2"/>
        <v>428</v>
      </c>
      <c r="L29" s="789" t="s">
        <v>205</v>
      </c>
      <c r="M29" s="791" t="str">
        <f t="shared" si="3"/>
        <v>--</v>
      </c>
      <c r="N29" s="838">
        <f t="shared" si="4"/>
        <v>200</v>
      </c>
      <c r="O29" s="839">
        <f t="shared" si="5"/>
        <v>4382.5258</v>
      </c>
      <c r="P29" s="840" t="str">
        <f t="shared" si="6"/>
        <v>--</v>
      </c>
      <c r="Q29" s="841" t="str">
        <f t="shared" si="7"/>
        <v>--</v>
      </c>
      <c r="R29" s="842" t="str">
        <f t="shared" si="8"/>
        <v>--</v>
      </c>
      <c r="S29" s="791" t="str">
        <f t="shared" si="9"/>
        <v>SI</v>
      </c>
      <c r="T29" s="74">
        <f t="shared" si="10"/>
        <v>4382.5258</v>
      </c>
      <c r="U29" s="128"/>
    </row>
    <row r="30" spans="2:21" s="16" customFormat="1" ht="16.5" customHeight="1">
      <c r="B30" s="124"/>
      <c r="C30" s="769">
        <v>20</v>
      </c>
      <c r="D30" s="832" t="s">
        <v>36</v>
      </c>
      <c r="E30" s="832" t="s">
        <v>38</v>
      </c>
      <c r="F30" s="833">
        <v>500</v>
      </c>
      <c r="G30" s="348">
        <f t="shared" si="0"/>
        <v>30.733</v>
      </c>
      <c r="H30" s="835">
        <v>38032.336805555555</v>
      </c>
      <c r="I30" s="836">
        <v>38032.78472222222</v>
      </c>
      <c r="J30" s="71">
        <f t="shared" si="1"/>
        <v>10.749999999941792</v>
      </c>
      <c r="K30" s="28">
        <f t="shared" si="2"/>
        <v>645</v>
      </c>
      <c r="L30" s="789" t="s">
        <v>205</v>
      </c>
      <c r="M30" s="791" t="str">
        <f t="shared" si="3"/>
        <v>--</v>
      </c>
      <c r="N30" s="838">
        <f t="shared" si="4"/>
        <v>200</v>
      </c>
      <c r="O30" s="839">
        <f t="shared" si="5"/>
        <v>6607.595</v>
      </c>
      <c r="P30" s="840" t="str">
        <f t="shared" si="6"/>
        <v>--</v>
      </c>
      <c r="Q30" s="841" t="str">
        <f t="shared" si="7"/>
        <v>--</v>
      </c>
      <c r="R30" s="842" t="str">
        <f t="shared" si="8"/>
        <v>--</v>
      </c>
      <c r="S30" s="791" t="str">
        <f t="shared" si="9"/>
        <v>SI</v>
      </c>
      <c r="T30" s="74">
        <f t="shared" si="10"/>
        <v>6607.595</v>
      </c>
      <c r="U30" s="128"/>
    </row>
    <row r="31" spans="2:21" s="16" customFormat="1" ht="16.5" customHeight="1">
      <c r="B31" s="124"/>
      <c r="C31" s="769">
        <v>21</v>
      </c>
      <c r="D31" s="832" t="s">
        <v>198</v>
      </c>
      <c r="E31" s="832" t="s">
        <v>199</v>
      </c>
      <c r="F31" s="833">
        <v>132</v>
      </c>
      <c r="G31" s="348">
        <f t="shared" si="0"/>
        <v>24.587</v>
      </c>
      <c r="H31" s="835">
        <v>38035.336805555555</v>
      </c>
      <c r="I31" s="836">
        <v>38035.697222222225</v>
      </c>
      <c r="J31" s="71">
        <f t="shared" si="1"/>
        <v>8.65000000008149</v>
      </c>
      <c r="K31" s="28">
        <f t="shared" si="2"/>
        <v>519</v>
      </c>
      <c r="L31" s="789" t="s">
        <v>205</v>
      </c>
      <c r="M31" s="791" t="str">
        <f t="shared" si="3"/>
        <v>--</v>
      </c>
      <c r="N31" s="838">
        <f t="shared" si="4"/>
        <v>40</v>
      </c>
      <c r="O31" s="839">
        <f t="shared" si="5"/>
        <v>850.7102000000001</v>
      </c>
      <c r="P31" s="840" t="str">
        <f t="shared" si="6"/>
        <v>--</v>
      </c>
      <c r="Q31" s="841" t="str">
        <f t="shared" si="7"/>
        <v>--</v>
      </c>
      <c r="R31" s="842" t="str">
        <f t="shared" si="8"/>
        <v>--</v>
      </c>
      <c r="S31" s="791" t="str">
        <f t="shared" si="9"/>
        <v>SI</v>
      </c>
      <c r="T31" s="74">
        <f t="shared" si="10"/>
        <v>850.7102000000001</v>
      </c>
      <c r="U31" s="128"/>
    </row>
    <row r="32" spans="2:21" s="16" customFormat="1" ht="16.5" customHeight="1">
      <c r="B32" s="124"/>
      <c r="C32" s="769">
        <v>22</v>
      </c>
      <c r="D32" s="832" t="s">
        <v>198</v>
      </c>
      <c r="E32" s="832" t="s">
        <v>200</v>
      </c>
      <c r="F32" s="833">
        <v>132</v>
      </c>
      <c r="G32" s="348">
        <f t="shared" si="0"/>
        <v>24.587</v>
      </c>
      <c r="H32" s="835">
        <v>38035.336805555555</v>
      </c>
      <c r="I32" s="836">
        <v>38035.69583333333</v>
      </c>
      <c r="J32" s="71">
        <f t="shared" si="1"/>
        <v>8.616666666639503</v>
      </c>
      <c r="K32" s="28">
        <f t="shared" si="2"/>
        <v>517</v>
      </c>
      <c r="L32" s="789" t="s">
        <v>205</v>
      </c>
      <c r="M32" s="791" t="str">
        <f t="shared" si="3"/>
        <v>--</v>
      </c>
      <c r="N32" s="838">
        <f t="shared" si="4"/>
        <v>40</v>
      </c>
      <c r="O32" s="839">
        <f t="shared" si="5"/>
        <v>847.7597599999999</v>
      </c>
      <c r="P32" s="840" t="str">
        <f t="shared" si="6"/>
        <v>--</v>
      </c>
      <c r="Q32" s="841" t="str">
        <f t="shared" si="7"/>
        <v>--</v>
      </c>
      <c r="R32" s="842" t="str">
        <f t="shared" si="8"/>
        <v>--</v>
      </c>
      <c r="S32" s="791" t="str">
        <f t="shared" si="9"/>
        <v>SI</v>
      </c>
      <c r="T32" s="74">
        <f t="shared" si="10"/>
        <v>847.7597599999999</v>
      </c>
      <c r="U32" s="128"/>
    </row>
    <row r="33" spans="2:21" s="16" customFormat="1" ht="16.5" customHeight="1">
      <c r="B33" s="124"/>
      <c r="C33" s="769">
        <v>23</v>
      </c>
      <c r="D33" s="832" t="s">
        <v>198</v>
      </c>
      <c r="E33" s="832" t="s">
        <v>199</v>
      </c>
      <c r="F33" s="833">
        <v>132</v>
      </c>
      <c r="G33" s="348">
        <f t="shared" si="0"/>
        <v>24.587</v>
      </c>
      <c r="H33" s="835">
        <v>38036.34027777778</v>
      </c>
      <c r="I33" s="836">
        <v>38036.68402777778</v>
      </c>
      <c r="J33" s="71">
        <f t="shared" si="1"/>
        <v>8.25</v>
      </c>
      <c r="K33" s="28">
        <f t="shared" si="2"/>
        <v>495</v>
      </c>
      <c r="L33" s="789" t="s">
        <v>205</v>
      </c>
      <c r="M33" s="791" t="str">
        <f t="shared" si="3"/>
        <v>--</v>
      </c>
      <c r="N33" s="838">
        <f t="shared" si="4"/>
        <v>40</v>
      </c>
      <c r="O33" s="839">
        <f t="shared" si="5"/>
        <v>811.3710000000001</v>
      </c>
      <c r="P33" s="840" t="str">
        <f t="shared" si="6"/>
        <v>--</v>
      </c>
      <c r="Q33" s="841" t="str">
        <f t="shared" si="7"/>
        <v>--</v>
      </c>
      <c r="R33" s="842" t="str">
        <f t="shared" si="8"/>
        <v>--</v>
      </c>
      <c r="S33" s="791" t="str">
        <f t="shared" si="9"/>
        <v>SI</v>
      </c>
      <c r="T33" s="74">
        <f t="shared" si="10"/>
        <v>811.3710000000001</v>
      </c>
      <c r="U33" s="128"/>
    </row>
    <row r="34" spans="2:21" s="16" customFormat="1" ht="16.5" customHeight="1">
      <c r="B34" s="124"/>
      <c r="C34" s="769">
        <v>24</v>
      </c>
      <c r="D34" s="832" t="s">
        <v>198</v>
      </c>
      <c r="E34" s="832" t="s">
        <v>200</v>
      </c>
      <c r="F34" s="833">
        <v>132</v>
      </c>
      <c r="G34" s="348">
        <f t="shared" si="0"/>
        <v>24.587</v>
      </c>
      <c r="H34" s="835">
        <v>38036.34097222222</v>
      </c>
      <c r="I34" s="836">
        <v>38036.68472222222</v>
      </c>
      <c r="J34" s="71">
        <f t="shared" si="1"/>
        <v>8.25</v>
      </c>
      <c r="K34" s="28">
        <f t="shared" si="2"/>
        <v>495</v>
      </c>
      <c r="L34" s="789" t="s">
        <v>205</v>
      </c>
      <c r="M34" s="791" t="str">
        <f t="shared" si="3"/>
        <v>--</v>
      </c>
      <c r="N34" s="838">
        <f t="shared" si="4"/>
        <v>40</v>
      </c>
      <c r="O34" s="839">
        <f t="shared" si="5"/>
        <v>811.3710000000001</v>
      </c>
      <c r="P34" s="840" t="str">
        <f t="shared" si="6"/>
        <v>--</v>
      </c>
      <c r="Q34" s="841" t="str">
        <f t="shared" si="7"/>
        <v>--</v>
      </c>
      <c r="R34" s="842" t="str">
        <f t="shared" si="8"/>
        <v>--</v>
      </c>
      <c r="S34" s="791" t="str">
        <f t="shared" si="9"/>
        <v>SI</v>
      </c>
      <c r="T34" s="74">
        <f t="shared" si="10"/>
        <v>811.3710000000001</v>
      </c>
      <c r="U34" s="128"/>
    </row>
    <row r="35" spans="2:21" s="16" customFormat="1" ht="16.5" customHeight="1">
      <c r="B35" s="124"/>
      <c r="C35" s="769">
        <v>25</v>
      </c>
      <c r="D35" s="832" t="s">
        <v>21</v>
      </c>
      <c r="E35" s="832" t="s">
        <v>39</v>
      </c>
      <c r="F35" s="833">
        <v>132</v>
      </c>
      <c r="G35" s="348">
        <f t="shared" si="0"/>
        <v>24.587</v>
      </c>
      <c r="H35" s="835">
        <v>38037.29305555556</v>
      </c>
      <c r="I35" s="836">
        <v>38037.493055555555</v>
      </c>
      <c r="J35" s="71">
        <f t="shared" si="1"/>
        <v>4.799999999930151</v>
      </c>
      <c r="K35" s="28">
        <f t="shared" si="2"/>
        <v>288</v>
      </c>
      <c r="L35" s="789" t="s">
        <v>205</v>
      </c>
      <c r="M35" s="791" t="str">
        <f t="shared" si="3"/>
        <v>--</v>
      </c>
      <c r="N35" s="838">
        <f t="shared" si="4"/>
        <v>40</v>
      </c>
      <c r="O35" s="839">
        <f t="shared" si="5"/>
        <v>472.0704</v>
      </c>
      <c r="P35" s="840" t="str">
        <f t="shared" si="6"/>
        <v>--</v>
      </c>
      <c r="Q35" s="841" t="str">
        <f t="shared" si="7"/>
        <v>--</v>
      </c>
      <c r="R35" s="842" t="str">
        <f t="shared" si="8"/>
        <v>--</v>
      </c>
      <c r="S35" s="791" t="str">
        <f t="shared" si="9"/>
        <v>SI</v>
      </c>
      <c r="T35" s="74">
        <f t="shared" si="10"/>
        <v>472.0704</v>
      </c>
      <c r="U35" s="128"/>
    </row>
    <row r="36" spans="2:21" s="16" customFormat="1" ht="16.5" customHeight="1">
      <c r="B36" s="124"/>
      <c r="C36" s="769">
        <v>26</v>
      </c>
      <c r="D36" s="832" t="s">
        <v>14</v>
      </c>
      <c r="E36" s="832" t="s">
        <v>31</v>
      </c>
      <c r="F36" s="833">
        <v>132</v>
      </c>
      <c r="G36" s="348">
        <f t="shared" si="0"/>
        <v>24.587</v>
      </c>
      <c r="H36" s="835">
        <v>38039.24166666667</v>
      </c>
      <c r="I36" s="836">
        <v>38039.674305555556</v>
      </c>
      <c r="J36" s="71">
        <f t="shared" si="1"/>
        <v>10.38333333330229</v>
      </c>
      <c r="K36" s="28">
        <f t="shared" si="2"/>
        <v>623</v>
      </c>
      <c r="L36" s="789" t="s">
        <v>205</v>
      </c>
      <c r="M36" s="791" t="str">
        <f t="shared" si="3"/>
        <v>--</v>
      </c>
      <c r="N36" s="838">
        <f t="shared" si="4"/>
        <v>40</v>
      </c>
      <c r="O36" s="839">
        <f t="shared" si="5"/>
        <v>1020.8522400000002</v>
      </c>
      <c r="P36" s="840" t="str">
        <f t="shared" si="6"/>
        <v>--</v>
      </c>
      <c r="Q36" s="841" t="str">
        <f t="shared" si="7"/>
        <v>--</v>
      </c>
      <c r="R36" s="842" t="str">
        <f t="shared" si="8"/>
        <v>--</v>
      </c>
      <c r="S36" s="791" t="str">
        <f t="shared" si="9"/>
        <v>SI</v>
      </c>
      <c r="T36" s="74">
        <f t="shared" si="10"/>
        <v>1020.8522400000002</v>
      </c>
      <c r="U36" s="128"/>
    </row>
    <row r="37" spans="2:21" s="16" customFormat="1" ht="16.5" customHeight="1">
      <c r="B37" s="124"/>
      <c r="C37" s="769">
        <v>27</v>
      </c>
      <c r="D37" s="832" t="s">
        <v>14</v>
      </c>
      <c r="E37" s="832" t="s">
        <v>30</v>
      </c>
      <c r="F37" s="833">
        <v>132</v>
      </c>
      <c r="G37" s="348">
        <f t="shared" si="0"/>
        <v>24.587</v>
      </c>
      <c r="H37" s="835">
        <v>38040.35486111111</v>
      </c>
      <c r="I37" s="836">
        <v>38040.66180555556</v>
      </c>
      <c r="J37" s="71">
        <f t="shared" si="1"/>
        <v>7.366666666755918</v>
      </c>
      <c r="K37" s="28">
        <f t="shared" si="2"/>
        <v>442</v>
      </c>
      <c r="L37" s="789" t="s">
        <v>205</v>
      </c>
      <c r="M37" s="791" t="str">
        <f t="shared" si="3"/>
        <v>--</v>
      </c>
      <c r="N37" s="838">
        <f t="shared" si="4"/>
        <v>40</v>
      </c>
      <c r="O37" s="839">
        <f t="shared" si="5"/>
        <v>724.8247600000001</v>
      </c>
      <c r="P37" s="840" t="str">
        <f t="shared" si="6"/>
        <v>--</v>
      </c>
      <c r="Q37" s="841" t="str">
        <f t="shared" si="7"/>
        <v>--</v>
      </c>
      <c r="R37" s="842" t="str">
        <f t="shared" si="8"/>
        <v>--</v>
      </c>
      <c r="S37" s="791" t="str">
        <f t="shared" si="9"/>
        <v>SI</v>
      </c>
      <c r="T37" s="74">
        <f t="shared" si="10"/>
        <v>724.8247600000001</v>
      </c>
      <c r="U37" s="128"/>
    </row>
    <row r="38" spans="2:21" s="16" customFormat="1" ht="16.5" customHeight="1">
      <c r="B38" s="124"/>
      <c r="C38" s="769">
        <v>28</v>
      </c>
      <c r="D38" s="832" t="s">
        <v>14</v>
      </c>
      <c r="E38" s="832" t="s">
        <v>30</v>
      </c>
      <c r="F38" s="833">
        <v>132</v>
      </c>
      <c r="G38" s="348">
        <f t="shared" si="0"/>
        <v>24.587</v>
      </c>
      <c r="H38" s="835">
        <v>38041.34097222222</v>
      </c>
      <c r="I38" s="836">
        <v>38041.64722222222</v>
      </c>
      <c r="J38" s="71">
        <f t="shared" si="1"/>
        <v>7.350000000034925</v>
      </c>
      <c r="K38" s="28">
        <f t="shared" si="2"/>
        <v>441</v>
      </c>
      <c r="L38" s="789" t="s">
        <v>205</v>
      </c>
      <c r="M38" s="791" t="str">
        <f t="shared" si="3"/>
        <v>--</v>
      </c>
      <c r="N38" s="838">
        <f t="shared" si="4"/>
        <v>40</v>
      </c>
      <c r="O38" s="839">
        <f t="shared" si="5"/>
        <v>722.8578</v>
      </c>
      <c r="P38" s="840" t="str">
        <f t="shared" si="6"/>
        <v>--</v>
      </c>
      <c r="Q38" s="841" t="str">
        <f t="shared" si="7"/>
        <v>--</v>
      </c>
      <c r="R38" s="842" t="str">
        <f t="shared" si="8"/>
        <v>--</v>
      </c>
      <c r="S38" s="791" t="str">
        <f t="shared" si="9"/>
        <v>SI</v>
      </c>
      <c r="T38" s="74">
        <f t="shared" si="10"/>
        <v>722.8578</v>
      </c>
      <c r="U38" s="128"/>
    </row>
    <row r="39" spans="2:21" s="16" customFormat="1" ht="16.5" customHeight="1">
      <c r="B39" s="124"/>
      <c r="C39" s="769">
        <v>29</v>
      </c>
      <c r="D39" s="832" t="s">
        <v>41</v>
      </c>
      <c r="E39" s="832" t="s">
        <v>42</v>
      </c>
      <c r="F39" s="833">
        <v>220</v>
      </c>
      <c r="G39" s="348">
        <f t="shared" si="0"/>
        <v>27.658</v>
      </c>
      <c r="H39" s="835">
        <v>38041.38402777778</v>
      </c>
      <c r="I39" s="836">
        <v>38041.58611111111</v>
      </c>
      <c r="J39" s="71">
        <f t="shared" si="1"/>
        <v>4.849999999918509</v>
      </c>
      <c r="K39" s="28">
        <f t="shared" si="2"/>
        <v>291</v>
      </c>
      <c r="L39" s="789" t="s">
        <v>205</v>
      </c>
      <c r="M39" s="791" t="str">
        <f t="shared" si="3"/>
        <v>--</v>
      </c>
      <c r="N39" s="838">
        <f t="shared" si="4"/>
        <v>100</v>
      </c>
      <c r="O39" s="839">
        <f t="shared" si="5"/>
        <v>1341.413</v>
      </c>
      <c r="P39" s="840" t="str">
        <f t="shared" si="6"/>
        <v>--</v>
      </c>
      <c r="Q39" s="841" t="str">
        <f t="shared" si="7"/>
        <v>--</v>
      </c>
      <c r="R39" s="842" t="str">
        <f t="shared" si="8"/>
        <v>--</v>
      </c>
      <c r="S39" s="791" t="str">
        <f t="shared" si="9"/>
        <v>SI</v>
      </c>
      <c r="T39" s="74">
        <f t="shared" si="10"/>
        <v>1341.413</v>
      </c>
      <c r="U39" s="128"/>
    </row>
    <row r="40" spans="2:21" s="16" customFormat="1" ht="16.5" customHeight="1">
      <c r="B40" s="124"/>
      <c r="C40" s="769">
        <v>30</v>
      </c>
      <c r="D40" s="832" t="s">
        <v>41</v>
      </c>
      <c r="E40" s="832" t="s">
        <v>42</v>
      </c>
      <c r="F40" s="833">
        <v>220</v>
      </c>
      <c r="G40" s="348">
        <f t="shared" si="0"/>
        <v>27.658</v>
      </c>
      <c r="H40" s="835">
        <v>38041.666666666664</v>
      </c>
      <c r="I40" s="836">
        <v>38042.15972222222</v>
      </c>
      <c r="J40" s="71">
        <f t="shared" si="1"/>
        <v>11.83333333331393</v>
      </c>
      <c r="K40" s="28">
        <f t="shared" si="2"/>
        <v>710</v>
      </c>
      <c r="L40" s="789" t="s">
        <v>197</v>
      </c>
      <c r="M40" s="791" t="str">
        <f t="shared" si="3"/>
        <v>NO</v>
      </c>
      <c r="N40" s="838">
        <f t="shared" si="4"/>
        <v>100</v>
      </c>
      <c r="O40" s="839" t="str">
        <f t="shared" si="5"/>
        <v>--</v>
      </c>
      <c r="P40" s="840">
        <f t="shared" si="6"/>
        <v>2765.8</v>
      </c>
      <c r="Q40" s="841">
        <f t="shared" si="7"/>
        <v>32719.414</v>
      </c>
      <c r="R40" s="842" t="str">
        <f t="shared" si="8"/>
        <v>--</v>
      </c>
      <c r="S40" s="791" t="str">
        <f t="shared" si="9"/>
        <v>SI</v>
      </c>
      <c r="T40" s="74">
        <f t="shared" si="10"/>
        <v>35485.214</v>
      </c>
      <c r="U40" s="128"/>
    </row>
    <row r="41" spans="2:21" s="16" customFormat="1" ht="16.5" customHeight="1">
      <c r="B41" s="124"/>
      <c r="C41" s="769">
        <v>31</v>
      </c>
      <c r="D41" s="832" t="s">
        <v>41</v>
      </c>
      <c r="E41" s="832" t="s">
        <v>42</v>
      </c>
      <c r="F41" s="833">
        <v>220</v>
      </c>
      <c r="G41" s="348">
        <f t="shared" si="0"/>
        <v>27.658</v>
      </c>
      <c r="H41" s="835">
        <v>38042.415972222225</v>
      </c>
      <c r="I41" s="836">
        <v>38042.779861111114</v>
      </c>
      <c r="J41" s="71">
        <f t="shared" si="1"/>
        <v>8.733333333337214</v>
      </c>
      <c r="K41" s="28">
        <f t="shared" si="2"/>
        <v>524</v>
      </c>
      <c r="L41" s="789" t="s">
        <v>205</v>
      </c>
      <c r="M41" s="791" t="str">
        <f t="shared" si="3"/>
        <v>--</v>
      </c>
      <c r="N41" s="838">
        <f t="shared" si="4"/>
        <v>100</v>
      </c>
      <c r="O41" s="839">
        <f t="shared" si="5"/>
        <v>2414.5434</v>
      </c>
      <c r="P41" s="840" t="str">
        <f t="shared" si="6"/>
        <v>--</v>
      </c>
      <c r="Q41" s="841" t="str">
        <f t="shared" si="7"/>
        <v>--</v>
      </c>
      <c r="R41" s="842" t="str">
        <f t="shared" si="8"/>
        <v>--</v>
      </c>
      <c r="S41" s="791" t="str">
        <f t="shared" si="9"/>
        <v>SI</v>
      </c>
      <c r="T41" s="74">
        <f t="shared" si="10"/>
        <v>2414.5434</v>
      </c>
      <c r="U41" s="128"/>
    </row>
    <row r="42" spans="2:21" s="16" customFormat="1" ht="16.5" customHeight="1">
      <c r="B42" s="124"/>
      <c r="C42" s="769">
        <v>32</v>
      </c>
      <c r="D42" s="832" t="s">
        <v>36</v>
      </c>
      <c r="E42" s="832" t="s">
        <v>37</v>
      </c>
      <c r="F42" s="833">
        <v>132</v>
      </c>
      <c r="G42" s="348">
        <f t="shared" si="0"/>
        <v>24.587</v>
      </c>
      <c r="H42" s="835">
        <v>38042.42013888889</v>
      </c>
      <c r="I42" s="836">
        <v>38042.60833333333</v>
      </c>
      <c r="J42" s="71">
        <f t="shared" si="1"/>
        <v>4.516666666546371</v>
      </c>
      <c r="K42" s="28">
        <f t="shared" si="2"/>
        <v>271</v>
      </c>
      <c r="L42" s="789" t="s">
        <v>205</v>
      </c>
      <c r="M42" s="791" t="str">
        <f t="shared" si="3"/>
        <v>--</v>
      </c>
      <c r="N42" s="838">
        <f t="shared" si="4"/>
        <v>40</v>
      </c>
      <c r="O42" s="839">
        <f t="shared" si="5"/>
        <v>444.53296</v>
      </c>
      <c r="P42" s="840" t="str">
        <f t="shared" si="6"/>
        <v>--</v>
      </c>
      <c r="Q42" s="841" t="str">
        <f t="shared" si="7"/>
        <v>--</v>
      </c>
      <c r="R42" s="842" t="str">
        <f t="shared" si="8"/>
        <v>--</v>
      </c>
      <c r="S42" s="791" t="str">
        <f t="shared" si="9"/>
        <v>SI</v>
      </c>
      <c r="T42" s="74">
        <f t="shared" si="10"/>
        <v>444.53296</v>
      </c>
      <c r="U42" s="128"/>
    </row>
    <row r="43" spans="2:21" s="16" customFormat="1" ht="16.5" customHeight="1">
      <c r="B43" s="124"/>
      <c r="C43" s="769">
        <v>33</v>
      </c>
      <c r="D43" s="832" t="s">
        <v>41</v>
      </c>
      <c r="E43" s="832" t="s">
        <v>42</v>
      </c>
      <c r="F43" s="833">
        <v>220</v>
      </c>
      <c r="G43" s="348">
        <f t="shared" si="0"/>
        <v>27.658</v>
      </c>
      <c r="H43" s="835">
        <v>38043.40347222222</v>
      </c>
      <c r="I43" s="836">
        <v>38043.635416666664</v>
      </c>
      <c r="J43" s="71">
        <f t="shared" si="1"/>
        <v>5.566666666651145</v>
      </c>
      <c r="K43" s="28">
        <f t="shared" si="2"/>
        <v>334</v>
      </c>
      <c r="L43" s="789" t="s">
        <v>205</v>
      </c>
      <c r="M43" s="791" t="str">
        <f t="shared" si="3"/>
        <v>--</v>
      </c>
      <c r="N43" s="838">
        <f t="shared" si="4"/>
        <v>100</v>
      </c>
      <c r="O43" s="839">
        <f t="shared" si="5"/>
        <v>1540.5506000000003</v>
      </c>
      <c r="P43" s="840" t="str">
        <f t="shared" si="6"/>
        <v>--</v>
      </c>
      <c r="Q43" s="841" t="str">
        <f t="shared" si="7"/>
        <v>--</v>
      </c>
      <c r="R43" s="842" t="str">
        <f t="shared" si="8"/>
        <v>--</v>
      </c>
      <c r="S43" s="791" t="str">
        <f t="shared" si="9"/>
        <v>SI</v>
      </c>
      <c r="T43" s="74">
        <f t="shared" si="10"/>
        <v>1540.5506000000003</v>
      </c>
      <c r="U43" s="128"/>
    </row>
    <row r="44" spans="2:21" s="16" customFormat="1" ht="16.5" customHeight="1" thickBot="1">
      <c r="B44" s="124"/>
      <c r="C44" s="778"/>
      <c r="D44" s="834"/>
      <c r="E44" s="834"/>
      <c r="F44" s="779"/>
      <c r="G44" s="349"/>
      <c r="H44" s="837"/>
      <c r="I44" s="837"/>
      <c r="J44" s="75"/>
      <c r="K44" s="75"/>
      <c r="L44" s="837"/>
      <c r="M44" s="788"/>
      <c r="N44" s="843"/>
      <c r="O44" s="844"/>
      <c r="P44" s="845"/>
      <c r="Q44" s="846"/>
      <c r="R44" s="847"/>
      <c r="S44" s="788"/>
      <c r="T44" s="237"/>
      <c r="U44" s="128"/>
    </row>
    <row r="45" spans="2:21" s="16" customFormat="1" ht="16.5" customHeight="1" thickBot="1" thickTop="1">
      <c r="B45" s="124"/>
      <c r="C45" s="269" t="s">
        <v>95</v>
      </c>
      <c r="D45" s="270" t="s">
        <v>96</v>
      </c>
      <c r="E45"/>
      <c r="F45" s="14"/>
      <c r="G45" s="14"/>
      <c r="H45" s="14"/>
      <c r="I45" s="14"/>
      <c r="J45" s="14"/>
      <c r="K45" s="14"/>
      <c r="L45" s="14"/>
      <c r="M45" s="14"/>
      <c r="N45" s="14"/>
      <c r="O45" s="502">
        <f>SUM(O22:O44)</f>
        <v>25121.94</v>
      </c>
      <c r="P45" s="509">
        <f>SUM(P22:P44)</f>
        <v>3749.28</v>
      </c>
      <c r="Q45" s="510">
        <f>SUM(Q22:Q44)</f>
        <v>32837.4316</v>
      </c>
      <c r="R45" s="512">
        <f>SUM(R22:R44)</f>
        <v>0</v>
      </c>
      <c r="S45" s="76"/>
      <c r="T45" s="91">
        <f>ROUND(SUM(T22:T44),2)</f>
        <v>61708.65</v>
      </c>
      <c r="U45" s="128"/>
    </row>
    <row r="46" spans="2:21" s="273" customFormat="1" ht="13.5" thickTop="1">
      <c r="B46" s="274"/>
      <c r="C46" s="271"/>
      <c r="D46" s="272" t="s">
        <v>97</v>
      </c>
      <c r="E46"/>
      <c r="F46" s="290"/>
      <c r="G46" s="290"/>
      <c r="H46" s="290"/>
      <c r="I46" s="290"/>
      <c r="J46" s="290"/>
      <c r="K46" s="290"/>
      <c r="L46" s="290"/>
      <c r="M46" s="290"/>
      <c r="N46" s="290"/>
      <c r="O46" s="288"/>
      <c r="P46" s="288"/>
      <c r="Q46" s="288"/>
      <c r="R46" s="288"/>
      <c r="S46" s="288"/>
      <c r="T46" s="291"/>
      <c r="U46" s="292"/>
    </row>
    <row r="47" spans="2:21" s="16" customFormat="1" ht="16.5" customHeight="1" thickBot="1">
      <c r="B47" s="153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5"/>
    </row>
    <row r="48" spans="21:23" ht="16.5" customHeight="1" thickTop="1">
      <c r="U48" s="5"/>
      <c r="V48" s="5"/>
      <c r="W48" s="5"/>
    </row>
    <row r="49" spans="21:23" ht="16.5" customHeight="1">
      <c r="U49" s="5"/>
      <c r="V49" s="5"/>
      <c r="W49" s="5"/>
    </row>
    <row r="50" spans="21:23" ht="16.5" customHeight="1">
      <c r="U50" s="5"/>
      <c r="V50" s="5"/>
      <c r="W50" s="5"/>
    </row>
    <row r="51" spans="21:23" ht="16.5" customHeight="1">
      <c r="U51" s="5"/>
      <c r="V51" s="5"/>
      <c r="W51" s="5"/>
    </row>
    <row r="52" spans="21:23" ht="16.5" customHeight="1"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4:23" ht="16.5" customHeight="1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4:23" ht="16.5" customHeight="1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</sheetData>
  <sheetProtection sheet="1" objects="1" scenarios="1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5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W160"/>
  <sheetViews>
    <sheetView zoomScale="75" zoomScaleNormal="75" workbookViewId="0" topLeftCell="A1">
      <selection activeCell="O98" sqref="O98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92" customFormat="1" ht="26.25">
      <c r="A1" s="142"/>
      <c r="U1" s="754"/>
    </row>
    <row r="2" spans="1:21" s="92" customFormat="1" ht="26.25">
      <c r="A2" s="142"/>
      <c r="B2" s="93" t="str">
        <f>+'tot-0402'!B2</f>
        <v>ANEXO I-1 a la Resolución ENRE N°            1107 /2006    .-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="16" customFormat="1" ht="12.75">
      <c r="A3" s="61"/>
    </row>
    <row r="4" spans="1:2" s="99" customFormat="1" ht="11.25">
      <c r="A4" s="97" t="s">
        <v>52</v>
      </c>
      <c r="B4" s="176"/>
    </row>
    <row r="5" spans="1:2" s="99" customFormat="1" ht="11.25">
      <c r="A5" s="97" t="s">
        <v>53</v>
      </c>
      <c r="B5" s="176"/>
    </row>
    <row r="6" s="16" customFormat="1" ht="13.5" thickBot="1"/>
    <row r="7" spans="2:21" s="16" customFormat="1" ht="13.5" thickTop="1"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214"/>
    </row>
    <row r="8" spans="2:21" s="10" customFormat="1" ht="20.25">
      <c r="B8" s="157"/>
      <c r="C8" s="11"/>
      <c r="D8" s="64" t="s">
        <v>68</v>
      </c>
      <c r="L8" s="190"/>
      <c r="M8" s="190"/>
      <c r="N8" s="39"/>
      <c r="O8" s="11"/>
      <c r="P8" s="11"/>
      <c r="Q8" s="11"/>
      <c r="R8" s="11"/>
      <c r="S8" s="11"/>
      <c r="T8" s="11"/>
      <c r="U8" s="223"/>
    </row>
    <row r="9" spans="2:21" s="16" customFormat="1" ht="12.75">
      <c r="B9" s="124"/>
      <c r="C9" s="14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14"/>
      <c r="P9" s="14"/>
      <c r="Q9" s="14"/>
      <c r="R9" s="14"/>
      <c r="S9" s="14"/>
      <c r="T9" s="14"/>
      <c r="U9" s="128"/>
    </row>
    <row r="10" spans="2:21" s="10" customFormat="1" ht="20.25">
      <c r="B10" s="157"/>
      <c r="C10" s="11"/>
      <c r="D10" s="194" t="s">
        <v>112</v>
      </c>
      <c r="E10" s="40"/>
      <c r="F10" s="190"/>
      <c r="G10" s="224"/>
      <c r="I10" s="224"/>
      <c r="J10" s="224"/>
      <c r="K10" s="224"/>
      <c r="L10" s="224"/>
      <c r="M10" s="224"/>
      <c r="N10" s="224"/>
      <c r="O10" s="11"/>
      <c r="P10" s="11"/>
      <c r="Q10" s="11"/>
      <c r="R10" s="11"/>
      <c r="S10" s="11"/>
      <c r="T10" s="11"/>
      <c r="U10" s="223"/>
    </row>
    <row r="11" spans="2:21" s="16" customFormat="1" ht="13.5">
      <c r="B11" s="124"/>
      <c r="C11" s="14"/>
      <c r="D11" s="222"/>
      <c r="E11" s="222"/>
      <c r="F11" s="61"/>
      <c r="G11" s="215"/>
      <c r="H11" s="126"/>
      <c r="I11" s="215"/>
      <c r="J11" s="215"/>
      <c r="K11" s="215"/>
      <c r="L11" s="215"/>
      <c r="M11" s="215"/>
      <c r="N11" s="215"/>
      <c r="O11" s="14"/>
      <c r="P11" s="14"/>
      <c r="Q11" s="14"/>
      <c r="R11" s="14"/>
      <c r="S11" s="14"/>
      <c r="T11" s="14"/>
      <c r="U11" s="128"/>
    </row>
    <row r="12" spans="2:21" s="10" customFormat="1" ht="20.25">
      <c r="B12" s="157"/>
      <c r="C12" s="11"/>
      <c r="D12" s="194" t="s">
        <v>113</v>
      </c>
      <c r="E12" s="40"/>
      <c r="F12" s="190"/>
      <c r="G12" s="224"/>
      <c r="I12" s="224"/>
      <c r="J12" s="224"/>
      <c r="K12" s="224"/>
      <c r="L12" s="224"/>
      <c r="M12" s="224"/>
      <c r="N12" s="224"/>
      <c r="O12" s="11"/>
      <c r="P12" s="11"/>
      <c r="Q12" s="11"/>
      <c r="R12" s="11"/>
      <c r="S12" s="11"/>
      <c r="T12" s="11"/>
      <c r="U12" s="223"/>
    </row>
    <row r="13" spans="2:21" s="16" customFormat="1" ht="13.5">
      <c r="B13" s="124"/>
      <c r="C13" s="14"/>
      <c r="D13" s="222"/>
      <c r="E13" s="222"/>
      <c r="F13" s="61"/>
      <c r="G13" s="215"/>
      <c r="H13" s="126"/>
      <c r="I13" s="215"/>
      <c r="J13" s="215"/>
      <c r="K13" s="215"/>
      <c r="L13" s="215"/>
      <c r="M13" s="215"/>
      <c r="N13" s="215"/>
      <c r="O13" s="14"/>
      <c r="P13" s="14"/>
      <c r="Q13" s="14"/>
      <c r="R13" s="14"/>
      <c r="S13" s="14"/>
      <c r="T13" s="14"/>
      <c r="U13" s="128"/>
    </row>
    <row r="14" spans="2:21" s="16" customFormat="1" ht="19.5">
      <c r="B14" s="112" t="str">
        <f>+'tot-0402'!B14</f>
        <v>Desde el 01 al 29 de febrero de 2004</v>
      </c>
      <c r="C14" s="115"/>
      <c r="D14" s="115"/>
      <c r="E14" s="115"/>
      <c r="F14" s="115"/>
      <c r="G14" s="225"/>
      <c r="H14" s="225"/>
      <c r="I14" s="225"/>
      <c r="J14" s="225"/>
      <c r="K14" s="225"/>
      <c r="L14" s="225"/>
      <c r="M14" s="225"/>
      <c r="N14" s="225"/>
      <c r="O14" s="115"/>
      <c r="P14" s="115"/>
      <c r="Q14" s="115"/>
      <c r="R14" s="115"/>
      <c r="S14" s="115"/>
      <c r="T14" s="115"/>
      <c r="U14" s="226"/>
    </row>
    <row r="15" spans="2:21" s="16" customFormat="1" ht="14.25" thickBot="1">
      <c r="B15" s="227"/>
      <c r="C15" s="228"/>
      <c r="D15" s="228"/>
      <c r="E15" s="228"/>
      <c r="F15" s="228"/>
      <c r="G15" s="229"/>
      <c r="H15" s="229"/>
      <c r="I15" s="229"/>
      <c r="J15" s="229"/>
      <c r="K15" s="229"/>
      <c r="L15" s="229"/>
      <c r="M15" s="229"/>
      <c r="N15" s="229"/>
      <c r="O15" s="228"/>
      <c r="P15" s="228"/>
      <c r="Q15" s="228"/>
      <c r="R15" s="228"/>
      <c r="S15" s="228"/>
      <c r="T15" s="228"/>
      <c r="U15" s="230"/>
    </row>
    <row r="16" spans="2:21" s="16" customFormat="1" ht="15" thickBot="1" thickTop="1">
      <c r="B16" s="124"/>
      <c r="C16" s="14"/>
      <c r="D16" s="231"/>
      <c r="E16" s="231"/>
      <c r="F16" s="232" t="s">
        <v>114</v>
      </c>
      <c r="G16" s="14"/>
      <c r="H16" s="126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28"/>
    </row>
    <row r="17" spans="2:21" s="16" customFormat="1" ht="16.5" customHeight="1" thickBot="1" thickTop="1">
      <c r="B17" s="124"/>
      <c r="C17" s="14"/>
      <c r="D17" s="760" t="s">
        <v>115</v>
      </c>
      <c r="E17" s="761">
        <v>30.733</v>
      </c>
      <c r="F17" s="762">
        <v>200</v>
      </c>
      <c r="T17" s="149"/>
      <c r="U17" s="128"/>
    </row>
    <row r="18" spans="2:21" s="16" customFormat="1" ht="16.5" customHeight="1" thickBot="1" thickTop="1">
      <c r="B18" s="124"/>
      <c r="C18" s="14"/>
      <c r="D18" s="763" t="s">
        <v>116</v>
      </c>
      <c r="E18" s="764">
        <v>27.658</v>
      </c>
      <c r="F18" s="762">
        <v>100</v>
      </c>
      <c r="M18" s="14"/>
      <c r="N18" s="14"/>
      <c r="O18" s="14"/>
      <c r="P18" s="14"/>
      <c r="Q18" s="14"/>
      <c r="R18" s="14"/>
      <c r="S18" s="14"/>
      <c r="T18" s="14"/>
      <c r="U18" s="128"/>
    </row>
    <row r="19" spans="2:21" s="16" customFormat="1" ht="16.5" customHeight="1" thickBot="1" thickTop="1">
      <c r="B19" s="124"/>
      <c r="C19" s="14"/>
      <c r="D19" s="765" t="s">
        <v>117</v>
      </c>
      <c r="E19" s="764">
        <v>24.587</v>
      </c>
      <c r="F19" s="762">
        <v>40</v>
      </c>
      <c r="I19" s="757"/>
      <c r="J19" s="758"/>
      <c r="K19" s="14"/>
      <c r="M19" s="14"/>
      <c r="O19" s="14"/>
      <c r="P19" s="14"/>
      <c r="Q19" s="14"/>
      <c r="R19" s="14"/>
      <c r="S19" s="14"/>
      <c r="T19" s="14"/>
      <c r="U19" s="128"/>
    </row>
    <row r="20" spans="2:21" s="16" customFormat="1" ht="16.5" customHeight="1" thickBot="1" thickTop="1">
      <c r="B20" s="124"/>
      <c r="C20" s="21"/>
      <c r="D20" s="80"/>
      <c r="E20" s="80"/>
      <c r="F20" s="216"/>
      <c r="G20" s="217"/>
      <c r="H20" s="217"/>
      <c r="I20" s="217"/>
      <c r="J20" s="217"/>
      <c r="K20" s="217"/>
      <c r="L20" s="217"/>
      <c r="M20" s="217"/>
      <c r="N20" s="72"/>
      <c r="O20" s="218"/>
      <c r="P20" s="219"/>
      <c r="Q20" s="219"/>
      <c r="R20" s="219"/>
      <c r="S20" s="220"/>
      <c r="T20" s="221"/>
      <c r="U20" s="128"/>
    </row>
    <row r="21" spans="2:21" s="16" customFormat="1" ht="33.75" customHeight="1" thickBot="1" thickTop="1">
      <c r="B21" s="124"/>
      <c r="C21" s="164" t="s">
        <v>73</v>
      </c>
      <c r="D21" s="172" t="s">
        <v>106</v>
      </c>
      <c r="E21" s="168" t="s">
        <v>43</v>
      </c>
      <c r="F21" s="234" t="s">
        <v>74</v>
      </c>
      <c r="G21" s="347" t="s">
        <v>78</v>
      </c>
      <c r="H21" s="166" t="s">
        <v>79</v>
      </c>
      <c r="I21" s="168" t="s">
        <v>80</v>
      </c>
      <c r="J21" s="235" t="s">
        <v>81</v>
      </c>
      <c r="K21" s="235" t="s">
        <v>82</v>
      </c>
      <c r="L21" s="171" t="s">
        <v>83</v>
      </c>
      <c r="M21" s="167" t="s">
        <v>86</v>
      </c>
      <c r="N21" s="496" t="s">
        <v>77</v>
      </c>
      <c r="O21" s="484" t="s">
        <v>99</v>
      </c>
      <c r="P21" s="503" t="s">
        <v>118</v>
      </c>
      <c r="Q21" s="504"/>
      <c r="R21" s="513" t="s">
        <v>91</v>
      </c>
      <c r="S21" s="174" t="s">
        <v>93</v>
      </c>
      <c r="T21" s="208" t="s">
        <v>94</v>
      </c>
      <c r="U21" s="128"/>
    </row>
    <row r="22" spans="2:21" s="16" customFormat="1" ht="16.5" customHeight="1" thickTop="1">
      <c r="B22" s="124"/>
      <c r="C22" s="20"/>
      <c r="D22" s="66" t="s">
        <v>202</v>
      </c>
      <c r="E22" s="66"/>
      <c r="F22" s="66"/>
      <c r="G22" s="356"/>
      <c r="H22" s="66"/>
      <c r="I22" s="66"/>
      <c r="J22" s="66"/>
      <c r="K22" s="66"/>
      <c r="L22" s="66"/>
      <c r="M22" s="66"/>
      <c r="N22" s="498"/>
      <c r="O22" s="501"/>
      <c r="P22" s="505"/>
      <c r="Q22" s="506"/>
      <c r="R22" s="514"/>
      <c r="S22" s="66"/>
      <c r="T22" s="630">
        <f>ROUND('SA-0402'!T45,2)</f>
        <v>61708.65</v>
      </c>
      <c r="U22" s="128"/>
    </row>
    <row r="23" spans="2:21" s="16" customFormat="1" ht="16.5" customHeight="1">
      <c r="B23" s="124"/>
      <c r="C23" s="20"/>
      <c r="D23" s="67"/>
      <c r="E23" s="67"/>
      <c r="F23" s="67"/>
      <c r="G23" s="357"/>
      <c r="H23" s="67"/>
      <c r="I23" s="67"/>
      <c r="J23" s="67"/>
      <c r="K23" s="67"/>
      <c r="L23" s="67"/>
      <c r="M23" s="67"/>
      <c r="N23" s="495"/>
      <c r="O23" s="499"/>
      <c r="P23" s="507"/>
      <c r="Q23" s="508"/>
      <c r="R23" s="511"/>
      <c r="S23" s="67"/>
      <c r="T23" s="236"/>
      <c r="U23" s="128"/>
    </row>
    <row r="24" spans="2:21" s="16" customFormat="1" ht="16.5" customHeight="1">
      <c r="B24" s="124"/>
      <c r="C24" s="769">
        <v>34</v>
      </c>
      <c r="D24" s="832" t="s">
        <v>19</v>
      </c>
      <c r="E24" s="832" t="s">
        <v>35</v>
      </c>
      <c r="F24" s="833">
        <v>132</v>
      </c>
      <c r="G24" s="348">
        <f aca="true" t="shared" si="0" ref="G24:G43">IF(F24=500,$E$17,IF(F24=220,$E$18,$E$19))</f>
        <v>24.587</v>
      </c>
      <c r="H24" s="835">
        <v>38043.42916666667</v>
      </c>
      <c r="I24" s="836">
        <v>38043.631944444445</v>
      </c>
      <c r="J24" s="71">
        <f aca="true" t="shared" si="1" ref="J24:J43">IF(D24="","",(I24-H24)*24)</f>
        <v>4.866666666639503</v>
      </c>
      <c r="K24" s="28">
        <f aca="true" t="shared" si="2" ref="K24:K43">IF(D24="","",ROUND((I24-H24)*24*60,0))</f>
        <v>292</v>
      </c>
      <c r="L24" s="789" t="s">
        <v>205</v>
      </c>
      <c r="M24" s="791" t="str">
        <f aca="true" t="shared" si="3" ref="M24:M43">IF(D24="","",IF(L24="P","--","NO"))</f>
        <v>--</v>
      </c>
      <c r="N24" s="838">
        <f aca="true" t="shared" si="4" ref="N24:N43">IF(F24=500,$F$17,IF(F24=220,$F$18,$F$19))</f>
        <v>40</v>
      </c>
      <c r="O24" s="839">
        <f aca="true" t="shared" si="5" ref="O24:O43">IF(L24="P",G24*N24*ROUND(K24/60,2)*0.1,"--")</f>
        <v>478.95476</v>
      </c>
      <c r="P24" s="840" t="str">
        <f aca="true" t="shared" si="6" ref="P24:P43">IF(AND(L24="F",M24="NO"),G24*N24,"--")</f>
        <v>--</v>
      </c>
      <c r="Q24" s="841" t="str">
        <f aca="true" t="shared" si="7" ref="Q24:Q43">IF(L24="F",G24*N24*ROUND(K24/60,2),"--")</f>
        <v>--</v>
      </c>
      <c r="R24" s="842" t="str">
        <f aca="true" t="shared" si="8" ref="R24:R43">IF(L24="RF",G24*N24*ROUND(K24/60,2),"--")</f>
        <v>--</v>
      </c>
      <c r="S24" s="791" t="str">
        <f aca="true" t="shared" si="9" ref="S24:S43">IF(D24="","","SI")</f>
        <v>SI</v>
      </c>
      <c r="T24" s="74">
        <f aca="true" t="shared" si="10" ref="T24:T43">IF(D24="","",SUM(O24:R24)*IF(S24="SI",1,2))</f>
        <v>478.95476</v>
      </c>
      <c r="U24" s="128"/>
    </row>
    <row r="25" spans="2:21" s="16" customFormat="1" ht="16.5" customHeight="1">
      <c r="B25" s="124"/>
      <c r="C25" s="769">
        <v>35</v>
      </c>
      <c r="D25" s="832" t="s">
        <v>14</v>
      </c>
      <c r="E25" s="832" t="s">
        <v>31</v>
      </c>
      <c r="F25" s="833">
        <v>132</v>
      </c>
      <c r="G25" s="348">
        <f t="shared" si="0"/>
        <v>24.587</v>
      </c>
      <c r="H25" s="835">
        <v>38046.29236111111</v>
      </c>
      <c r="I25" s="836">
        <v>38046.717361111114</v>
      </c>
      <c r="J25" s="71">
        <f t="shared" si="1"/>
        <v>10.20000000006985</v>
      </c>
      <c r="K25" s="28">
        <f t="shared" si="2"/>
        <v>612</v>
      </c>
      <c r="L25" s="789" t="s">
        <v>205</v>
      </c>
      <c r="M25" s="791" t="str">
        <f t="shared" si="3"/>
        <v>--</v>
      </c>
      <c r="N25" s="838">
        <f t="shared" si="4"/>
        <v>40</v>
      </c>
      <c r="O25" s="839">
        <f t="shared" si="5"/>
        <v>1003.1496</v>
      </c>
      <c r="P25" s="840" t="str">
        <f t="shared" si="6"/>
        <v>--</v>
      </c>
      <c r="Q25" s="841" t="str">
        <f t="shared" si="7"/>
        <v>--</v>
      </c>
      <c r="R25" s="842" t="str">
        <f t="shared" si="8"/>
        <v>--</v>
      </c>
      <c r="S25" s="791" t="str">
        <f t="shared" si="9"/>
        <v>SI</v>
      </c>
      <c r="T25" s="74">
        <f t="shared" si="10"/>
        <v>1003.1496</v>
      </c>
      <c r="U25" s="128"/>
    </row>
    <row r="26" spans="2:21" s="16" customFormat="1" ht="16.5" customHeight="1">
      <c r="B26" s="124"/>
      <c r="C26" s="769">
        <v>36</v>
      </c>
      <c r="D26" s="832" t="s">
        <v>12</v>
      </c>
      <c r="E26" s="832" t="s">
        <v>29</v>
      </c>
      <c r="F26" s="833">
        <v>132</v>
      </c>
      <c r="G26" s="348">
        <f t="shared" si="0"/>
        <v>24.587</v>
      </c>
      <c r="H26" s="835">
        <v>38046.29305555556</v>
      </c>
      <c r="I26" s="836">
        <v>38046.475</v>
      </c>
      <c r="J26" s="71">
        <f t="shared" si="1"/>
        <v>4.366666666581295</v>
      </c>
      <c r="K26" s="28">
        <f t="shared" si="2"/>
        <v>262</v>
      </c>
      <c r="L26" s="789" t="s">
        <v>205</v>
      </c>
      <c r="M26" s="791" t="str">
        <f t="shared" si="3"/>
        <v>--</v>
      </c>
      <c r="N26" s="838">
        <f t="shared" si="4"/>
        <v>40</v>
      </c>
      <c r="O26" s="839">
        <f t="shared" si="5"/>
        <v>429.78076000000004</v>
      </c>
      <c r="P26" s="840" t="str">
        <f t="shared" si="6"/>
        <v>--</v>
      </c>
      <c r="Q26" s="841" t="str">
        <f t="shared" si="7"/>
        <v>--</v>
      </c>
      <c r="R26" s="842" t="str">
        <f t="shared" si="8"/>
        <v>--</v>
      </c>
      <c r="S26" s="791" t="str">
        <f t="shared" si="9"/>
        <v>SI</v>
      </c>
      <c r="T26" s="74">
        <f t="shared" si="10"/>
        <v>429.78076000000004</v>
      </c>
      <c r="U26" s="128"/>
    </row>
    <row r="27" spans="2:21" s="16" customFormat="1" ht="16.5" customHeight="1">
      <c r="B27" s="124"/>
      <c r="C27" s="769">
        <v>37</v>
      </c>
      <c r="D27" s="832" t="s">
        <v>32</v>
      </c>
      <c r="E27" s="832" t="s">
        <v>34</v>
      </c>
      <c r="F27" s="833">
        <v>500</v>
      </c>
      <c r="G27" s="348">
        <f t="shared" si="0"/>
        <v>30.733</v>
      </c>
      <c r="H27" s="835">
        <v>38046.34027777778</v>
      </c>
      <c r="I27" s="836">
        <v>38046.677777777775</v>
      </c>
      <c r="J27" s="71">
        <f t="shared" si="1"/>
        <v>8.099999999860302</v>
      </c>
      <c r="K27" s="28">
        <f t="shared" si="2"/>
        <v>486</v>
      </c>
      <c r="L27" s="789" t="s">
        <v>205</v>
      </c>
      <c r="M27" s="791" t="str">
        <f t="shared" si="3"/>
        <v>--</v>
      </c>
      <c r="N27" s="838">
        <f t="shared" si="4"/>
        <v>200</v>
      </c>
      <c r="O27" s="839">
        <f t="shared" si="5"/>
        <v>4978.746</v>
      </c>
      <c r="P27" s="840" t="str">
        <f t="shared" si="6"/>
        <v>--</v>
      </c>
      <c r="Q27" s="841" t="str">
        <f t="shared" si="7"/>
        <v>--</v>
      </c>
      <c r="R27" s="842" t="str">
        <f t="shared" si="8"/>
        <v>--</v>
      </c>
      <c r="S27" s="791" t="str">
        <f t="shared" si="9"/>
        <v>SI</v>
      </c>
      <c r="T27" s="74">
        <f t="shared" si="10"/>
        <v>4978.746</v>
      </c>
      <c r="U27" s="128"/>
    </row>
    <row r="28" spans="2:21" s="16" customFormat="1" ht="16.5" customHeight="1">
      <c r="B28" s="124"/>
      <c r="C28" s="769"/>
      <c r="D28" s="832"/>
      <c r="E28" s="832"/>
      <c r="F28" s="833"/>
      <c r="G28" s="348">
        <f t="shared" si="0"/>
        <v>24.587</v>
      </c>
      <c r="H28" s="835"/>
      <c r="I28" s="836"/>
      <c r="J28" s="71">
        <f t="shared" si="1"/>
      </c>
      <c r="K28" s="28">
        <f t="shared" si="2"/>
      </c>
      <c r="L28" s="789"/>
      <c r="M28" s="791">
        <f t="shared" si="3"/>
      </c>
      <c r="N28" s="838">
        <f t="shared" si="4"/>
        <v>40</v>
      </c>
      <c r="O28" s="839" t="str">
        <f t="shared" si="5"/>
        <v>--</v>
      </c>
      <c r="P28" s="840" t="str">
        <f t="shared" si="6"/>
        <v>--</v>
      </c>
      <c r="Q28" s="841" t="str">
        <f t="shared" si="7"/>
        <v>--</v>
      </c>
      <c r="R28" s="842" t="str">
        <f t="shared" si="8"/>
        <v>--</v>
      </c>
      <c r="S28" s="791">
        <f t="shared" si="9"/>
      </c>
      <c r="T28" s="74">
        <f t="shared" si="10"/>
      </c>
      <c r="U28" s="128"/>
    </row>
    <row r="29" spans="2:21" s="16" customFormat="1" ht="16.5" customHeight="1">
      <c r="B29" s="124"/>
      <c r="C29" s="769"/>
      <c r="D29" s="832"/>
      <c r="E29" s="832"/>
      <c r="F29" s="833"/>
      <c r="G29" s="348">
        <f t="shared" si="0"/>
        <v>24.587</v>
      </c>
      <c r="H29" s="835"/>
      <c r="I29" s="836"/>
      <c r="J29" s="71">
        <f t="shared" si="1"/>
      </c>
      <c r="K29" s="28">
        <f t="shared" si="2"/>
      </c>
      <c r="L29" s="789"/>
      <c r="M29" s="791">
        <f t="shared" si="3"/>
      </c>
      <c r="N29" s="838">
        <f t="shared" si="4"/>
        <v>40</v>
      </c>
      <c r="O29" s="839" t="str">
        <f t="shared" si="5"/>
        <v>--</v>
      </c>
      <c r="P29" s="840" t="str">
        <f t="shared" si="6"/>
        <v>--</v>
      </c>
      <c r="Q29" s="841" t="str">
        <f t="shared" si="7"/>
        <v>--</v>
      </c>
      <c r="R29" s="842" t="str">
        <f t="shared" si="8"/>
        <v>--</v>
      </c>
      <c r="S29" s="791">
        <f t="shared" si="9"/>
      </c>
      <c r="T29" s="74">
        <f t="shared" si="10"/>
      </c>
      <c r="U29" s="128"/>
    </row>
    <row r="30" spans="2:21" s="16" customFormat="1" ht="16.5" customHeight="1">
      <c r="B30" s="124"/>
      <c r="C30" s="769"/>
      <c r="D30" s="832"/>
      <c r="E30" s="832"/>
      <c r="F30" s="833"/>
      <c r="G30" s="348">
        <f t="shared" si="0"/>
        <v>24.587</v>
      </c>
      <c r="H30" s="835"/>
      <c r="I30" s="836"/>
      <c r="J30" s="71">
        <f t="shared" si="1"/>
      </c>
      <c r="K30" s="28">
        <f t="shared" si="2"/>
      </c>
      <c r="L30" s="789"/>
      <c r="M30" s="791">
        <f t="shared" si="3"/>
      </c>
      <c r="N30" s="838">
        <f t="shared" si="4"/>
        <v>40</v>
      </c>
      <c r="O30" s="839" t="str">
        <f t="shared" si="5"/>
        <v>--</v>
      </c>
      <c r="P30" s="840" t="str">
        <f t="shared" si="6"/>
        <v>--</v>
      </c>
      <c r="Q30" s="841" t="str">
        <f t="shared" si="7"/>
        <v>--</v>
      </c>
      <c r="R30" s="842" t="str">
        <f t="shared" si="8"/>
        <v>--</v>
      </c>
      <c r="S30" s="791">
        <f t="shared" si="9"/>
      </c>
      <c r="T30" s="74">
        <f t="shared" si="10"/>
      </c>
      <c r="U30" s="128"/>
    </row>
    <row r="31" spans="2:21" s="16" customFormat="1" ht="16.5" customHeight="1">
      <c r="B31" s="124"/>
      <c r="C31" s="769"/>
      <c r="D31" s="832"/>
      <c r="E31" s="832"/>
      <c r="F31" s="833"/>
      <c r="G31" s="348">
        <f t="shared" si="0"/>
        <v>24.587</v>
      </c>
      <c r="H31" s="835"/>
      <c r="I31" s="836"/>
      <c r="J31" s="71">
        <f t="shared" si="1"/>
      </c>
      <c r="K31" s="28">
        <f t="shared" si="2"/>
      </c>
      <c r="L31" s="789"/>
      <c r="M31" s="791">
        <f t="shared" si="3"/>
      </c>
      <c r="N31" s="838">
        <f t="shared" si="4"/>
        <v>40</v>
      </c>
      <c r="O31" s="839" t="str">
        <f t="shared" si="5"/>
        <v>--</v>
      </c>
      <c r="P31" s="840" t="str">
        <f t="shared" si="6"/>
        <v>--</v>
      </c>
      <c r="Q31" s="841" t="str">
        <f t="shared" si="7"/>
        <v>--</v>
      </c>
      <c r="R31" s="842" t="str">
        <f t="shared" si="8"/>
        <v>--</v>
      </c>
      <c r="S31" s="791">
        <f t="shared" si="9"/>
      </c>
      <c r="T31" s="74">
        <f t="shared" si="10"/>
      </c>
      <c r="U31" s="128"/>
    </row>
    <row r="32" spans="2:21" s="16" customFormat="1" ht="16.5" customHeight="1">
      <c r="B32" s="124"/>
      <c r="C32" s="769"/>
      <c r="D32" s="832"/>
      <c r="E32" s="832"/>
      <c r="F32" s="833"/>
      <c r="G32" s="348">
        <f t="shared" si="0"/>
        <v>24.587</v>
      </c>
      <c r="H32" s="835"/>
      <c r="I32" s="836"/>
      <c r="J32" s="71">
        <f t="shared" si="1"/>
      </c>
      <c r="K32" s="28">
        <f t="shared" si="2"/>
      </c>
      <c r="L32" s="789"/>
      <c r="M32" s="791">
        <f t="shared" si="3"/>
      </c>
      <c r="N32" s="838">
        <f t="shared" si="4"/>
        <v>40</v>
      </c>
      <c r="O32" s="839" t="str">
        <f t="shared" si="5"/>
        <v>--</v>
      </c>
      <c r="P32" s="840" t="str">
        <f t="shared" si="6"/>
        <v>--</v>
      </c>
      <c r="Q32" s="841" t="str">
        <f t="shared" si="7"/>
        <v>--</v>
      </c>
      <c r="R32" s="842" t="str">
        <f t="shared" si="8"/>
        <v>--</v>
      </c>
      <c r="S32" s="791">
        <f t="shared" si="9"/>
      </c>
      <c r="T32" s="74">
        <f t="shared" si="10"/>
      </c>
      <c r="U32" s="128"/>
    </row>
    <row r="33" spans="2:21" s="16" customFormat="1" ht="16.5" customHeight="1">
      <c r="B33" s="124"/>
      <c r="C33" s="769"/>
      <c r="D33" s="832"/>
      <c r="E33" s="832"/>
      <c r="F33" s="833"/>
      <c r="G33" s="348">
        <f t="shared" si="0"/>
        <v>24.587</v>
      </c>
      <c r="H33" s="835"/>
      <c r="I33" s="836"/>
      <c r="J33" s="71">
        <f t="shared" si="1"/>
      </c>
      <c r="K33" s="28">
        <f t="shared" si="2"/>
      </c>
      <c r="L33" s="789"/>
      <c r="M33" s="791">
        <f t="shared" si="3"/>
      </c>
      <c r="N33" s="838">
        <f t="shared" si="4"/>
        <v>40</v>
      </c>
      <c r="O33" s="839" t="str">
        <f t="shared" si="5"/>
        <v>--</v>
      </c>
      <c r="P33" s="840" t="str">
        <f t="shared" si="6"/>
        <v>--</v>
      </c>
      <c r="Q33" s="841" t="str">
        <f t="shared" si="7"/>
        <v>--</v>
      </c>
      <c r="R33" s="842" t="str">
        <f t="shared" si="8"/>
        <v>--</v>
      </c>
      <c r="S33" s="791">
        <f t="shared" si="9"/>
      </c>
      <c r="T33" s="74">
        <f t="shared" si="10"/>
      </c>
      <c r="U33" s="128"/>
    </row>
    <row r="34" spans="2:21" s="16" customFormat="1" ht="16.5" customHeight="1">
      <c r="B34" s="124"/>
      <c r="C34" s="769"/>
      <c r="D34" s="832"/>
      <c r="E34" s="832"/>
      <c r="F34" s="833"/>
      <c r="G34" s="348">
        <f t="shared" si="0"/>
        <v>24.587</v>
      </c>
      <c r="H34" s="835"/>
      <c r="I34" s="836"/>
      <c r="J34" s="71">
        <f t="shared" si="1"/>
      </c>
      <c r="K34" s="28">
        <f t="shared" si="2"/>
      </c>
      <c r="L34" s="789"/>
      <c r="M34" s="791">
        <f t="shared" si="3"/>
      </c>
      <c r="N34" s="838">
        <f t="shared" si="4"/>
        <v>40</v>
      </c>
      <c r="O34" s="839" t="str">
        <f t="shared" si="5"/>
        <v>--</v>
      </c>
      <c r="P34" s="840" t="str">
        <f t="shared" si="6"/>
        <v>--</v>
      </c>
      <c r="Q34" s="841" t="str">
        <f t="shared" si="7"/>
        <v>--</v>
      </c>
      <c r="R34" s="842" t="str">
        <f t="shared" si="8"/>
        <v>--</v>
      </c>
      <c r="S34" s="791">
        <f t="shared" si="9"/>
      </c>
      <c r="T34" s="74">
        <f t="shared" si="10"/>
      </c>
      <c r="U34" s="128"/>
    </row>
    <row r="35" spans="2:21" s="16" customFormat="1" ht="16.5" customHeight="1">
      <c r="B35" s="124"/>
      <c r="C35" s="769"/>
      <c r="D35" s="832"/>
      <c r="E35" s="832"/>
      <c r="F35" s="833"/>
      <c r="G35" s="348">
        <f t="shared" si="0"/>
        <v>24.587</v>
      </c>
      <c r="H35" s="835"/>
      <c r="I35" s="836"/>
      <c r="J35" s="71">
        <f t="shared" si="1"/>
      </c>
      <c r="K35" s="28">
        <f t="shared" si="2"/>
      </c>
      <c r="L35" s="789"/>
      <c r="M35" s="791">
        <f t="shared" si="3"/>
      </c>
      <c r="N35" s="838">
        <f t="shared" si="4"/>
        <v>40</v>
      </c>
      <c r="O35" s="839" t="str">
        <f t="shared" si="5"/>
        <v>--</v>
      </c>
      <c r="P35" s="840" t="str">
        <f t="shared" si="6"/>
        <v>--</v>
      </c>
      <c r="Q35" s="841" t="str">
        <f t="shared" si="7"/>
        <v>--</v>
      </c>
      <c r="R35" s="842" t="str">
        <f t="shared" si="8"/>
        <v>--</v>
      </c>
      <c r="S35" s="791">
        <f t="shared" si="9"/>
      </c>
      <c r="T35" s="74">
        <f t="shared" si="10"/>
      </c>
      <c r="U35" s="128"/>
    </row>
    <row r="36" spans="2:21" s="16" customFormat="1" ht="16.5" customHeight="1">
      <c r="B36" s="124"/>
      <c r="C36" s="769"/>
      <c r="D36" s="832"/>
      <c r="E36" s="832"/>
      <c r="F36" s="833"/>
      <c r="G36" s="348">
        <f t="shared" si="0"/>
        <v>24.587</v>
      </c>
      <c r="H36" s="835"/>
      <c r="I36" s="836"/>
      <c r="J36" s="71">
        <f t="shared" si="1"/>
      </c>
      <c r="K36" s="28">
        <f t="shared" si="2"/>
      </c>
      <c r="L36" s="789"/>
      <c r="M36" s="791">
        <f t="shared" si="3"/>
      </c>
      <c r="N36" s="838">
        <f t="shared" si="4"/>
        <v>40</v>
      </c>
      <c r="O36" s="839" t="str">
        <f t="shared" si="5"/>
        <v>--</v>
      </c>
      <c r="P36" s="840" t="str">
        <f t="shared" si="6"/>
        <v>--</v>
      </c>
      <c r="Q36" s="841" t="str">
        <f t="shared" si="7"/>
        <v>--</v>
      </c>
      <c r="R36" s="842" t="str">
        <f t="shared" si="8"/>
        <v>--</v>
      </c>
      <c r="S36" s="791">
        <f t="shared" si="9"/>
      </c>
      <c r="T36" s="74">
        <f t="shared" si="10"/>
      </c>
      <c r="U36" s="128"/>
    </row>
    <row r="37" spans="2:21" s="16" customFormat="1" ht="16.5" customHeight="1">
      <c r="B37" s="124"/>
      <c r="C37" s="769"/>
      <c r="D37" s="832"/>
      <c r="E37" s="832"/>
      <c r="F37" s="833"/>
      <c r="G37" s="348">
        <f t="shared" si="0"/>
        <v>24.587</v>
      </c>
      <c r="H37" s="835"/>
      <c r="I37" s="836"/>
      <c r="J37" s="71">
        <f t="shared" si="1"/>
      </c>
      <c r="K37" s="28">
        <f t="shared" si="2"/>
      </c>
      <c r="L37" s="789"/>
      <c r="M37" s="791">
        <f t="shared" si="3"/>
      </c>
      <c r="N37" s="838">
        <f t="shared" si="4"/>
        <v>40</v>
      </c>
      <c r="O37" s="839" t="str">
        <f t="shared" si="5"/>
        <v>--</v>
      </c>
      <c r="P37" s="840" t="str">
        <f t="shared" si="6"/>
        <v>--</v>
      </c>
      <c r="Q37" s="841" t="str">
        <f t="shared" si="7"/>
        <v>--</v>
      </c>
      <c r="R37" s="842" t="str">
        <f t="shared" si="8"/>
        <v>--</v>
      </c>
      <c r="S37" s="791">
        <f t="shared" si="9"/>
      </c>
      <c r="T37" s="74">
        <f t="shared" si="10"/>
      </c>
      <c r="U37" s="128"/>
    </row>
    <row r="38" spans="2:21" s="16" customFormat="1" ht="16.5" customHeight="1">
      <c r="B38" s="124"/>
      <c r="C38" s="769"/>
      <c r="D38" s="832"/>
      <c r="E38" s="832"/>
      <c r="F38" s="833"/>
      <c r="G38" s="348">
        <f t="shared" si="0"/>
        <v>24.587</v>
      </c>
      <c r="H38" s="835"/>
      <c r="I38" s="836"/>
      <c r="J38" s="71">
        <f t="shared" si="1"/>
      </c>
      <c r="K38" s="28">
        <f t="shared" si="2"/>
      </c>
      <c r="L38" s="789"/>
      <c r="M38" s="791">
        <f t="shared" si="3"/>
      </c>
      <c r="N38" s="838">
        <f t="shared" si="4"/>
        <v>40</v>
      </c>
      <c r="O38" s="839" t="str">
        <f t="shared" si="5"/>
        <v>--</v>
      </c>
      <c r="P38" s="840" t="str">
        <f t="shared" si="6"/>
        <v>--</v>
      </c>
      <c r="Q38" s="841" t="str">
        <f t="shared" si="7"/>
        <v>--</v>
      </c>
      <c r="R38" s="842" t="str">
        <f t="shared" si="8"/>
        <v>--</v>
      </c>
      <c r="S38" s="791">
        <f t="shared" si="9"/>
      </c>
      <c r="T38" s="74">
        <f t="shared" si="10"/>
      </c>
      <c r="U38" s="128"/>
    </row>
    <row r="39" spans="2:21" s="16" customFormat="1" ht="16.5" customHeight="1">
      <c r="B39" s="124"/>
      <c r="C39" s="769"/>
      <c r="D39" s="832"/>
      <c r="E39" s="832"/>
      <c r="F39" s="833"/>
      <c r="G39" s="348">
        <f t="shared" si="0"/>
        <v>24.587</v>
      </c>
      <c r="H39" s="835"/>
      <c r="I39" s="836"/>
      <c r="J39" s="71">
        <f t="shared" si="1"/>
      </c>
      <c r="K39" s="28">
        <f t="shared" si="2"/>
      </c>
      <c r="L39" s="789"/>
      <c r="M39" s="791">
        <f t="shared" si="3"/>
      </c>
      <c r="N39" s="838">
        <f t="shared" si="4"/>
        <v>40</v>
      </c>
      <c r="O39" s="839" t="str">
        <f t="shared" si="5"/>
        <v>--</v>
      </c>
      <c r="P39" s="840" t="str">
        <f t="shared" si="6"/>
        <v>--</v>
      </c>
      <c r="Q39" s="841" t="str">
        <f t="shared" si="7"/>
        <v>--</v>
      </c>
      <c r="R39" s="842" t="str">
        <f t="shared" si="8"/>
        <v>--</v>
      </c>
      <c r="S39" s="791">
        <f t="shared" si="9"/>
      </c>
      <c r="T39" s="74">
        <f t="shared" si="10"/>
      </c>
      <c r="U39" s="128"/>
    </row>
    <row r="40" spans="2:21" s="16" customFormat="1" ht="16.5" customHeight="1">
      <c r="B40" s="124"/>
      <c r="C40" s="769"/>
      <c r="D40" s="832"/>
      <c r="E40" s="832"/>
      <c r="F40" s="833"/>
      <c r="G40" s="348">
        <f t="shared" si="0"/>
        <v>24.587</v>
      </c>
      <c r="H40" s="835"/>
      <c r="I40" s="836"/>
      <c r="J40" s="71">
        <f t="shared" si="1"/>
      </c>
      <c r="K40" s="28">
        <f t="shared" si="2"/>
      </c>
      <c r="L40" s="789"/>
      <c r="M40" s="791">
        <f t="shared" si="3"/>
      </c>
      <c r="N40" s="838">
        <f t="shared" si="4"/>
        <v>40</v>
      </c>
      <c r="O40" s="839" t="str">
        <f t="shared" si="5"/>
        <v>--</v>
      </c>
      <c r="P40" s="840" t="str">
        <f t="shared" si="6"/>
        <v>--</v>
      </c>
      <c r="Q40" s="841" t="str">
        <f t="shared" si="7"/>
        <v>--</v>
      </c>
      <c r="R40" s="842" t="str">
        <f t="shared" si="8"/>
        <v>--</v>
      </c>
      <c r="S40" s="791">
        <f t="shared" si="9"/>
      </c>
      <c r="T40" s="74">
        <f t="shared" si="10"/>
      </c>
      <c r="U40" s="128"/>
    </row>
    <row r="41" spans="2:21" s="16" customFormat="1" ht="16.5" customHeight="1">
      <c r="B41" s="124"/>
      <c r="C41" s="769"/>
      <c r="D41" s="832"/>
      <c r="E41" s="832"/>
      <c r="F41" s="833"/>
      <c r="G41" s="348">
        <f t="shared" si="0"/>
        <v>24.587</v>
      </c>
      <c r="H41" s="835"/>
      <c r="I41" s="836"/>
      <c r="J41" s="71">
        <f t="shared" si="1"/>
      </c>
      <c r="K41" s="28">
        <f t="shared" si="2"/>
      </c>
      <c r="L41" s="789"/>
      <c r="M41" s="791">
        <f t="shared" si="3"/>
      </c>
      <c r="N41" s="838">
        <f t="shared" si="4"/>
        <v>40</v>
      </c>
      <c r="O41" s="839" t="str">
        <f t="shared" si="5"/>
        <v>--</v>
      </c>
      <c r="P41" s="840" t="str">
        <f t="shared" si="6"/>
        <v>--</v>
      </c>
      <c r="Q41" s="841" t="str">
        <f t="shared" si="7"/>
        <v>--</v>
      </c>
      <c r="R41" s="842" t="str">
        <f t="shared" si="8"/>
        <v>--</v>
      </c>
      <c r="S41" s="791">
        <f t="shared" si="9"/>
      </c>
      <c r="T41" s="74">
        <f t="shared" si="10"/>
      </c>
      <c r="U41" s="128"/>
    </row>
    <row r="42" spans="2:21" s="16" customFormat="1" ht="16.5" customHeight="1">
      <c r="B42" s="124"/>
      <c r="C42" s="769"/>
      <c r="D42" s="832"/>
      <c r="E42" s="832"/>
      <c r="F42" s="833"/>
      <c r="G42" s="348">
        <f t="shared" si="0"/>
        <v>24.587</v>
      </c>
      <c r="H42" s="835"/>
      <c r="I42" s="836"/>
      <c r="J42" s="71">
        <f t="shared" si="1"/>
      </c>
      <c r="K42" s="28">
        <f t="shared" si="2"/>
      </c>
      <c r="L42" s="789"/>
      <c r="M42" s="791">
        <f t="shared" si="3"/>
      </c>
      <c r="N42" s="838">
        <f t="shared" si="4"/>
        <v>40</v>
      </c>
      <c r="O42" s="839" t="str">
        <f t="shared" si="5"/>
        <v>--</v>
      </c>
      <c r="P42" s="840" t="str">
        <f t="shared" si="6"/>
        <v>--</v>
      </c>
      <c r="Q42" s="841" t="str">
        <f t="shared" si="7"/>
        <v>--</v>
      </c>
      <c r="R42" s="842" t="str">
        <f t="shared" si="8"/>
        <v>--</v>
      </c>
      <c r="S42" s="791">
        <f t="shared" si="9"/>
      </c>
      <c r="T42" s="74">
        <f t="shared" si="10"/>
      </c>
      <c r="U42" s="128"/>
    </row>
    <row r="43" spans="2:21" s="16" customFormat="1" ht="16.5" customHeight="1">
      <c r="B43" s="124"/>
      <c r="C43" s="769"/>
      <c r="D43" s="832"/>
      <c r="E43" s="832"/>
      <c r="F43" s="833"/>
      <c r="G43" s="348">
        <f t="shared" si="0"/>
        <v>24.587</v>
      </c>
      <c r="H43" s="835"/>
      <c r="I43" s="836"/>
      <c r="J43" s="71">
        <f t="shared" si="1"/>
      </c>
      <c r="K43" s="28">
        <f t="shared" si="2"/>
      </c>
      <c r="L43" s="789"/>
      <c r="M43" s="791">
        <f t="shared" si="3"/>
      </c>
      <c r="N43" s="838">
        <f t="shared" si="4"/>
        <v>40</v>
      </c>
      <c r="O43" s="839" t="str">
        <f t="shared" si="5"/>
        <v>--</v>
      </c>
      <c r="P43" s="840" t="str">
        <f t="shared" si="6"/>
        <v>--</v>
      </c>
      <c r="Q43" s="841" t="str">
        <f t="shared" si="7"/>
        <v>--</v>
      </c>
      <c r="R43" s="842" t="str">
        <f t="shared" si="8"/>
        <v>--</v>
      </c>
      <c r="S43" s="791">
        <f t="shared" si="9"/>
      </c>
      <c r="T43" s="74">
        <f t="shared" si="10"/>
      </c>
      <c r="U43" s="128"/>
    </row>
    <row r="44" spans="2:21" s="16" customFormat="1" ht="16.5" customHeight="1" thickBot="1">
      <c r="B44" s="124"/>
      <c r="C44" s="778"/>
      <c r="D44" s="834"/>
      <c r="E44" s="834"/>
      <c r="F44" s="779"/>
      <c r="G44" s="349"/>
      <c r="H44" s="837"/>
      <c r="I44" s="837"/>
      <c r="J44" s="75"/>
      <c r="K44" s="75"/>
      <c r="L44" s="837"/>
      <c r="M44" s="788"/>
      <c r="N44" s="843"/>
      <c r="O44" s="844"/>
      <c r="P44" s="845"/>
      <c r="Q44" s="846"/>
      <c r="R44" s="847"/>
      <c r="S44" s="788"/>
      <c r="T44" s="237"/>
      <c r="U44" s="128"/>
    </row>
    <row r="45" spans="2:21" s="16" customFormat="1" ht="16.5" customHeight="1" thickBot="1" thickTop="1">
      <c r="B45" s="124"/>
      <c r="C45" s="269" t="s">
        <v>95</v>
      </c>
      <c r="D45" s="270" t="s">
        <v>96</v>
      </c>
      <c r="E45"/>
      <c r="F45" s="14"/>
      <c r="G45" s="14"/>
      <c r="H45" s="14"/>
      <c r="I45" s="14"/>
      <c r="J45" s="14"/>
      <c r="K45" s="14"/>
      <c r="L45" s="14"/>
      <c r="M45" s="14"/>
      <c r="N45" s="14"/>
      <c r="O45" s="502">
        <f>SUM(O22:O44)</f>
        <v>6890.63112</v>
      </c>
      <c r="P45" s="509">
        <f>SUM(P22:P44)</f>
        <v>0</v>
      </c>
      <c r="Q45" s="510">
        <f>SUM(Q22:Q44)</f>
        <v>0</v>
      </c>
      <c r="R45" s="512">
        <f>SUM(R22:R44)</f>
        <v>0</v>
      </c>
      <c r="S45" s="76"/>
      <c r="T45" s="77">
        <f>ROUND(SUM(T22:T44),2)</f>
        <v>68599.28</v>
      </c>
      <c r="U45" s="128"/>
    </row>
    <row r="46" spans="2:21" s="273" customFormat="1" ht="13.5" thickTop="1">
      <c r="B46" s="274"/>
      <c r="C46" s="271"/>
      <c r="D46" s="272" t="s">
        <v>97</v>
      </c>
      <c r="E46"/>
      <c r="F46" s="290"/>
      <c r="G46" s="290"/>
      <c r="H46" s="290"/>
      <c r="I46" s="290"/>
      <c r="J46" s="290"/>
      <c r="K46" s="290"/>
      <c r="L46" s="290"/>
      <c r="M46" s="290"/>
      <c r="N46" s="290"/>
      <c r="O46" s="288"/>
      <c r="P46" s="288"/>
      <c r="Q46" s="288"/>
      <c r="R46" s="288"/>
      <c r="S46" s="288"/>
      <c r="T46" s="291"/>
      <c r="U46" s="292"/>
    </row>
    <row r="47" spans="2:21" s="16" customFormat="1" ht="16.5" customHeight="1" thickBot="1">
      <c r="B47" s="153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5"/>
    </row>
    <row r="48" spans="21:23" ht="16.5" customHeight="1" thickTop="1">
      <c r="U48" s="5"/>
      <c r="V48" s="5"/>
      <c r="W48" s="5"/>
    </row>
    <row r="49" spans="21:23" ht="16.5" customHeight="1">
      <c r="U49" s="5"/>
      <c r="V49" s="5"/>
      <c r="W49" s="5"/>
    </row>
    <row r="50" spans="21:23" ht="16.5" customHeight="1">
      <c r="U50" s="5"/>
      <c r="V50" s="5"/>
      <c r="W50" s="5"/>
    </row>
    <row r="51" spans="21:23" ht="16.5" customHeight="1">
      <c r="U51" s="5"/>
      <c r="V51" s="5"/>
      <c r="W51" s="5"/>
    </row>
    <row r="52" spans="21:23" ht="16.5" customHeight="1"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4:23" ht="16.5" customHeight="1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4:23" ht="16.5" customHeight="1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</sheetData>
  <sheetProtection sheet="1" objects="1" scenarios="1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3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X155"/>
  <sheetViews>
    <sheetView zoomScale="75" zoomScaleNormal="75" workbookViewId="0" topLeftCell="B7">
      <selection activeCell="O98" sqref="O98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7109375" style="0" customWidth="1"/>
    <col min="7" max="7" width="13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12.421875" style="0" hidden="1" customWidth="1"/>
    <col min="16" max="16" width="14.57421875" style="0" hidden="1" customWidth="1"/>
    <col min="17" max="17" width="16.57421875" style="0" hidden="1" customWidth="1"/>
    <col min="18" max="19" width="15.140625" style="0" hidden="1" customWidth="1"/>
    <col min="20" max="20" width="9.7109375" style="0" customWidth="1"/>
    <col min="21" max="22" width="15.7109375" style="0" customWidth="1"/>
  </cols>
  <sheetData>
    <row r="1" spans="1:22" s="92" customFormat="1" ht="26.25">
      <c r="A1" s="142"/>
      <c r="V1" s="754"/>
    </row>
    <row r="2" spans="1:22" s="92" customFormat="1" ht="26.25">
      <c r="A2" s="142"/>
      <c r="B2" s="256" t="str">
        <f>+'tot-0402'!B2</f>
        <v>ANEXO I-1 a la Resolución ENRE N°            1107 /2006    .-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</row>
    <row r="3" s="16" customFormat="1" ht="12.75">
      <c r="A3" s="61"/>
    </row>
    <row r="4" spans="1:2" s="99" customFormat="1" ht="11.25">
      <c r="A4" s="97" t="s">
        <v>52</v>
      </c>
      <c r="B4" s="176"/>
    </row>
    <row r="5" spans="1:2" s="99" customFormat="1" ht="11.25">
      <c r="A5" s="97" t="s">
        <v>53</v>
      </c>
      <c r="B5" s="176"/>
    </row>
    <row r="6" s="16" customFormat="1" ht="13.5" thickBot="1"/>
    <row r="7" spans="2:22" s="16" customFormat="1" ht="13.5" thickTop="1"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214"/>
    </row>
    <row r="8" spans="2:22" s="10" customFormat="1" ht="20.25">
      <c r="B8" s="157"/>
      <c r="D8" s="7" t="s">
        <v>119</v>
      </c>
      <c r="E8" s="78"/>
      <c r="F8" s="9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9"/>
      <c r="U8" s="9"/>
      <c r="V8" s="251"/>
    </row>
    <row r="9" spans="2:22" s="16" customFormat="1" ht="12.75">
      <c r="B9" s="12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28"/>
    </row>
    <row r="10" spans="2:22" s="10" customFormat="1" ht="20.25">
      <c r="B10" s="157"/>
      <c r="D10" s="158" t="s">
        <v>120</v>
      </c>
      <c r="F10" s="252"/>
      <c r="G10" s="253"/>
      <c r="H10" s="253"/>
      <c r="I10" s="253"/>
      <c r="J10" s="253"/>
      <c r="K10" s="253"/>
      <c r="L10" s="253"/>
      <c r="M10" s="253"/>
      <c r="N10" s="253"/>
      <c r="O10" s="253"/>
      <c r="P10" s="11"/>
      <c r="Q10" s="11"/>
      <c r="R10" s="11"/>
      <c r="S10" s="11"/>
      <c r="T10" s="11"/>
      <c r="U10" s="11"/>
      <c r="V10" s="223"/>
    </row>
    <row r="11" spans="2:22" s="16" customFormat="1" ht="16.5" customHeight="1">
      <c r="B11" s="124"/>
      <c r="C11" s="14"/>
      <c r="D11" s="240"/>
      <c r="F11" s="105"/>
      <c r="G11" s="148"/>
      <c r="H11" s="148"/>
      <c r="I11" s="148"/>
      <c r="J11" s="148"/>
      <c r="K11" s="148"/>
      <c r="L11" s="148"/>
      <c r="M11" s="148"/>
      <c r="N11" s="148"/>
      <c r="O11" s="148"/>
      <c r="P11" s="14"/>
      <c r="Q11" s="14"/>
      <c r="R11" s="14"/>
      <c r="S11" s="14"/>
      <c r="T11" s="14"/>
      <c r="U11" s="14"/>
      <c r="V11" s="128"/>
    </row>
    <row r="12" spans="2:22" s="10" customFormat="1" ht="20.25">
      <c r="B12" s="157"/>
      <c r="D12" s="158" t="s">
        <v>121</v>
      </c>
      <c r="F12" s="252"/>
      <c r="G12" s="253"/>
      <c r="H12" s="253"/>
      <c r="I12" s="253"/>
      <c r="J12" s="253"/>
      <c r="K12" s="253"/>
      <c r="L12" s="253"/>
      <c r="M12" s="253"/>
      <c r="N12" s="253"/>
      <c r="O12" s="253"/>
      <c r="P12" s="11"/>
      <c r="Q12" s="11"/>
      <c r="R12" s="11"/>
      <c r="S12" s="11"/>
      <c r="T12" s="11"/>
      <c r="U12" s="11"/>
      <c r="V12" s="223"/>
    </row>
    <row r="13" spans="2:22" s="16" customFormat="1" ht="16.5" customHeight="1">
      <c r="B13" s="124"/>
      <c r="C13" s="14"/>
      <c r="D13" s="240"/>
      <c r="F13" s="105"/>
      <c r="G13" s="148"/>
      <c r="H13" s="148"/>
      <c r="I13" s="148"/>
      <c r="J13" s="148"/>
      <c r="K13" s="148"/>
      <c r="L13" s="148"/>
      <c r="M13" s="148"/>
      <c r="N13" s="148"/>
      <c r="O13" s="148"/>
      <c r="P13" s="14"/>
      <c r="Q13" s="14"/>
      <c r="R13" s="14"/>
      <c r="S13" s="14"/>
      <c r="T13" s="14"/>
      <c r="U13" s="14"/>
      <c r="V13" s="128"/>
    </row>
    <row r="14" spans="2:22" s="15" customFormat="1" ht="16.5" customHeight="1">
      <c r="B14" s="177" t="str">
        <f>+'tot-0402'!B14</f>
        <v>Desde el 01 al 29 de febrero de 2004</v>
      </c>
      <c r="C14" s="160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160"/>
      <c r="Q14" s="160"/>
      <c r="R14" s="160"/>
      <c r="S14" s="160"/>
      <c r="T14" s="160"/>
      <c r="U14" s="160"/>
      <c r="V14" s="255"/>
    </row>
    <row r="15" spans="2:22" s="16" customFormat="1" ht="16.5" customHeight="1" thickBot="1">
      <c r="B15" s="124"/>
      <c r="C15" s="14"/>
      <c r="D15" s="14"/>
      <c r="E15" s="14"/>
      <c r="F15" s="14"/>
      <c r="G15" s="14"/>
      <c r="H15" s="14"/>
      <c r="I15" s="14"/>
      <c r="J15" s="14"/>
      <c r="K15" s="14"/>
      <c r="P15" s="14"/>
      <c r="Q15" s="14"/>
      <c r="R15" s="14"/>
      <c r="S15" s="14"/>
      <c r="T15" s="14"/>
      <c r="U15" s="14"/>
      <c r="V15" s="128"/>
    </row>
    <row r="16" spans="2:22" s="16" customFormat="1" ht="16.5" customHeight="1" thickBot="1" thickTop="1">
      <c r="B16" s="124"/>
      <c r="C16" s="14"/>
      <c r="D16" s="233" t="s">
        <v>104</v>
      </c>
      <c r="E16" s="257"/>
      <c r="F16" s="265">
        <v>0.154</v>
      </c>
      <c r="G16" s="231"/>
      <c r="H16"/>
      <c r="I16" s="14"/>
      <c r="J16" s="14"/>
      <c r="K16" s="14"/>
      <c r="L16" s="14"/>
      <c r="M16" s="14"/>
      <c r="O16" s="14"/>
      <c r="P16" s="14"/>
      <c r="Q16" s="14"/>
      <c r="R16" s="14"/>
      <c r="S16" s="14"/>
      <c r="T16" s="14"/>
      <c r="U16" s="14"/>
      <c r="V16" s="128"/>
    </row>
    <row r="17" spans="2:22" s="16" customFormat="1" ht="16.5" customHeight="1" thickBot="1" thickTop="1">
      <c r="B17" s="124"/>
      <c r="C17" s="14"/>
      <c r="D17" s="258" t="s">
        <v>105</v>
      </c>
      <c r="E17" s="259"/>
      <c r="F17" s="260">
        <v>20</v>
      </c>
      <c r="G17" s="231"/>
      <c r="H17"/>
      <c r="I17" s="757"/>
      <c r="J17" s="758"/>
      <c r="K17" s="14"/>
      <c r="L17" s="14"/>
      <c r="M17" s="14"/>
      <c r="O17" s="14"/>
      <c r="P17" s="14"/>
      <c r="Q17" s="14"/>
      <c r="R17" s="149"/>
      <c r="S17" s="149"/>
      <c r="T17" s="149"/>
      <c r="U17" s="149"/>
      <c r="V17" s="128"/>
    </row>
    <row r="18" spans="2:22" s="16" customFormat="1" ht="16.5" customHeight="1" thickBot="1" thickTop="1">
      <c r="B18" s="124"/>
      <c r="C18" s="2"/>
      <c r="D18" s="241"/>
      <c r="E18" s="242"/>
      <c r="F18" s="242"/>
      <c r="G18" s="36"/>
      <c r="H18" s="36"/>
      <c r="I18" s="36"/>
      <c r="J18" s="36"/>
      <c r="K18" s="36"/>
      <c r="L18" s="36"/>
      <c r="M18" s="36"/>
      <c r="N18" s="36"/>
      <c r="O18" s="243"/>
      <c r="P18" s="244"/>
      <c r="Q18" s="245"/>
      <c r="R18" s="245"/>
      <c r="S18" s="245"/>
      <c r="T18" s="246"/>
      <c r="U18" s="247"/>
      <c r="V18" s="128"/>
    </row>
    <row r="19" spans="2:22" s="16" customFormat="1" ht="33.75" customHeight="1" thickBot="1" thickTop="1">
      <c r="B19" s="124"/>
      <c r="C19" s="164" t="s">
        <v>73</v>
      </c>
      <c r="D19" s="172" t="s">
        <v>106</v>
      </c>
      <c r="E19" s="166" t="s">
        <v>43</v>
      </c>
      <c r="F19" s="261" t="s">
        <v>107</v>
      </c>
      <c r="G19" s="347" t="s">
        <v>78</v>
      </c>
      <c r="H19" s="166" t="s">
        <v>79</v>
      </c>
      <c r="I19" s="166" t="s">
        <v>80</v>
      </c>
      <c r="J19" s="172" t="s">
        <v>81</v>
      </c>
      <c r="K19" s="172" t="s">
        <v>82</v>
      </c>
      <c r="L19" s="171" t="s">
        <v>83</v>
      </c>
      <c r="M19" s="171" t="s">
        <v>84</v>
      </c>
      <c r="N19" s="166" t="s">
        <v>86</v>
      </c>
      <c r="O19" s="347" t="s">
        <v>77</v>
      </c>
      <c r="P19" s="515" t="s">
        <v>99</v>
      </c>
      <c r="Q19" s="519" t="s">
        <v>122</v>
      </c>
      <c r="R19" s="520"/>
      <c r="S19" s="527" t="s">
        <v>91</v>
      </c>
      <c r="T19" s="174" t="s">
        <v>93</v>
      </c>
      <c r="U19" s="262" t="s">
        <v>94</v>
      </c>
      <c r="V19" s="128"/>
    </row>
    <row r="20" spans="2:22" s="16" customFormat="1" ht="16.5" customHeight="1" hidden="1" thickTop="1">
      <c r="B20" s="124"/>
      <c r="C20" s="248"/>
      <c r="D20" s="249"/>
      <c r="E20" s="249"/>
      <c r="F20" s="249"/>
      <c r="G20" s="354"/>
      <c r="H20" s="250"/>
      <c r="I20" s="250"/>
      <c r="J20" s="248"/>
      <c r="K20" s="248"/>
      <c r="L20" s="249"/>
      <c r="M20" s="17"/>
      <c r="N20" s="248"/>
      <c r="O20" s="359"/>
      <c r="P20" s="516"/>
      <c r="Q20" s="521"/>
      <c r="R20" s="522"/>
      <c r="S20" s="528"/>
      <c r="T20" s="531"/>
      <c r="U20" s="567"/>
      <c r="V20" s="128"/>
    </row>
    <row r="21" spans="2:22" s="16" customFormat="1" ht="16.5" customHeight="1" thickTop="1">
      <c r="B21" s="124"/>
      <c r="C21" s="29"/>
      <c r="D21" s="82"/>
      <c r="E21" s="83"/>
      <c r="F21" s="84"/>
      <c r="G21" s="358"/>
      <c r="H21" s="86"/>
      <c r="I21" s="87"/>
      <c r="J21" s="88"/>
      <c r="K21" s="89"/>
      <c r="L21" s="90"/>
      <c r="M21" s="18"/>
      <c r="N21" s="85"/>
      <c r="O21" s="360"/>
      <c r="P21" s="517"/>
      <c r="Q21" s="523"/>
      <c r="R21" s="524"/>
      <c r="S21" s="529"/>
      <c r="T21" s="85"/>
      <c r="U21" s="263"/>
      <c r="V21" s="128"/>
    </row>
    <row r="22" spans="2:22" s="16" customFormat="1" ht="16.5" customHeight="1">
      <c r="B22" s="124"/>
      <c r="C22" s="769">
        <v>38</v>
      </c>
      <c r="D22" s="848" t="s">
        <v>44</v>
      </c>
      <c r="E22" s="832" t="s">
        <v>47</v>
      </c>
      <c r="F22" s="849">
        <v>245</v>
      </c>
      <c r="G22" s="626">
        <f aca="true" t="shared" si="0" ref="G22:G38">F22*$F$16</f>
        <v>37.73</v>
      </c>
      <c r="H22" s="835">
        <v>38018.62222222222</v>
      </c>
      <c r="I22" s="787">
        <v>38019.02847222222</v>
      </c>
      <c r="J22" s="71">
        <f aca="true" t="shared" si="1" ref="J22:J38">IF(D22="","",(I22-H22)*24)</f>
        <v>9.75</v>
      </c>
      <c r="K22" s="28">
        <f aca="true" t="shared" si="2" ref="K22:K38">IF(D22="","",ROUND((I22-H22)*24*60,0))</f>
        <v>585</v>
      </c>
      <c r="L22" s="789" t="s">
        <v>197</v>
      </c>
      <c r="M22" s="816" t="str">
        <f aca="true" t="shared" si="3" ref="M22:M38">IF(D22="","","--")</f>
        <v>--</v>
      </c>
      <c r="N22" s="791" t="str">
        <f aca="true" t="shared" si="4" ref="N22:N38">IF(D22="","",IF(OR(L22="P",L22="RP"),"--","NO"))</f>
        <v>NO</v>
      </c>
      <c r="O22" s="852">
        <f aca="true" t="shared" si="5" ref="O22:O38">IF(L22="P",$F$17/10,$F$17)</f>
        <v>20</v>
      </c>
      <c r="P22" s="853" t="str">
        <f aca="true" t="shared" si="6" ref="P22:P38">IF(L22="P",G22*O22*ROUND(K22/60,2),"--")</f>
        <v>--</v>
      </c>
      <c r="Q22" s="854">
        <f aca="true" t="shared" si="7" ref="Q22:Q38">IF(AND(L22="F",N22="NO"),G22*O22,"--")</f>
        <v>754.5999999999999</v>
      </c>
      <c r="R22" s="855">
        <f aca="true" t="shared" si="8" ref="R22:R38">IF(L22="F",G22*O22*ROUND(K22/60,2),"--")</f>
        <v>7357.349999999999</v>
      </c>
      <c r="S22" s="856" t="str">
        <f aca="true" t="shared" si="9" ref="S22:S38">IF(L22="RF",G22*O22*ROUND(K22/60,2),"--")</f>
        <v>--</v>
      </c>
      <c r="T22" s="791" t="str">
        <f aca="true" t="shared" si="10" ref="T22:T38">IF(D22="","","SI")</f>
        <v>SI</v>
      </c>
      <c r="U22" s="74">
        <f aca="true" t="shared" si="11" ref="U22:U38">IF(D22="","",SUM(P22:S22)*IF(T22="SI",1,2))</f>
        <v>8111.949999999999</v>
      </c>
      <c r="V22" s="128"/>
    </row>
    <row r="23" spans="2:22" s="16" customFormat="1" ht="16.5" customHeight="1">
      <c r="B23" s="124"/>
      <c r="C23" s="769">
        <v>39</v>
      </c>
      <c r="D23" s="848" t="s">
        <v>44</v>
      </c>
      <c r="E23" s="832" t="s">
        <v>48</v>
      </c>
      <c r="F23" s="849">
        <v>245</v>
      </c>
      <c r="G23" s="626">
        <f t="shared" si="0"/>
        <v>37.73</v>
      </c>
      <c r="H23" s="835">
        <v>38018.62222222222</v>
      </c>
      <c r="I23" s="787">
        <v>38019.02847222222</v>
      </c>
      <c r="J23" s="71">
        <f t="shared" si="1"/>
        <v>9.75</v>
      </c>
      <c r="K23" s="28">
        <f t="shared" si="2"/>
        <v>585</v>
      </c>
      <c r="L23" s="789" t="s">
        <v>197</v>
      </c>
      <c r="M23" s="816" t="str">
        <f t="shared" si="3"/>
        <v>--</v>
      </c>
      <c r="N23" s="791" t="str">
        <f t="shared" si="4"/>
        <v>NO</v>
      </c>
      <c r="O23" s="852">
        <f t="shared" si="5"/>
        <v>20</v>
      </c>
      <c r="P23" s="853" t="str">
        <f t="shared" si="6"/>
        <v>--</v>
      </c>
      <c r="Q23" s="854">
        <f t="shared" si="7"/>
        <v>754.5999999999999</v>
      </c>
      <c r="R23" s="855">
        <f t="shared" si="8"/>
        <v>7357.349999999999</v>
      </c>
      <c r="S23" s="856" t="str">
        <f t="shared" si="9"/>
        <v>--</v>
      </c>
      <c r="T23" s="791" t="str">
        <f t="shared" si="10"/>
        <v>SI</v>
      </c>
      <c r="U23" s="74">
        <f t="shared" si="11"/>
        <v>8111.949999999999</v>
      </c>
      <c r="V23" s="128"/>
    </row>
    <row r="24" spans="2:22" s="16" customFormat="1" ht="16.5" customHeight="1">
      <c r="B24" s="124"/>
      <c r="C24" s="769">
        <v>40</v>
      </c>
      <c r="D24" s="848" t="s">
        <v>44</v>
      </c>
      <c r="E24" s="832" t="s">
        <v>45</v>
      </c>
      <c r="F24" s="849">
        <v>245</v>
      </c>
      <c r="G24" s="626">
        <f t="shared" si="0"/>
        <v>37.73</v>
      </c>
      <c r="H24" s="835">
        <v>38019.78958333333</v>
      </c>
      <c r="I24" s="787">
        <v>38019.81458333333</v>
      </c>
      <c r="J24" s="71">
        <f t="shared" si="1"/>
        <v>0.6000000000349246</v>
      </c>
      <c r="K24" s="28">
        <f t="shared" si="2"/>
        <v>36</v>
      </c>
      <c r="L24" s="789" t="s">
        <v>197</v>
      </c>
      <c r="M24" s="816" t="str">
        <f t="shared" si="3"/>
        <v>--</v>
      </c>
      <c r="N24" s="791" t="str">
        <f t="shared" si="4"/>
        <v>NO</v>
      </c>
      <c r="O24" s="852">
        <f t="shared" si="5"/>
        <v>20</v>
      </c>
      <c r="P24" s="853" t="str">
        <f t="shared" si="6"/>
        <v>--</v>
      </c>
      <c r="Q24" s="854">
        <f t="shared" si="7"/>
        <v>754.5999999999999</v>
      </c>
      <c r="R24" s="855">
        <f t="shared" si="8"/>
        <v>452.75999999999993</v>
      </c>
      <c r="S24" s="856" t="str">
        <f t="shared" si="9"/>
        <v>--</v>
      </c>
      <c r="T24" s="791" t="str">
        <f t="shared" si="10"/>
        <v>SI</v>
      </c>
      <c r="U24" s="74">
        <f t="shared" si="11"/>
        <v>1207.36</v>
      </c>
      <c r="V24" s="128"/>
    </row>
    <row r="25" spans="2:22" s="16" customFormat="1" ht="16.5" customHeight="1">
      <c r="B25" s="124"/>
      <c r="C25" s="769">
        <v>41</v>
      </c>
      <c r="D25" s="848" t="s">
        <v>44</v>
      </c>
      <c r="E25" s="832" t="s">
        <v>45</v>
      </c>
      <c r="F25" s="849">
        <v>245</v>
      </c>
      <c r="G25" s="626">
        <f t="shared" si="0"/>
        <v>37.73</v>
      </c>
      <c r="H25" s="835">
        <v>38019.84375</v>
      </c>
      <c r="I25" s="787">
        <v>38019.87569444445</v>
      </c>
      <c r="J25" s="71">
        <f t="shared" si="1"/>
        <v>0.7666666667209938</v>
      </c>
      <c r="K25" s="28">
        <f t="shared" si="2"/>
        <v>46</v>
      </c>
      <c r="L25" s="789" t="s">
        <v>197</v>
      </c>
      <c r="M25" s="816" t="str">
        <f t="shared" si="3"/>
        <v>--</v>
      </c>
      <c r="N25" s="791" t="s">
        <v>207</v>
      </c>
      <c r="O25" s="852">
        <f t="shared" si="5"/>
        <v>20</v>
      </c>
      <c r="P25" s="853" t="str">
        <f t="shared" si="6"/>
        <v>--</v>
      </c>
      <c r="Q25" s="854" t="str">
        <f t="shared" si="7"/>
        <v>--</v>
      </c>
      <c r="R25" s="855">
        <f t="shared" si="8"/>
        <v>581.0419999999999</v>
      </c>
      <c r="S25" s="856" t="str">
        <f t="shared" si="9"/>
        <v>--</v>
      </c>
      <c r="T25" s="791" t="str">
        <f t="shared" si="10"/>
        <v>SI</v>
      </c>
      <c r="U25" s="74">
        <f t="shared" si="11"/>
        <v>581.0419999999999</v>
      </c>
      <c r="V25" s="238"/>
    </row>
    <row r="26" spans="2:22" s="16" customFormat="1" ht="16.5" customHeight="1">
      <c r="B26" s="124"/>
      <c r="C26" s="769">
        <v>42</v>
      </c>
      <c r="D26" s="848" t="s">
        <v>44</v>
      </c>
      <c r="E26" s="832" t="s">
        <v>45</v>
      </c>
      <c r="F26" s="849">
        <v>245</v>
      </c>
      <c r="G26" s="626">
        <f t="shared" si="0"/>
        <v>37.73</v>
      </c>
      <c r="H26" s="835">
        <v>38020.35902777778</v>
      </c>
      <c r="I26" s="787">
        <v>38020.58125</v>
      </c>
      <c r="J26" s="71">
        <f t="shared" si="1"/>
        <v>5.333333333430346</v>
      </c>
      <c r="K26" s="28">
        <f t="shared" si="2"/>
        <v>320</v>
      </c>
      <c r="L26" s="789" t="s">
        <v>205</v>
      </c>
      <c r="M26" s="816" t="str">
        <f t="shared" si="3"/>
        <v>--</v>
      </c>
      <c r="N26" s="791" t="str">
        <f t="shared" si="4"/>
        <v>--</v>
      </c>
      <c r="O26" s="852">
        <f t="shared" si="5"/>
        <v>2</v>
      </c>
      <c r="P26" s="853">
        <f t="shared" si="6"/>
        <v>402.2018</v>
      </c>
      <c r="Q26" s="854" t="str">
        <f t="shared" si="7"/>
        <v>--</v>
      </c>
      <c r="R26" s="855" t="str">
        <f t="shared" si="8"/>
        <v>--</v>
      </c>
      <c r="S26" s="856" t="str">
        <f t="shared" si="9"/>
        <v>--</v>
      </c>
      <c r="T26" s="791" t="str">
        <f t="shared" si="10"/>
        <v>SI</v>
      </c>
      <c r="U26" s="74">
        <f t="shared" si="11"/>
        <v>402.2018</v>
      </c>
      <c r="V26" s="238"/>
    </row>
    <row r="27" spans="2:22" s="16" customFormat="1" ht="16.5" customHeight="1">
      <c r="B27" s="124"/>
      <c r="C27" s="769">
        <v>43</v>
      </c>
      <c r="D27" s="848" t="s">
        <v>44</v>
      </c>
      <c r="E27" s="832" t="s">
        <v>48</v>
      </c>
      <c r="F27" s="849">
        <v>245</v>
      </c>
      <c r="G27" s="626">
        <f t="shared" si="0"/>
        <v>37.73</v>
      </c>
      <c r="H27" s="835">
        <v>38021.35972222222</v>
      </c>
      <c r="I27" s="787">
        <v>38021.643055555556</v>
      </c>
      <c r="J27" s="71">
        <f t="shared" si="1"/>
        <v>6.7999999999883585</v>
      </c>
      <c r="K27" s="28">
        <f t="shared" si="2"/>
        <v>408</v>
      </c>
      <c r="L27" s="789" t="s">
        <v>205</v>
      </c>
      <c r="M27" s="816" t="str">
        <f t="shared" si="3"/>
        <v>--</v>
      </c>
      <c r="N27" s="791" t="str">
        <f t="shared" si="4"/>
        <v>--</v>
      </c>
      <c r="O27" s="852">
        <f t="shared" si="5"/>
        <v>2</v>
      </c>
      <c r="P27" s="853">
        <f t="shared" si="6"/>
        <v>513.1279999999999</v>
      </c>
      <c r="Q27" s="854" t="str">
        <f t="shared" si="7"/>
        <v>--</v>
      </c>
      <c r="R27" s="855" t="str">
        <f t="shared" si="8"/>
        <v>--</v>
      </c>
      <c r="S27" s="856" t="str">
        <f t="shared" si="9"/>
        <v>--</v>
      </c>
      <c r="T27" s="791" t="str">
        <f t="shared" si="10"/>
        <v>SI</v>
      </c>
      <c r="U27" s="74">
        <f t="shared" si="11"/>
        <v>513.1279999999999</v>
      </c>
      <c r="V27" s="238"/>
    </row>
    <row r="28" spans="2:22" s="16" customFormat="1" ht="16.5" customHeight="1">
      <c r="B28" s="124"/>
      <c r="C28" s="769">
        <v>44</v>
      </c>
      <c r="D28" s="848" t="s">
        <v>44</v>
      </c>
      <c r="E28" s="832" t="s">
        <v>46</v>
      </c>
      <c r="F28" s="849">
        <v>245</v>
      </c>
      <c r="G28" s="626">
        <f t="shared" si="0"/>
        <v>37.73</v>
      </c>
      <c r="H28" s="835">
        <v>38022.336805555555</v>
      </c>
      <c r="I28" s="787">
        <v>38022.87708333333</v>
      </c>
      <c r="J28" s="71">
        <f t="shared" si="1"/>
        <v>12.966666666674428</v>
      </c>
      <c r="K28" s="28">
        <f t="shared" si="2"/>
        <v>778</v>
      </c>
      <c r="L28" s="789" t="s">
        <v>205</v>
      </c>
      <c r="M28" s="816" t="str">
        <f t="shared" si="3"/>
        <v>--</v>
      </c>
      <c r="N28" s="791" t="str">
        <f t="shared" si="4"/>
        <v>--</v>
      </c>
      <c r="O28" s="852">
        <f t="shared" si="5"/>
        <v>2</v>
      </c>
      <c r="P28" s="853">
        <f t="shared" si="6"/>
        <v>978.7162</v>
      </c>
      <c r="Q28" s="854" t="str">
        <f t="shared" si="7"/>
        <v>--</v>
      </c>
      <c r="R28" s="855" t="str">
        <f t="shared" si="8"/>
        <v>--</v>
      </c>
      <c r="S28" s="856" t="str">
        <f t="shared" si="9"/>
        <v>--</v>
      </c>
      <c r="T28" s="791" t="str">
        <f t="shared" si="10"/>
        <v>SI</v>
      </c>
      <c r="U28" s="74">
        <f t="shared" si="11"/>
        <v>978.7162</v>
      </c>
      <c r="V28" s="238"/>
    </row>
    <row r="29" spans="2:22" s="16" customFormat="1" ht="16.5" customHeight="1">
      <c r="B29" s="124"/>
      <c r="C29" s="769">
        <v>45</v>
      </c>
      <c r="D29" s="848" t="s">
        <v>44</v>
      </c>
      <c r="E29" s="832" t="s">
        <v>49</v>
      </c>
      <c r="F29" s="849">
        <v>245</v>
      </c>
      <c r="G29" s="626">
        <f t="shared" si="0"/>
        <v>37.73</v>
      </c>
      <c r="H29" s="835">
        <v>38025.345138888886</v>
      </c>
      <c r="I29" s="787">
        <v>38025.64791666667</v>
      </c>
      <c r="J29" s="71">
        <f t="shared" si="1"/>
        <v>7.2666666667792015</v>
      </c>
      <c r="K29" s="28">
        <f t="shared" si="2"/>
        <v>436</v>
      </c>
      <c r="L29" s="789" t="s">
        <v>205</v>
      </c>
      <c r="M29" s="816" t="str">
        <f t="shared" si="3"/>
        <v>--</v>
      </c>
      <c r="N29" s="791" t="str">
        <f t="shared" si="4"/>
        <v>--</v>
      </c>
      <c r="O29" s="852">
        <f t="shared" si="5"/>
        <v>2</v>
      </c>
      <c r="P29" s="853">
        <f t="shared" si="6"/>
        <v>548.5941999999999</v>
      </c>
      <c r="Q29" s="854" t="str">
        <f t="shared" si="7"/>
        <v>--</v>
      </c>
      <c r="R29" s="855" t="str">
        <f t="shared" si="8"/>
        <v>--</v>
      </c>
      <c r="S29" s="856" t="str">
        <f t="shared" si="9"/>
        <v>--</v>
      </c>
      <c r="T29" s="791" t="str">
        <f t="shared" si="10"/>
        <v>SI</v>
      </c>
      <c r="U29" s="74">
        <f t="shared" si="11"/>
        <v>548.5941999999999</v>
      </c>
      <c r="V29" s="238"/>
    </row>
    <row r="30" spans="2:22" s="16" customFormat="1" ht="16.5" customHeight="1">
      <c r="B30" s="124"/>
      <c r="C30" s="769">
        <v>46</v>
      </c>
      <c r="D30" s="848" t="s">
        <v>44</v>
      </c>
      <c r="E30" s="832" t="s">
        <v>50</v>
      </c>
      <c r="F30" s="849">
        <v>245</v>
      </c>
      <c r="G30" s="626">
        <f t="shared" si="0"/>
        <v>37.73</v>
      </c>
      <c r="H30" s="835">
        <v>38025.345138888886</v>
      </c>
      <c r="I30" s="787">
        <v>38025.65069444444</v>
      </c>
      <c r="J30" s="71">
        <f t="shared" si="1"/>
        <v>7.333333333313931</v>
      </c>
      <c r="K30" s="28">
        <f t="shared" si="2"/>
        <v>440</v>
      </c>
      <c r="L30" s="789" t="s">
        <v>205</v>
      </c>
      <c r="M30" s="816" t="str">
        <f t="shared" si="3"/>
        <v>--</v>
      </c>
      <c r="N30" s="791" t="str">
        <f t="shared" si="4"/>
        <v>--</v>
      </c>
      <c r="O30" s="852">
        <f t="shared" si="5"/>
        <v>2</v>
      </c>
      <c r="P30" s="853">
        <f t="shared" si="6"/>
        <v>553.1218</v>
      </c>
      <c r="Q30" s="854" t="str">
        <f t="shared" si="7"/>
        <v>--</v>
      </c>
      <c r="R30" s="855" t="str">
        <f t="shared" si="8"/>
        <v>--</v>
      </c>
      <c r="S30" s="856" t="str">
        <f t="shared" si="9"/>
        <v>--</v>
      </c>
      <c r="T30" s="791" t="str">
        <f t="shared" si="10"/>
        <v>SI</v>
      </c>
      <c r="U30" s="74">
        <f t="shared" si="11"/>
        <v>553.1218</v>
      </c>
      <c r="V30" s="238"/>
    </row>
    <row r="31" spans="2:22" s="16" customFormat="1" ht="16.5" customHeight="1">
      <c r="B31" s="124"/>
      <c r="C31" s="769">
        <v>48</v>
      </c>
      <c r="D31" s="848" t="s">
        <v>44</v>
      </c>
      <c r="E31" s="832" t="s">
        <v>49</v>
      </c>
      <c r="F31" s="849">
        <v>245</v>
      </c>
      <c r="G31" s="626">
        <f t="shared" si="0"/>
        <v>37.73</v>
      </c>
      <c r="H31" s="835">
        <v>38034.302083333336</v>
      </c>
      <c r="I31" s="787">
        <v>38034.74375</v>
      </c>
      <c r="J31" s="71">
        <f t="shared" si="1"/>
        <v>10.599999999976717</v>
      </c>
      <c r="K31" s="28">
        <f t="shared" si="2"/>
        <v>636</v>
      </c>
      <c r="L31" s="789" t="s">
        <v>205</v>
      </c>
      <c r="M31" s="816" t="str">
        <f t="shared" si="3"/>
        <v>--</v>
      </c>
      <c r="N31" s="791" t="str">
        <f t="shared" si="4"/>
        <v>--</v>
      </c>
      <c r="O31" s="852">
        <f t="shared" si="5"/>
        <v>2</v>
      </c>
      <c r="P31" s="853">
        <f t="shared" si="6"/>
        <v>799.8759999999999</v>
      </c>
      <c r="Q31" s="854" t="str">
        <f t="shared" si="7"/>
        <v>--</v>
      </c>
      <c r="R31" s="855" t="str">
        <f t="shared" si="8"/>
        <v>--</v>
      </c>
      <c r="S31" s="856" t="str">
        <f t="shared" si="9"/>
        <v>--</v>
      </c>
      <c r="T31" s="791" t="str">
        <f t="shared" si="10"/>
        <v>SI</v>
      </c>
      <c r="U31" s="74">
        <f t="shared" si="11"/>
        <v>799.8759999999999</v>
      </c>
      <c r="V31" s="128"/>
    </row>
    <row r="32" spans="2:22" s="16" customFormat="1" ht="16.5" customHeight="1">
      <c r="B32" s="124"/>
      <c r="C32" s="769">
        <v>49</v>
      </c>
      <c r="D32" s="848" t="s">
        <v>44</v>
      </c>
      <c r="E32" s="832" t="s">
        <v>50</v>
      </c>
      <c r="F32" s="849">
        <v>245</v>
      </c>
      <c r="G32" s="626">
        <f t="shared" si="0"/>
        <v>37.73</v>
      </c>
      <c r="H32" s="835">
        <v>38034.302083333336</v>
      </c>
      <c r="I32" s="787">
        <v>38034.74513888889</v>
      </c>
      <c r="J32" s="71">
        <f t="shared" si="1"/>
        <v>10.633333333244082</v>
      </c>
      <c r="K32" s="28">
        <f t="shared" si="2"/>
        <v>638</v>
      </c>
      <c r="L32" s="789" t="s">
        <v>205</v>
      </c>
      <c r="M32" s="816" t="str">
        <f t="shared" si="3"/>
        <v>--</v>
      </c>
      <c r="N32" s="791" t="str">
        <f t="shared" si="4"/>
        <v>--</v>
      </c>
      <c r="O32" s="852">
        <f t="shared" si="5"/>
        <v>2</v>
      </c>
      <c r="P32" s="853">
        <f t="shared" si="6"/>
        <v>802.1398</v>
      </c>
      <c r="Q32" s="854" t="str">
        <f t="shared" si="7"/>
        <v>--</v>
      </c>
      <c r="R32" s="855" t="str">
        <f t="shared" si="8"/>
        <v>--</v>
      </c>
      <c r="S32" s="856" t="str">
        <f t="shared" si="9"/>
        <v>--</v>
      </c>
      <c r="T32" s="791" t="str">
        <f t="shared" si="10"/>
        <v>SI</v>
      </c>
      <c r="U32" s="74">
        <f t="shared" si="11"/>
        <v>802.1398</v>
      </c>
      <c r="V32" s="128"/>
    </row>
    <row r="33" spans="2:22" s="16" customFormat="1" ht="16.5" customHeight="1">
      <c r="B33" s="124"/>
      <c r="C33" s="769">
        <v>50</v>
      </c>
      <c r="D33" s="848" t="s">
        <v>21</v>
      </c>
      <c r="E33" s="832" t="s">
        <v>182</v>
      </c>
      <c r="F33" s="849">
        <v>80</v>
      </c>
      <c r="G33" s="626">
        <f t="shared" si="0"/>
        <v>12.32</v>
      </c>
      <c r="H33" s="835">
        <v>38035.33194444444</v>
      </c>
      <c r="I33" s="787">
        <v>38035.50625</v>
      </c>
      <c r="J33" s="71">
        <f t="shared" si="1"/>
        <v>4.183333333348855</v>
      </c>
      <c r="K33" s="28">
        <f t="shared" si="2"/>
        <v>251</v>
      </c>
      <c r="L33" s="789" t="s">
        <v>205</v>
      </c>
      <c r="M33" s="816" t="str">
        <f t="shared" si="3"/>
        <v>--</v>
      </c>
      <c r="N33" s="791" t="str">
        <f t="shared" si="4"/>
        <v>--</v>
      </c>
      <c r="O33" s="852">
        <f t="shared" si="5"/>
        <v>2</v>
      </c>
      <c r="P33" s="853">
        <f t="shared" si="6"/>
        <v>102.9952</v>
      </c>
      <c r="Q33" s="854" t="str">
        <f t="shared" si="7"/>
        <v>--</v>
      </c>
      <c r="R33" s="855" t="str">
        <f t="shared" si="8"/>
        <v>--</v>
      </c>
      <c r="S33" s="856" t="str">
        <f t="shared" si="9"/>
        <v>--</v>
      </c>
      <c r="T33" s="791" t="str">
        <f t="shared" si="10"/>
        <v>SI</v>
      </c>
      <c r="U33" s="74">
        <f t="shared" si="11"/>
        <v>102.9952</v>
      </c>
      <c r="V33" s="128"/>
    </row>
    <row r="34" spans="2:22" s="16" customFormat="1" ht="16.5" customHeight="1">
      <c r="B34" s="124"/>
      <c r="C34" s="769"/>
      <c r="D34" s="848"/>
      <c r="E34" s="832"/>
      <c r="F34" s="849"/>
      <c r="G34" s="626">
        <f t="shared" si="0"/>
        <v>0</v>
      </c>
      <c r="H34" s="835"/>
      <c r="I34" s="787"/>
      <c r="J34" s="71">
        <f t="shared" si="1"/>
      </c>
      <c r="K34" s="28">
        <f t="shared" si="2"/>
      </c>
      <c r="L34" s="789"/>
      <c r="M34" s="816">
        <f t="shared" si="3"/>
      </c>
      <c r="N34" s="791">
        <f t="shared" si="4"/>
      </c>
      <c r="O34" s="852">
        <f t="shared" si="5"/>
        <v>20</v>
      </c>
      <c r="P34" s="853" t="str">
        <f t="shared" si="6"/>
        <v>--</v>
      </c>
      <c r="Q34" s="854" t="str">
        <f t="shared" si="7"/>
        <v>--</v>
      </c>
      <c r="R34" s="855" t="str">
        <f t="shared" si="8"/>
        <v>--</v>
      </c>
      <c r="S34" s="856" t="str">
        <f t="shared" si="9"/>
        <v>--</v>
      </c>
      <c r="T34" s="791">
        <f t="shared" si="10"/>
      </c>
      <c r="U34" s="74">
        <f t="shared" si="11"/>
      </c>
      <c r="V34" s="128"/>
    </row>
    <row r="35" spans="2:22" s="16" customFormat="1" ht="16.5" customHeight="1">
      <c r="B35" s="124"/>
      <c r="C35" s="769"/>
      <c r="D35" s="848"/>
      <c r="E35" s="832"/>
      <c r="F35" s="849"/>
      <c r="G35" s="626">
        <f t="shared" si="0"/>
        <v>0</v>
      </c>
      <c r="H35" s="835"/>
      <c r="I35" s="787"/>
      <c r="J35" s="71">
        <f t="shared" si="1"/>
      </c>
      <c r="K35" s="28">
        <f t="shared" si="2"/>
      </c>
      <c r="L35" s="789"/>
      <c r="M35" s="816">
        <f t="shared" si="3"/>
      </c>
      <c r="N35" s="791">
        <f t="shared" si="4"/>
      </c>
      <c r="O35" s="852">
        <f t="shared" si="5"/>
        <v>20</v>
      </c>
      <c r="P35" s="853" t="str">
        <f t="shared" si="6"/>
        <v>--</v>
      </c>
      <c r="Q35" s="854" t="str">
        <f t="shared" si="7"/>
        <v>--</v>
      </c>
      <c r="R35" s="855" t="str">
        <f t="shared" si="8"/>
        <v>--</v>
      </c>
      <c r="S35" s="856" t="str">
        <f t="shared" si="9"/>
        <v>--</v>
      </c>
      <c r="T35" s="791">
        <f t="shared" si="10"/>
      </c>
      <c r="U35" s="74">
        <f t="shared" si="11"/>
      </c>
      <c r="V35" s="128"/>
    </row>
    <row r="36" spans="2:22" s="16" customFormat="1" ht="16.5" customHeight="1">
      <c r="B36" s="124"/>
      <c r="C36" s="769"/>
      <c r="D36" s="848"/>
      <c r="E36" s="832"/>
      <c r="F36" s="849"/>
      <c r="G36" s="626">
        <f t="shared" si="0"/>
        <v>0</v>
      </c>
      <c r="H36" s="835"/>
      <c r="I36" s="787"/>
      <c r="J36" s="71">
        <f t="shared" si="1"/>
      </c>
      <c r="K36" s="28">
        <f t="shared" si="2"/>
      </c>
      <c r="L36" s="789"/>
      <c r="M36" s="816">
        <f t="shared" si="3"/>
      </c>
      <c r="N36" s="791">
        <f t="shared" si="4"/>
      </c>
      <c r="O36" s="852">
        <f t="shared" si="5"/>
        <v>20</v>
      </c>
      <c r="P36" s="853" t="str">
        <f t="shared" si="6"/>
        <v>--</v>
      </c>
      <c r="Q36" s="854" t="str">
        <f t="shared" si="7"/>
        <v>--</v>
      </c>
      <c r="R36" s="855" t="str">
        <f t="shared" si="8"/>
        <v>--</v>
      </c>
      <c r="S36" s="856" t="str">
        <f t="shared" si="9"/>
        <v>--</v>
      </c>
      <c r="T36" s="791">
        <f t="shared" si="10"/>
      </c>
      <c r="U36" s="74">
        <f t="shared" si="11"/>
      </c>
      <c r="V36" s="128"/>
    </row>
    <row r="37" spans="2:22" s="16" customFormat="1" ht="16.5" customHeight="1">
      <c r="B37" s="124"/>
      <c r="C37" s="769"/>
      <c r="D37" s="848"/>
      <c r="E37" s="832"/>
      <c r="F37" s="849"/>
      <c r="G37" s="626">
        <f t="shared" si="0"/>
        <v>0</v>
      </c>
      <c r="H37" s="835"/>
      <c r="I37" s="787"/>
      <c r="J37" s="71">
        <f t="shared" si="1"/>
      </c>
      <c r="K37" s="28">
        <f t="shared" si="2"/>
      </c>
      <c r="L37" s="789"/>
      <c r="M37" s="816">
        <f t="shared" si="3"/>
      </c>
      <c r="N37" s="791">
        <f t="shared" si="4"/>
      </c>
      <c r="O37" s="852">
        <f t="shared" si="5"/>
        <v>20</v>
      </c>
      <c r="P37" s="853" t="str">
        <f t="shared" si="6"/>
        <v>--</v>
      </c>
      <c r="Q37" s="854" t="str">
        <f t="shared" si="7"/>
        <v>--</v>
      </c>
      <c r="R37" s="855" t="str">
        <f t="shared" si="8"/>
        <v>--</v>
      </c>
      <c r="S37" s="856" t="str">
        <f t="shared" si="9"/>
        <v>--</v>
      </c>
      <c r="T37" s="791">
        <f t="shared" si="10"/>
      </c>
      <c r="U37" s="74">
        <f t="shared" si="11"/>
      </c>
      <c r="V37" s="128"/>
    </row>
    <row r="38" spans="2:22" s="16" customFormat="1" ht="16.5" customHeight="1">
      <c r="B38" s="124"/>
      <c r="C38" s="769"/>
      <c r="D38" s="848"/>
      <c r="E38" s="832"/>
      <c r="F38" s="849"/>
      <c r="G38" s="626">
        <f t="shared" si="0"/>
        <v>0</v>
      </c>
      <c r="H38" s="835"/>
      <c r="I38" s="787"/>
      <c r="J38" s="71">
        <f t="shared" si="1"/>
      </c>
      <c r="K38" s="28">
        <f t="shared" si="2"/>
      </c>
      <c r="L38" s="789"/>
      <c r="M38" s="816">
        <f t="shared" si="3"/>
      </c>
      <c r="N38" s="791">
        <f t="shared" si="4"/>
      </c>
      <c r="O38" s="852">
        <f t="shared" si="5"/>
        <v>20</v>
      </c>
      <c r="P38" s="853" t="str">
        <f t="shared" si="6"/>
        <v>--</v>
      </c>
      <c r="Q38" s="854" t="str">
        <f t="shared" si="7"/>
        <v>--</v>
      </c>
      <c r="R38" s="855" t="str">
        <f t="shared" si="8"/>
        <v>--</v>
      </c>
      <c r="S38" s="856" t="str">
        <f t="shared" si="9"/>
        <v>--</v>
      </c>
      <c r="T38" s="791">
        <f t="shared" si="10"/>
      </c>
      <c r="U38" s="74">
        <f t="shared" si="11"/>
      </c>
      <c r="V38" s="128"/>
    </row>
    <row r="39" spans="2:22" s="16" customFormat="1" ht="16.5" customHeight="1" thickBot="1">
      <c r="B39" s="124"/>
      <c r="C39" s="778"/>
      <c r="D39" s="850"/>
      <c r="E39" s="834"/>
      <c r="F39" s="851"/>
      <c r="G39" s="349"/>
      <c r="H39" s="837"/>
      <c r="I39" s="837"/>
      <c r="J39" s="75"/>
      <c r="K39" s="75"/>
      <c r="L39" s="837"/>
      <c r="M39" s="803"/>
      <c r="N39" s="788"/>
      <c r="O39" s="857"/>
      <c r="P39" s="858"/>
      <c r="Q39" s="859"/>
      <c r="R39" s="860"/>
      <c r="S39" s="861"/>
      <c r="T39" s="788"/>
      <c r="U39" s="264"/>
      <c r="V39" s="128"/>
    </row>
    <row r="40" spans="2:22" s="16" customFormat="1" ht="16.5" customHeight="1" thickBot="1" thickTop="1">
      <c r="B40" s="124"/>
      <c r="C40" s="269" t="s">
        <v>95</v>
      </c>
      <c r="D40" s="270" t="s">
        <v>96</v>
      </c>
      <c r="G40" s="14"/>
      <c r="H40" s="14"/>
      <c r="I40" s="14"/>
      <c r="J40" s="14"/>
      <c r="K40" s="14"/>
      <c r="L40" s="14"/>
      <c r="M40" s="14"/>
      <c r="N40" s="14"/>
      <c r="O40" s="14"/>
      <c r="P40" s="518">
        <f>SUM(P20:P39)</f>
        <v>4700.773</v>
      </c>
      <c r="Q40" s="525">
        <f>SUM(Q20:Q39)</f>
        <v>2263.7999999999997</v>
      </c>
      <c r="R40" s="526">
        <f>SUM(R20:R39)</f>
        <v>15748.501999999999</v>
      </c>
      <c r="S40" s="530">
        <f>SUM(S20:S39)</f>
        <v>0</v>
      </c>
      <c r="U40" s="77">
        <f>ROUND(SUM(U20:U39),2)</f>
        <v>22713.08</v>
      </c>
      <c r="V40" s="239"/>
    </row>
    <row r="41" spans="2:22" s="273" customFormat="1" ht="9.75" thickTop="1">
      <c r="B41" s="274"/>
      <c r="C41" s="271"/>
      <c r="D41" s="272" t="s">
        <v>97</v>
      </c>
      <c r="G41" s="290"/>
      <c r="H41" s="290"/>
      <c r="I41" s="290"/>
      <c r="J41" s="290"/>
      <c r="K41" s="290"/>
      <c r="L41" s="290"/>
      <c r="M41" s="290"/>
      <c r="N41" s="290"/>
      <c r="O41" s="290"/>
      <c r="P41" s="288"/>
      <c r="Q41" s="288"/>
      <c r="R41" s="288"/>
      <c r="S41" s="288"/>
      <c r="U41" s="291"/>
      <c r="V41" s="292"/>
    </row>
    <row r="42" spans="2:22" s="16" customFormat="1" ht="16.5" customHeight="1" thickBot="1"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5"/>
    </row>
    <row r="43" spans="4:24" ht="16.5" customHeight="1" thickTop="1">
      <c r="D43" s="6"/>
      <c r="E43" s="6"/>
      <c r="F43" s="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4:24" ht="16.5" customHeight="1">
      <c r="D44" s="6"/>
      <c r="E44" s="6"/>
      <c r="F44" s="6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4:24" ht="16.5" customHeight="1">
      <c r="D45" s="6"/>
      <c r="E45" s="6"/>
      <c r="F45" s="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4:24" ht="16.5" customHeight="1">
      <c r="D46" s="6"/>
      <c r="E46" s="6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4:24" ht="16.5" customHeight="1">
      <c r="D47" s="6"/>
      <c r="E47" s="6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4:24" ht="16.5" customHeight="1">
      <c r="D48" s="6"/>
      <c r="E48" s="6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4:24" ht="16.5" customHeight="1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4:24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4:24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4:24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4:24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4:24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4:24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4:24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4:24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4:24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4:24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4:24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4:24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4:24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4:24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4:24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4:24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4:24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4:24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4:24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4:24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4:24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4:24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4:24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4:24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4:24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4:24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4:24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4:24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4:24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4:24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4:24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4:24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4:24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4:24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4:24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4:24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4:24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4:24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4:24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4:24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4:24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4:24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4:24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4:24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4:24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4:24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4:24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4:24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4:24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4:24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4:24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4:24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4:24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4:24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4:24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4:24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4:24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4:24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4:24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4:24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4:24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4:24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4:24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4:24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4:24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4:24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4:24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4:24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4:24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4:24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4:24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4:24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4:24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4:24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4:24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4:24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4:24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4:24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4:24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4:24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4:24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4:24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4:24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4:24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4:24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4:24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4:24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4:24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4:24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4:24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4:24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4:24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4:24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4:24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4:24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4:24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4:24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4:24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4:24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4:24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4:24" ht="16.5" customHeight="1">
      <c r="D150" s="5"/>
      <c r="E150" s="5"/>
      <c r="F150" s="5"/>
      <c r="W150" s="5"/>
      <c r="X150" s="5"/>
    </row>
    <row r="151" spans="4:6" ht="16.5" customHeight="1">
      <c r="D151" s="5"/>
      <c r="E151" s="5"/>
      <c r="F151" s="5"/>
    </row>
    <row r="152" spans="4:6" ht="16.5" customHeight="1">
      <c r="D152" s="5"/>
      <c r="E152" s="5"/>
      <c r="F152" s="5"/>
    </row>
    <row r="153" spans="4:6" ht="16.5" customHeight="1">
      <c r="D153" s="5"/>
      <c r="E153" s="5"/>
      <c r="F153" s="5"/>
    </row>
    <row r="154" spans="4:6" ht="16.5" customHeight="1">
      <c r="D154" s="5"/>
      <c r="E154" s="5"/>
      <c r="F154" s="5"/>
    </row>
    <row r="155" spans="4:6" ht="16.5" customHeight="1">
      <c r="D155" s="5"/>
      <c r="E155" s="5"/>
      <c r="F155" s="5"/>
    </row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G66"/>
  <sheetViews>
    <sheetView zoomScale="75" zoomScaleNormal="75" workbookViewId="0" topLeftCell="A9">
      <selection activeCell="G32" sqref="G32"/>
    </sheetView>
  </sheetViews>
  <sheetFormatPr defaultColWidth="11.421875" defaultRowHeight="12.75"/>
  <cols>
    <col min="1" max="2" width="15.7109375" style="0" customWidth="1"/>
    <col min="3" max="3" width="7.4218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13.8515625" style="0" hidden="1" customWidth="1"/>
    <col min="9" max="9" width="18.710937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7109375" style="0" customWidth="1"/>
    <col min="18" max="18" width="13.140625" style="0" hidden="1" customWidth="1"/>
    <col min="19" max="19" width="12.421875" style="0" hidden="1" customWidth="1"/>
    <col min="20" max="20" width="17.57421875" style="0" hidden="1" customWidth="1"/>
    <col min="21" max="21" width="14.8515625" style="0" hidden="1" customWidth="1"/>
    <col min="22" max="22" width="20.7109375" style="0" hidden="1" customWidth="1"/>
    <col min="23" max="23" width="15.7109375" style="0" hidden="1" customWidth="1"/>
    <col min="24" max="24" width="17.7109375" style="0" hidden="1" customWidth="1"/>
    <col min="25" max="25" width="12.8515625" style="0" hidden="1" customWidth="1"/>
    <col min="26" max="26" width="14.28125" style="0" hidden="1" customWidth="1"/>
    <col min="27" max="27" width="24.28125" style="0" hidden="1" customWidth="1"/>
    <col min="28" max="28" width="9.7109375" style="0" customWidth="1"/>
    <col min="29" max="29" width="13.7109375" style="0" customWidth="1"/>
    <col min="30" max="30" width="1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61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AD1" s="754"/>
    </row>
    <row r="2" spans="1:23" ht="27" customHeight="1">
      <c r="A2" s="61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30" s="639" customFormat="1" ht="30.75">
      <c r="A3" s="636"/>
      <c r="B3" s="637" t="str">
        <f>+'tot-0402'!B2</f>
        <v>ANEXO I-1 a la Resolución ENRE N°            1107 /2006    .-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AB3" s="638"/>
      <c r="AC3" s="638"/>
      <c r="AD3" s="638"/>
    </row>
    <row r="4" spans="1:2" s="99" customFormat="1" ht="11.25">
      <c r="A4" s="97" t="s">
        <v>52</v>
      </c>
      <c r="B4" s="97"/>
    </row>
    <row r="5" spans="1:2" s="99" customFormat="1" ht="11.25">
      <c r="A5" s="97" t="s">
        <v>53</v>
      </c>
      <c r="B5" s="97"/>
    </row>
    <row r="6" s="99" customFormat="1" ht="12" thickBot="1">
      <c r="A6" s="97"/>
    </row>
    <row r="7" spans="1:30" ht="16.5" customHeight="1" thickTop="1">
      <c r="A7" s="16"/>
      <c r="B7" s="143"/>
      <c r="C7" s="144"/>
      <c r="D7" s="144"/>
      <c r="E7" s="145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341"/>
      <c r="X7" s="341"/>
      <c r="Y7" s="341"/>
      <c r="Z7" s="341"/>
      <c r="AA7" s="341"/>
      <c r="AB7" s="341"/>
      <c r="AC7" s="341"/>
      <c r="AD7" s="146"/>
    </row>
    <row r="8" spans="1:30" ht="20.25">
      <c r="A8" s="16"/>
      <c r="B8" s="124"/>
      <c r="C8" s="14"/>
      <c r="D8" s="7" t="s">
        <v>125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293"/>
      <c r="Q8" s="293"/>
      <c r="R8" s="14"/>
      <c r="S8" s="14"/>
      <c r="T8" s="14"/>
      <c r="U8" s="14"/>
      <c r="V8" s="14"/>
      <c r="AD8" s="147"/>
    </row>
    <row r="9" spans="1:30" ht="16.5" customHeight="1">
      <c r="A9" s="16"/>
      <c r="B9" s="12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AD9" s="147"/>
    </row>
    <row r="10" spans="2:30" s="15" customFormat="1" ht="20.25">
      <c r="B10" s="119"/>
      <c r="C10" s="118"/>
      <c r="D10" s="7" t="s">
        <v>126</v>
      </c>
      <c r="E10" s="118"/>
      <c r="F10" s="118"/>
      <c r="G10" s="118"/>
      <c r="H10" s="118"/>
      <c r="N10" s="118"/>
      <c r="O10" s="118"/>
      <c r="P10" s="361"/>
      <c r="Q10" s="361"/>
      <c r="R10" s="118"/>
      <c r="S10" s="118"/>
      <c r="T10" s="118"/>
      <c r="U10" s="118"/>
      <c r="V10" s="118"/>
      <c r="W10"/>
      <c r="X10" s="118"/>
      <c r="Y10" s="118"/>
      <c r="Z10" s="118"/>
      <c r="AA10" s="118"/>
      <c r="AB10" s="118"/>
      <c r="AC10"/>
      <c r="AD10" s="362"/>
    </row>
    <row r="11" spans="1:30" ht="16.5" customHeight="1">
      <c r="A11" s="16"/>
      <c r="B11" s="12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AD11" s="147"/>
    </row>
    <row r="12" spans="2:30" s="15" customFormat="1" ht="20.25">
      <c r="B12" s="119"/>
      <c r="C12" s="118"/>
      <c r="D12" s="7" t="s">
        <v>181</v>
      </c>
      <c r="E12" s="118"/>
      <c r="F12" s="118"/>
      <c r="G12" s="118"/>
      <c r="H12" s="118"/>
      <c r="N12" s="118"/>
      <c r="O12" s="118"/>
      <c r="P12" s="361"/>
      <c r="Q12" s="361"/>
      <c r="R12" s="118"/>
      <c r="S12" s="118"/>
      <c r="T12" s="118"/>
      <c r="U12" s="118"/>
      <c r="V12" s="118"/>
      <c r="W12"/>
      <c r="X12" s="118"/>
      <c r="Y12" s="118"/>
      <c r="Z12" s="118"/>
      <c r="AA12" s="118"/>
      <c r="AB12" s="118"/>
      <c r="AC12"/>
      <c r="AD12" s="362"/>
    </row>
    <row r="13" spans="1:30" ht="16.5" customHeight="1">
      <c r="A13" s="16"/>
      <c r="B13" s="124"/>
      <c r="C13" s="14"/>
      <c r="D13" s="14"/>
      <c r="E13" s="16"/>
      <c r="F13" s="16"/>
      <c r="G13" s="16"/>
      <c r="H13" s="16"/>
      <c r="I13" s="148"/>
      <c r="J13" s="148"/>
      <c r="K13" s="148"/>
      <c r="L13" s="148"/>
      <c r="M13" s="148"/>
      <c r="N13" s="148"/>
      <c r="O13" s="148"/>
      <c r="P13" s="148"/>
      <c r="Q13" s="148"/>
      <c r="R13" s="14"/>
      <c r="S13" s="14"/>
      <c r="T13" s="14"/>
      <c r="U13" s="14"/>
      <c r="V13" s="14"/>
      <c r="AD13" s="147"/>
    </row>
    <row r="14" spans="2:30" s="15" customFormat="1" ht="19.5">
      <c r="B14" s="112" t="str">
        <f>+'tot-0402'!B14</f>
        <v>Desde el 01 al 29 de febrero de 2004</v>
      </c>
      <c r="C14" s="113"/>
      <c r="D14" s="115"/>
      <c r="E14" s="115"/>
      <c r="F14" s="115"/>
      <c r="G14" s="115"/>
      <c r="H14" s="115"/>
      <c r="I14" s="116"/>
      <c r="J14" s="4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364"/>
      <c r="V14" s="364"/>
      <c r="W14"/>
      <c r="X14" s="365"/>
      <c r="Y14" s="365"/>
      <c r="Z14" s="365"/>
      <c r="AA14" s="365"/>
      <c r="AB14" s="364"/>
      <c r="AC14" s="4"/>
      <c r="AD14" s="117"/>
    </row>
    <row r="15" spans="1:30" ht="16.5" customHeight="1">
      <c r="A15" s="16"/>
      <c r="B15" s="124"/>
      <c r="C15" s="14"/>
      <c r="D15" s="14"/>
      <c r="E15" s="2"/>
      <c r="F15" s="2"/>
      <c r="G15" s="14"/>
      <c r="H15" s="14"/>
      <c r="I15" s="14"/>
      <c r="J15" s="294"/>
      <c r="K15" s="14"/>
      <c r="L15" s="14"/>
      <c r="M15" s="14"/>
      <c r="N15" s="16"/>
      <c r="O15" s="16"/>
      <c r="P15" s="14"/>
      <c r="Q15" s="14"/>
      <c r="R15" s="14"/>
      <c r="S15" s="14"/>
      <c r="T15" s="14"/>
      <c r="U15" s="14"/>
      <c r="V15" s="14"/>
      <c r="AD15" s="147"/>
    </row>
    <row r="16" spans="1:30" ht="16.5" customHeight="1">
      <c r="A16" s="16"/>
      <c r="B16" s="124"/>
      <c r="C16" s="14"/>
      <c r="D16" s="14"/>
      <c r="E16" s="2"/>
      <c r="F16" s="2"/>
      <c r="G16" s="14"/>
      <c r="H16" s="14"/>
      <c r="I16" s="295"/>
      <c r="J16" s="14"/>
      <c r="K16" s="12"/>
      <c r="M16" s="14"/>
      <c r="N16" s="16"/>
      <c r="O16" s="16"/>
      <c r="P16" s="14"/>
      <c r="Q16" s="14"/>
      <c r="R16" s="14"/>
      <c r="S16" s="14"/>
      <c r="T16" s="14"/>
      <c r="U16" s="14"/>
      <c r="V16" s="14"/>
      <c r="AD16" s="147"/>
    </row>
    <row r="17" spans="1:30" ht="16.5" customHeight="1">
      <c r="A17" s="16"/>
      <c r="B17" s="124"/>
      <c r="C17" s="14"/>
      <c r="D17" s="14"/>
      <c r="E17" s="2"/>
      <c r="F17" s="2"/>
      <c r="G17" s="14"/>
      <c r="H17" s="14"/>
      <c r="I17" s="295"/>
      <c r="J17" s="14"/>
      <c r="K17" s="12"/>
      <c r="M17" s="14"/>
      <c r="N17" s="16"/>
      <c r="O17" s="16"/>
      <c r="P17" s="14"/>
      <c r="Q17" s="14"/>
      <c r="R17" s="14"/>
      <c r="S17" s="14"/>
      <c r="T17" s="14"/>
      <c r="U17" s="14"/>
      <c r="V17" s="14"/>
      <c r="AD17" s="147"/>
    </row>
    <row r="18" spans="1:30" ht="16.5" customHeight="1">
      <c r="A18" s="16"/>
      <c r="B18" s="124"/>
      <c r="C18" s="606" t="s">
        <v>127</v>
      </c>
      <c r="D18" s="13" t="s">
        <v>128</v>
      </c>
      <c r="E18" s="2"/>
      <c r="F18" s="2"/>
      <c r="G18" s="14"/>
      <c r="H18" s="14"/>
      <c r="I18" s="14"/>
      <c r="J18" s="294"/>
      <c r="K18" s="14"/>
      <c r="L18" s="14"/>
      <c r="M18" s="14"/>
      <c r="N18" s="16"/>
      <c r="O18" s="16"/>
      <c r="P18" s="14"/>
      <c r="Q18" s="14"/>
      <c r="R18" s="14"/>
      <c r="S18" s="14"/>
      <c r="T18" s="14"/>
      <c r="U18" s="14"/>
      <c r="V18" s="14"/>
      <c r="AD18" s="147"/>
    </row>
    <row r="19" spans="2:30" s="106" customFormat="1" ht="16.5" customHeight="1">
      <c r="B19" s="314"/>
      <c r="C19" s="108"/>
      <c r="D19" s="576"/>
      <c r="E19" s="577"/>
      <c r="F19" s="308"/>
      <c r="G19" s="108"/>
      <c r="H19" s="108"/>
      <c r="I19" s="108"/>
      <c r="J19" s="597"/>
      <c r="K19" s="108"/>
      <c r="L19" s="108"/>
      <c r="M19" s="108"/>
      <c r="P19" s="108"/>
      <c r="Q19" s="108"/>
      <c r="R19" s="108"/>
      <c r="S19" s="108"/>
      <c r="T19" s="108"/>
      <c r="U19" s="108"/>
      <c r="V19" s="108"/>
      <c r="W19"/>
      <c r="AD19" s="598"/>
    </row>
    <row r="20" spans="2:30" s="106" customFormat="1" ht="16.5" customHeight="1">
      <c r="B20" s="314"/>
      <c r="C20" s="108"/>
      <c r="D20" s="578" t="s">
        <v>129</v>
      </c>
      <c r="F20" s="628">
        <v>56.353</v>
      </c>
      <c r="G20" s="578" t="s">
        <v>130</v>
      </c>
      <c r="H20" s="108"/>
      <c r="I20" s="108"/>
      <c r="J20" s="298"/>
      <c r="K20" s="580" t="s">
        <v>131</v>
      </c>
      <c r="L20" s="581">
        <v>0.0065</v>
      </c>
      <c r="R20" s="108"/>
      <c r="S20" s="108"/>
      <c r="T20" s="108"/>
      <c r="U20" s="108"/>
      <c r="V20" s="108"/>
      <c r="W20"/>
      <c r="AD20" s="598"/>
    </row>
    <row r="21" spans="2:30" s="106" customFormat="1" ht="16.5" customHeight="1">
      <c r="B21" s="314"/>
      <c r="C21" s="108"/>
      <c r="D21" s="709" t="s">
        <v>161</v>
      </c>
      <c r="E21" s="709"/>
      <c r="F21" s="579">
        <v>4120052</v>
      </c>
      <c r="G21" s="579"/>
      <c r="H21" s="108"/>
      <c r="I21" s="108"/>
      <c r="J21" s="108"/>
      <c r="K21" s="576" t="s">
        <v>133</v>
      </c>
      <c r="L21" s="108">
        <f>MID(B14,16,2)*24</f>
        <v>696</v>
      </c>
      <c r="M21" s="108" t="s">
        <v>134</v>
      </c>
      <c r="N21" s="108"/>
      <c r="O21" s="757"/>
      <c r="P21" s="758"/>
      <c r="Q21" s="14"/>
      <c r="R21" s="108"/>
      <c r="S21" s="108"/>
      <c r="T21" s="108"/>
      <c r="U21" s="108"/>
      <c r="V21" s="108"/>
      <c r="W21"/>
      <c r="AD21" s="598"/>
    </row>
    <row r="22" spans="2:30" s="106" customFormat="1" ht="16.5" customHeight="1">
      <c r="B22" s="314"/>
      <c r="C22" s="108"/>
      <c r="D22" s="108"/>
      <c r="E22" s="310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/>
      <c r="AD22" s="598"/>
    </row>
    <row r="23" spans="1:30" ht="16.5" customHeight="1">
      <c r="A23" s="16"/>
      <c r="B23" s="124"/>
      <c r="C23" s="606" t="s">
        <v>135</v>
      </c>
      <c r="D23" s="107" t="s">
        <v>136</v>
      </c>
      <c r="I23" s="14"/>
      <c r="J23" s="106"/>
      <c r="O23" s="14"/>
      <c r="P23" s="14"/>
      <c r="Q23" s="14"/>
      <c r="R23" s="14"/>
      <c r="S23" s="14"/>
      <c r="T23" s="14"/>
      <c r="V23" s="14"/>
      <c r="X23" s="14"/>
      <c r="Y23" s="14"/>
      <c r="Z23" s="14"/>
      <c r="AA23" s="14"/>
      <c r="AB23" s="14"/>
      <c r="AC23" s="14"/>
      <c r="AD23" s="147"/>
    </row>
    <row r="24" spans="1:30" ht="10.5" customHeight="1" thickBot="1">
      <c r="A24" s="16"/>
      <c r="B24" s="124"/>
      <c r="C24" s="2"/>
      <c r="D24" s="107"/>
      <c r="I24" s="14"/>
      <c r="J24" s="106"/>
      <c r="O24" s="14"/>
      <c r="P24" s="14"/>
      <c r="Q24" s="14"/>
      <c r="R24" s="14"/>
      <c r="S24" s="14"/>
      <c r="T24" s="14"/>
      <c r="V24" s="14"/>
      <c r="X24" s="14"/>
      <c r="Y24" s="14"/>
      <c r="Z24" s="14"/>
      <c r="AA24" s="14"/>
      <c r="AB24" s="14"/>
      <c r="AC24" s="14"/>
      <c r="AD24" s="147"/>
    </row>
    <row r="25" spans="2:30" s="106" customFormat="1" ht="16.5" customHeight="1" thickBot="1" thickTop="1">
      <c r="B25" s="314"/>
      <c r="C25" s="308"/>
      <c r="D25"/>
      <c r="E25"/>
      <c r="F25"/>
      <c r="G25"/>
      <c r="H25"/>
      <c r="I25"/>
      <c r="J25" s="640" t="s">
        <v>137</v>
      </c>
      <c r="K25" s="641">
        <f>F21*L20</f>
        <v>26780.338</v>
      </c>
      <c r="L25"/>
      <c r="S25"/>
      <c r="T25"/>
      <c r="U25"/>
      <c r="W25"/>
      <c r="AD25" s="598"/>
    </row>
    <row r="26" spans="2:30" s="106" customFormat="1" ht="11.25" customHeight="1" thickTop="1">
      <c r="B26" s="314"/>
      <c r="C26" s="308"/>
      <c r="D26" s="108"/>
      <c r="E26" s="310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/>
      <c r="W26"/>
      <c r="AD26" s="598"/>
    </row>
    <row r="27" spans="1:30" ht="16.5" customHeight="1">
      <c r="A27" s="16"/>
      <c r="B27" s="124"/>
      <c r="C27" s="606" t="s">
        <v>138</v>
      </c>
      <c r="D27" s="107" t="s">
        <v>139</v>
      </c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AD27" s="147"/>
    </row>
    <row r="28" spans="1:30" ht="21.75" customHeight="1" thickBot="1">
      <c r="A28" s="16"/>
      <c r="B28" s="124"/>
      <c r="C28" s="14"/>
      <c r="D28" s="14"/>
      <c r="E28" s="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AD28" s="147"/>
    </row>
    <row r="29" spans="2:31" s="16" customFormat="1" ht="33.75" customHeight="1" thickBot="1" thickTop="1">
      <c r="B29" s="124"/>
      <c r="C29" s="164" t="s">
        <v>73</v>
      </c>
      <c r="D29" s="363" t="s">
        <v>55</v>
      </c>
      <c r="E29" s="169" t="s">
        <v>74</v>
      </c>
      <c r="F29" s="170" t="s">
        <v>75</v>
      </c>
      <c r="G29" s="165" t="s">
        <v>76</v>
      </c>
      <c r="H29" s="440" t="s">
        <v>77</v>
      </c>
      <c r="I29" s="496" t="s">
        <v>78</v>
      </c>
      <c r="J29" s="166" t="s">
        <v>79</v>
      </c>
      <c r="K29" s="167" t="s">
        <v>80</v>
      </c>
      <c r="L29" s="171" t="s">
        <v>81</v>
      </c>
      <c r="M29" s="172" t="s">
        <v>82</v>
      </c>
      <c r="N29" s="171" t="s">
        <v>140</v>
      </c>
      <c r="O29" s="171" t="s">
        <v>84</v>
      </c>
      <c r="P29" s="167" t="s">
        <v>85</v>
      </c>
      <c r="Q29" s="166" t="s">
        <v>86</v>
      </c>
      <c r="R29" s="552" t="s">
        <v>87</v>
      </c>
      <c r="S29" s="553" t="s">
        <v>88</v>
      </c>
      <c r="T29" s="548" t="s">
        <v>100</v>
      </c>
      <c r="U29" s="549"/>
      <c r="V29" s="550"/>
      <c r="W29" s="554" t="s">
        <v>141</v>
      </c>
      <c r="X29" s="555"/>
      <c r="Y29" s="556"/>
      <c r="Z29" s="558" t="s">
        <v>91</v>
      </c>
      <c r="AA29" s="560" t="s">
        <v>98</v>
      </c>
      <c r="AB29" s="173" t="s">
        <v>93</v>
      </c>
      <c r="AC29" s="208" t="s">
        <v>94</v>
      </c>
      <c r="AD29" s="151"/>
      <c r="AE29"/>
    </row>
    <row r="30" spans="1:30" ht="16.5" customHeight="1" thickTop="1">
      <c r="A30" s="16"/>
      <c r="B30" s="124"/>
      <c r="C30" s="300"/>
      <c r="D30" s="300"/>
      <c r="E30" s="301"/>
      <c r="F30" s="302"/>
      <c r="G30" s="543"/>
      <c r="H30" s="544"/>
      <c r="I30" s="545"/>
      <c r="J30" s="541"/>
      <c r="K30" s="303"/>
      <c r="L30" s="20"/>
      <c r="M30" s="20"/>
      <c r="N30" s="79"/>
      <c r="O30" s="79"/>
      <c r="P30" s="20"/>
      <c r="Q30" s="439"/>
      <c r="R30" s="642"/>
      <c r="S30" s="643"/>
      <c r="T30" s="644"/>
      <c r="U30" s="604"/>
      <c r="V30" s="645"/>
      <c r="W30" s="646"/>
      <c r="X30" s="647"/>
      <c r="Y30" s="648"/>
      <c r="Z30" s="649"/>
      <c r="AA30" s="650"/>
      <c r="AB30" s="651"/>
      <c r="AC30" s="652"/>
      <c r="AD30" s="147"/>
    </row>
    <row r="31" spans="1:30" ht="16.5" customHeight="1">
      <c r="A31" s="16"/>
      <c r="B31" s="124"/>
      <c r="C31" s="769" t="s">
        <v>203</v>
      </c>
      <c r="D31" s="29" t="s">
        <v>9</v>
      </c>
      <c r="E31" s="29">
        <v>500</v>
      </c>
      <c r="F31" s="29">
        <v>3.6</v>
      </c>
      <c r="G31" s="435" t="s">
        <v>2</v>
      </c>
      <c r="H31" s="542">
        <f>IF(G31="A",200,IF(G31="B",60,20))</f>
        <v>20</v>
      </c>
      <c r="I31" s="539">
        <f>IF(F31&gt;100,F31,100)*$F$20/100</f>
        <v>56.353</v>
      </c>
      <c r="J31" s="864">
        <v>38034.10486111111</v>
      </c>
      <c r="K31" s="863">
        <v>38034.118055555555</v>
      </c>
      <c r="L31" s="653">
        <f>IF(D31="","",(K31-J31)*24)</f>
        <v>0.3166666666511446</v>
      </c>
      <c r="M31" s="28">
        <f>IF(D31="","",ROUND((K31-J31)*24*60,0))</f>
        <v>19</v>
      </c>
      <c r="N31" s="25" t="s">
        <v>197</v>
      </c>
      <c r="O31" s="26" t="str">
        <f>IF(D31="","","--")</f>
        <v>--</v>
      </c>
      <c r="P31" s="22" t="str">
        <f>IF(D31="","","NO")</f>
        <v>NO</v>
      </c>
      <c r="Q31" s="22" t="str">
        <f>IF(D31="","",IF(OR(N31="P",N31="RP"),"--","NO"))</f>
        <v>NO</v>
      </c>
      <c r="R31" s="654" t="str">
        <f>IF(N31="P",+I31*H31*ROUND(M31/60,2)/100,"--")</f>
        <v>--</v>
      </c>
      <c r="S31" s="655" t="str">
        <f>IF(N31="RP",I31*H31*ROUND(M31/60,2)*0.01*O31/100,"--")</f>
        <v>--</v>
      </c>
      <c r="T31" s="656">
        <f>IF(AND(N31="F",Q31="NO"),IF(P31="SI",1.2,1)*I31*H31,"--")</f>
        <v>1127.06</v>
      </c>
      <c r="U31" s="657">
        <f>IF(AND(M31&gt;10,N31="F"),IF(M31&lt;=300,ROUND(M31/60,2),5)*I31*H31*IF(P31="SI",1.2,1),"--")</f>
        <v>360.6592</v>
      </c>
      <c r="V31" s="658" t="str">
        <f>IF(AND(N31="F",M31&gt;300),IF(P31="SI",1.2,1)*(ROUND(M31/60,2)-5)*I31*H31*0.1,"--")</f>
        <v>--</v>
      </c>
      <c r="W31" s="659" t="str">
        <f>IF(AND(N31="R",Q31="NO"),IF(P31="SI",1.2,1)*I31*H31*O31/100,"--")</f>
        <v>--</v>
      </c>
      <c r="X31" s="660" t="str">
        <f>IF(AND(M31&gt;10,N31="R"),IF(M31&lt;=300,ROUND(M31/60,2),5)*I31*H31*O31/100*IF(P31="SI",1.2,1),"--")</f>
        <v>--</v>
      </c>
      <c r="Y31" s="661" t="str">
        <f>IF(AND(N31="R",M31&gt;300),IF(P31="SI",1.2,1)*(ROUND(M31/60,2)-5)*I31*H31*O31/100*0.1,"--")</f>
        <v>--</v>
      </c>
      <c r="Z31" s="662" t="str">
        <f>IF(N31="RF",IF(P31="SI",1.2,1)*ROUND(M31/60,2)*I31*H31*0.1,"--")</f>
        <v>--</v>
      </c>
      <c r="AA31" s="663" t="str">
        <f>IF(N31="RR",IF(P31="SI",1.2,1)*ROUND(M31/60,2)*I31*H31*O31/100*0.1,"--")</f>
        <v>--</v>
      </c>
      <c r="AB31" s="350" t="str">
        <f>IF(D31="","","SI")</f>
        <v>SI</v>
      </c>
      <c r="AC31" s="27">
        <f>IF(D31="","",SUM(R31:AA31)*IF(AB31="SI",1,2))</f>
        <v>1487.7192</v>
      </c>
      <c r="AD31" s="152"/>
    </row>
    <row r="32" spans="1:30" ht="16.5" customHeight="1" thickBot="1">
      <c r="A32" s="106"/>
      <c r="B32" s="124"/>
      <c r="C32" s="299"/>
      <c r="D32" s="299"/>
      <c r="E32" s="304"/>
      <c r="F32" s="305"/>
      <c r="G32" s="306"/>
      <c r="H32" s="538"/>
      <c r="I32" s="540"/>
      <c r="J32" s="307"/>
      <c r="K32" s="307"/>
      <c r="L32" s="30"/>
      <c r="M32" s="30"/>
      <c r="N32" s="30"/>
      <c r="O32" s="31"/>
      <c r="P32" s="30"/>
      <c r="Q32" s="30"/>
      <c r="R32" s="664"/>
      <c r="S32" s="665"/>
      <c r="T32" s="666"/>
      <c r="U32" s="667"/>
      <c r="V32" s="668"/>
      <c r="W32" s="669"/>
      <c r="X32" s="670"/>
      <c r="Y32" s="671"/>
      <c r="Z32" s="672"/>
      <c r="AA32" s="673"/>
      <c r="AB32" s="32"/>
      <c r="AC32" s="674"/>
      <c r="AD32" s="152"/>
    </row>
    <row r="33" spans="1:30" ht="16.5" customHeight="1" thickBot="1" thickTop="1">
      <c r="A33" s="106"/>
      <c r="B33" s="124"/>
      <c r="C33" s="308"/>
      <c r="D33" s="308"/>
      <c r="E33" s="309"/>
      <c r="F33" s="310"/>
      <c r="G33" s="297"/>
      <c r="H33" s="297"/>
      <c r="I33" s="311"/>
      <c r="J33" s="311"/>
      <c r="K33" s="311"/>
      <c r="L33" s="311"/>
      <c r="M33" s="311"/>
      <c r="N33" s="311"/>
      <c r="O33" s="312"/>
      <c r="P33" s="311"/>
      <c r="Q33" s="311"/>
      <c r="R33" s="546">
        <f aca="true" t="shared" si="0" ref="R33:AA33">SUM(R30:R32)</f>
        <v>0</v>
      </c>
      <c r="S33" s="547">
        <f t="shared" si="0"/>
        <v>0</v>
      </c>
      <c r="T33" s="551">
        <f t="shared" si="0"/>
        <v>1127.06</v>
      </c>
      <c r="U33" s="551">
        <f t="shared" si="0"/>
        <v>360.6592</v>
      </c>
      <c r="V33" s="551">
        <f t="shared" si="0"/>
        <v>0</v>
      </c>
      <c r="W33" s="557">
        <f t="shared" si="0"/>
        <v>0</v>
      </c>
      <c r="X33" s="557">
        <f t="shared" si="0"/>
        <v>0</v>
      </c>
      <c r="Y33" s="557">
        <f t="shared" si="0"/>
        <v>0</v>
      </c>
      <c r="Z33" s="559">
        <f t="shared" si="0"/>
        <v>0</v>
      </c>
      <c r="AA33" s="561">
        <f t="shared" si="0"/>
        <v>0</v>
      </c>
      <c r="AB33" s="313"/>
      <c r="AC33" s="675">
        <f>SUM(AC30:AC32)</f>
        <v>1487.7192</v>
      </c>
      <c r="AD33" s="152"/>
    </row>
    <row r="34" spans="1:30" ht="13.5" customHeight="1" hidden="1" thickBot="1" thickTop="1">
      <c r="A34" s="106"/>
      <c r="B34" s="124"/>
      <c r="C34" s="308"/>
      <c r="D34" s="308"/>
      <c r="E34" s="309"/>
      <c r="F34" s="310"/>
      <c r="G34" s="297"/>
      <c r="H34" s="297"/>
      <c r="I34" s="311"/>
      <c r="J34" s="311"/>
      <c r="K34" s="311"/>
      <c r="L34" s="311"/>
      <c r="M34" s="311"/>
      <c r="N34" s="311"/>
      <c r="O34" s="312"/>
      <c r="P34" s="311"/>
      <c r="Q34" s="311"/>
      <c r="R34" s="676"/>
      <c r="S34" s="677"/>
      <c r="T34" s="678"/>
      <c r="U34" s="678"/>
      <c r="V34" s="678"/>
      <c r="W34" s="676"/>
      <c r="X34" s="676"/>
      <c r="Y34" s="676"/>
      <c r="Z34" s="676"/>
      <c r="AA34" s="676"/>
      <c r="AB34" s="600"/>
      <c r="AC34" s="338"/>
      <c r="AD34" s="152"/>
    </row>
    <row r="35" spans="1:33" s="16" customFormat="1" ht="33.75" customHeight="1" hidden="1" thickBot="1" thickTop="1">
      <c r="A35" s="61"/>
      <c r="B35" s="180"/>
      <c r="C35" s="203" t="s">
        <v>73</v>
      </c>
      <c r="D35" s="206" t="s">
        <v>106</v>
      </c>
      <c r="E35" s="204" t="s">
        <v>43</v>
      </c>
      <c r="F35" s="207" t="s">
        <v>107</v>
      </c>
      <c r="G35" s="208" t="s">
        <v>74</v>
      </c>
      <c r="H35" s="347" t="s">
        <v>78</v>
      </c>
      <c r="I35" s="679"/>
      <c r="J35" s="204" t="s">
        <v>79</v>
      </c>
      <c r="K35" s="204" t="s">
        <v>80</v>
      </c>
      <c r="L35" s="206" t="s">
        <v>108</v>
      </c>
      <c r="M35" s="206" t="s">
        <v>82</v>
      </c>
      <c r="N35" s="171" t="s">
        <v>123</v>
      </c>
      <c r="O35" s="204" t="s">
        <v>86</v>
      </c>
      <c r="P35" s="680" t="s">
        <v>109</v>
      </c>
      <c r="Q35" s="681"/>
      <c r="R35" s="347" t="s">
        <v>142</v>
      </c>
      <c r="S35" s="590" t="s">
        <v>87</v>
      </c>
      <c r="T35" s="582" t="s">
        <v>143</v>
      </c>
      <c r="U35" s="583"/>
      <c r="V35" s="593" t="s">
        <v>91</v>
      </c>
      <c r="W35" s="682"/>
      <c r="X35" s="683"/>
      <c r="Y35" s="683"/>
      <c r="Z35" s="683"/>
      <c r="AA35" s="684"/>
      <c r="AB35" s="174" t="s">
        <v>93</v>
      </c>
      <c r="AC35" s="208" t="s">
        <v>94</v>
      </c>
      <c r="AD35" s="147"/>
      <c r="AF35"/>
      <c r="AG35"/>
    </row>
    <row r="36" spans="1:30" ht="16.5" customHeight="1" hidden="1" thickTop="1">
      <c r="A36" s="16"/>
      <c r="B36" s="124"/>
      <c r="C36" s="44"/>
      <c r="D36" s="44"/>
      <c r="E36" s="44"/>
      <c r="F36" s="44"/>
      <c r="G36" s="366"/>
      <c r="H36" s="563"/>
      <c r="I36" s="685"/>
      <c r="J36" s="44"/>
      <c r="K36" s="44"/>
      <c r="L36" s="44"/>
      <c r="M36" s="44"/>
      <c r="N36" s="44"/>
      <c r="O36" s="367"/>
      <c r="P36" s="686"/>
      <c r="Q36" s="687"/>
      <c r="R36" s="594"/>
      <c r="S36" s="595"/>
      <c r="T36" s="584"/>
      <c r="U36" s="585"/>
      <c r="V36" s="596"/>
      <c r="W36" s="688"/>
      <c r="X36" s="689"/>
      <c r="Y36" s="689"/>
      <c r="Z36" s="689"/>
      <c r="AA36" s="690"/>
      <c r="AB36" s="367"/>
      <c r="AC36" s="368"/>
      <c r="AD36" s="147"/>
    </row>
    <row r="37" spans="1:30" ht="16.5" customHeight="1" hidden="1">
      <c r="A37" s="16"/>
      <c r="B37" s="124"/>
      <c r="C37" s="44"/>
      <c r="D37" s="45"/>
      <c r="E37" s="46"/>
      <c r="F37" s="47"/>
      <c r="G37" s="48"/>
      <c r="H37" s="564" t="e">
        <f>F37*#REF!</f>
        <v>#REF!</v>
      </c>
      <c r="I37" s="691"/>
      <c r="J37" s="51"/>
      <c r="K37" s="51"/>
      <c r="L37" s="52">
        <f>IF(D37="","",(K37-J37)*24)</f>
      </c>
      <c r="M37" s="53">
        <f>IF(D37="","",(K37-J37)*24*60)</f>
      </c>
      <c r="N37" s="49"/>
      <c r="O37" s="54">
        <f>IF(D37="","",IF(N37="P","--","NO"))</f>
      </c>
      <c r="P37" s="692">
        <f>IF(D37="","","NO")</f>
      </c>
      <c r="Q37" s="693"/>
      <c r="R37" s="532">
        <f>200*IF(P37="SI",1,0.1)*IF(N37="P",0.1,1)</f>
        <v>20</v>
      </c>
      <c r="S37" s="591" t="str">
        <f>IF(N37="P",H37*R37*ROUND(M37/60,2),"--")</f>
        <v>--</v>
      </c>
      <c r="T37" s="586" t="str">
        <f>IF(AND(N37="F",O37="NO"),H37*R37,"--")</f>
        <v>--</v>
      </c>
      <c r="U37" s="587" t="str">
        <f>IF(N37="F",H37*R37*ROUND(M37/60,2),"--")</f>
        <v>--</v>
      </c>
      <c r="V37" s="511" t="str">
        <f>IF(N37="RF",H37*R37*ROUND(M37/60,2),"--")</f>
        <v>--</v>
      </c>
      <c r="W37" s="694"/>
      <c r="X37" s="695"/>
      <c r="Y37" s="695"/>
      <c r="Z37" s="695"/>
      <c r="AA37" s="696"/>
      <c r="AB37" s="55">
        <f>IF(D37="","","SI")</f>
      </c>
      <c r="AC37" s="210">
        <f>IF(D37="","",SUM(S37:V37)*IF(AB37="SI",1,2))</f>
      </c>
      <c r="AD37" s="152"/>
    </row>
    <row r="38" spans="1:30" ht="16.5" customHeight="1" hidden="1">
      <c r="A38" s="16"/>
      <c r="B38" s="124"/>
      <c r="C38" s="44"/>
      <c r="D38" s="45"/>
      <c r="E38" s="46"/>
      <c r="F38" s="47"/>
      <c r="G38" s="48"/>
      <c r="H38" s="564" t="e">
        <f>F38*#REF!</f>
        <v>#REF!</v>
      </c>
      <c r="I38" s="691"/>
      <c r="J38" s="50"/>
      <c r="K38" s="51"/>
      <c r="L38" s="52">
        <f>IF(D38="","",(K38-J38)*24)</f>
      </c>
      <c r="M38" s="53">
        <f>IF(D38="","",(K38-J38)*24*60)</f>
      </c>
      <c r="N38" s="49"/>
      <c r="O38" s="54">
        <f>IF(D38="","",IF(N38="P","--","NO"))</f>
      </c>
      <c r="P38" s="692">
        <f>IF(D38="","","NO")</f>
      </c>
      <c r="Q38" s="693"/>
      <c r="R38" s="532">
        <f>200*IF(P38="SI",1,0.1)*IF(N38="P",0.1,1)</f>
        <v>20</v>
      </c>
      <c r="S38" s="591" t="str">
        <f>IF(N38="P",H38*R38*ROUND(M38/60,2),"--")</f>
        <v>--</v>
      </c>
      <c r="T38" s="586" t="str">
        <f>IF(AND(N38="F",O38="NO"),H38*R38,"--")</f>
        <v>--</v>
      </c>
      <c r="U38" s="587" t="str">
        <f>IF(N38="F",H38*R38*ROUND(M38/60,2),"--")</f>
        <v>--</v>
      </c>
      <c r="V38" s="511" t="str">
        <f>IF(N38="RF",H38*R38*ROUND(M38/60,2),"--")</f>
        <v>--</v>
      </c>
      <c r="W38" s="694"/>
      <c r="X38" s="695"/>
      <c r="Y38" s="695"/>
      <c r="Z38" s="695"/>
      <c r="AA38" s="696"/>
      <c r="AB38" s="55">
        <f>IF(D38="","","SI")</f>
      </c>
      <c r="AC38" s="210">
        <f>IF(D38="","",SUM(S38:V38)*IF(AB38="SI",1,2))</f>
      </c>
      <c r="AD38" s="152"/>
    </row>
    <row r="39" spans="1:30" ht="16.5" customHeight="1" hidden="1">
      <c r="A39" s="16"/>
      <c r="B39" s="124"/>
      <c r="C39" s="44"/>
      <c r="D39" s="45"/>
      <c r="E39" s="46"/>
      <c r="F39" s="47"/>
      <c r="G39" s="48"/>
      <c r="H39" s="564" t="e">
        <f>F39*#REF!</f>
        <v>#REF!</v>
      </c>
      <c r="I39" s="691"/>
      <c r="J39" s="50"/>
      <c r="K39" s="51"/>
      <c r="L39" s="52">
        <f>IF(D39="","",(K39-J39)*24)</f>
      </c>
      <c r="M39" s="53">
        <f>IF(D39="","",(K39-J39)*24*60)</f>
      </c>
      <c r="N39" s="49"/>
      <c r="O39" s="54">
        <f>IF(D39="","",IF(N39="P","--","NO"))</f>
      </c>
      <c r="P39" s="692">
        <f>IF(D39="","","NO")</f>
      </c>
      <c r="Q39" s="693"/>
      <c r="R39" s="532">
        <f>200*IF(P39="SI",1,0.1)*IF(N39="P",0.1,1)</f>
        <v>20</v>
      </c>
      <c r="S39" s="591" t="str">
        <f>IF(N39="P",H39*R39*ROUND(M39/60,2),"--")</f>
        <v>--</v>
      </c>
      <c r="T39" s="586" t="str">
        <f>IF(AND(N39="F",O39="NO"),H39*R39,"--")</f>
        <v>--</v>
      </c>
      <c r="U39" s="587" t="str">
        <f>IF(N39="F",H39*R39*ROUND(M39/60,2),"--")</f>
        <v>--</v>
      </c>
      <c r="V39" s="511" t="str">
        <f>IF(N39="RF",H39*R39*ROUND(M39/60,2),"--")</f>
        <v>--</v>
      </c>
      <c r="W39" s="694"/>
      <c r="X39" s="695"/>
      <c r="Y39" s="695"/>
      <c r="Z39" s="695"/>
      <c r="AA39" s="696"/>
      <c r="AB39" s="55">
        <f>IF(D39="","","SI")</f>
      </c>
      <c r="AC39" s="210">
        <f>IF(D39="","",SUM(S39:V39)*IF(AB39="SI",1,2))</f>
      </c>
      <c r="AD39" s="152"/>
    </row>
    <row r="40" spans="1:30" ht="16.5" customHeight="1" hidden="1">
      <c r="A40" s="16"/>
      <c r="B40" s="124"/>
      <c r="C40" s="44"/>
      <c r="D40" s="45"/>
      <c r="E40" s="46"/>
      <c r="F40" s="47"/>
      <c r="G40" s="48"/>
      <c r="H40" s="564" t="e">
        <f>F40*#REF!</f>
        <v>#REF!</v>
      </c>
      <c r="I40" s="691"/>
      <c r="J40" s="50"/>
      <c r="K40" s="51"/>
      <c r="L40" s="52">
        <f>IF(D40="","",(K40-J40)*24)</f>
      </c>
      <c r="M40" s="53">
        <f>IF(D40="","",(K40-J40)*24*60)</f>
      </c>
      <c r="N40" s="49"/>
      <c r="O40" s="54">
        <f>IF(D40="","",IF(N40="P","--","NO"))</f>
      </c>
      <c r="P40" s="692">
        <f>IF(D40="","","NO")</f>
      </c>
      <c r="Q40" s="693"/>
      <c r="R40" s="532">
        <f>200*IF(P40="SI",1,0.1)*IF(N40="P",0.1,1)</f>
        <v>20</v>
      </c>
      <c r="S40" s="591" t="str">
        <f>IF(N40="P",H40*R40*ROUND(M40/60,2),"--")</f>
        <v>--</v>
      </c>
      <c r="T40" s="586" t="str">
        <f>IF(AND(N40="F",O40="NO"),H40*R40,"--")</f>
        <v>--</v>
      </c>
      <c r="U40" s="587" t="str">
        <f>IF(N40="F",H40*R40*ROUND(M40/60,2),"--")</f>
        <v>--</v>
      </c>
      <c r="V40" s="511" t="str">
        <f>IF(N40="RF",H40*R40*ROUND(M40/60,2),"--")</f>
        <v>--</v>
      </c>
      <c r="W40" s="694"/>
      <c r="X40" s="695"/>
      <c r="Y40" s="695"/>
      <c r="Z40" s="695"/>
      <c r="AA40" s="696"/>
      <c r="AB40" s="55">
        <f>IF(D40="","","SI")</f>
      </c>
      <c r="AC40" s="210">
        <f>IF(D40="","",SUM(S40:V40)*IF(AB40="SI",1,2))</f>
      </c>
      <c r="AD40" s="152"/>
    </row>
    <row r="41" spans="1:30" ht="16.5" customHeight="1" hidden="1" thickBot="1">
      <c r="A41" s="106"/>
      <c r="B41" s="124"/>
      <c r="C41" s="56"/>
      <c r="D41" s="369"/>
      <c r="E41" s="370"/>
      <c r="F41" s="371"/>
      <c r="G41" s="372"/>
      <c r="H41" s="565"/>
      <c r="I41" s="697"/>
      <c r="J41" s="373"/>
      <c r="K41" s="374"/>
      <c r="L41" s="375"/>
      <c r="M41" s="376"/>
      <c r="N41" s="57"/>
      <c r="O41" s="30"/>
      <c r="P41" s="698"/>
      <c r="Q41" s="699"/>
      <c r="R41" s="533"/>
      <c r="S41" s="592"/>
      <c r="T41" s="588"/>
      <c r="U41" s="589"/>
      <c r="V41" s="537"/>
      <c r="W41" s="700"/>
      <c r="X41" s="701"/>
      <c r="Y41" s="701"/>
      <c r="Z41" s="701"/>
      <c r="AA41" s="702"/>
      <c r="AB41" s="377"/>
      <c r="AC41" s="378"/>
      <c r="AD41" s="152"/>
    </row>
    <row r="42" spans="1:30" ht="16.5" customHeight="1" hidden="1" thickBot="1" thickTop="1">
      <c r="A42" s="106"/>
      <c r="B42" s="124"/>
      <c r="C42" s="181"/>
      <c r="D42" s="1"/>
      <c r="E42" s="1"/>
      <c r="F42" s="243"/>
      <c r="G42" s="379"/>
      <c r="H42" s="380"/>
      <c r="I42" s="381"/>
      <c r="J42" s="382"/>
      <c r="K42" s="383"/>
      <c r="L42" s="384"/>
      <c r="M42" s="380"/>
      <c r="N42" s="385"/>
      <c r="O42" s="36"/>
      <c r="P42" s="386"/>
      <c r="Q42" s="387"/>
      <c r="R42" s="388"/>
      <c r="S42" s="388"/>
      <c r="T42" s="388"/>
      <c r="U42" s="342"/>
      <c r="V42" s="342"/>
      <c r="W42" s="342"/>
      <c r="X42" s="342"/>
      <c r="Y42" s="342"/>
      <c r="Z42" s="342"/>
      <c r="AA42" s="342"/>
      <c r="AB42" s="342"/>
      <c r="AC42" s="389">
        <f>SUM(AC36:AC41)</f>
        <v>0</v>
      </c>
      <c r="AD42" s="152"/>
    </row>
    <row r="43" spans="1:30" ht="16.5" customHeight="1" thickBot="1" thickTop="1">
      <c r="A43" s="106"/>
      <c r="B43" s="124"/>
      <c r="C43" s="181"/>
      <c r="D43" s="1"/>
      <c r="E43" s="1"/>
      <c r="F43" s="243"/>
      <c r="G43" s="379"/>
      <c r="H43" s="380"/>
      <c r="I43" s="381"/>
      <c r="J43" s="382"/>
      <c r="K43" s="383"/>
      <c r="L43" s="384"/>
      <c r="M43" s="380"/>
      <c r="N43" s="385"/>
      <c r="O43" s="36"/>
      <c r="P43" s="386"/>
      <c r="Q43" s="387"/>
      <c r="R43" s="388"/>
      <c r="S43" s="388"/>
      <c r="T43" s="388"/>
      <c r="U43" s="342"/>
      <c r="V43" s="342"/>
      <c r="W43" s="342"/>
      <c r="X43" s="342"/>
      <c r="Y43" s="342"/>
      <c r="Z43" s="342"/>
      <c r="AA43" s="342"/>
      <c r="AB43" s="342"/>
      <c r="AC43" s="705"/>
      <c r="AD43" s="152"/>
    </row>
    <row r="44" spans="2:30" s="16" customFormat="1" ht="33.75" customHeight="1" thickBot="1" thickTop="1">
      <c r="B44" s="124"/>
      <c r="C44" s="164" t="s">
        <v>73</v>
      </c>
      <c r="D44" s="172" t="s">
        <v>106</v>
      </c>
      <c r="E44" s="943" t="s">
        <v>43</v>
      </c>
      <c r="F44" s="944"/>
      <c r="G44" s="174" t="s">
        <v>107</v>
      </c>
      <c r="H44" s="347"/>
      <c r="I44" s="166"/>
      <c r="J44" s="166" t="s">
        <v>79</v>
      </c>
      <c r="K44" s="168" t="s">
        <v>80</v>
      </c>
      <c r="L44" s="235" t="s">
        <v>81</v>
      </c>
      <c r="M44" s="235" t="s">
        <v>82</v>
      </c>
      <c r="N44" s="171" t="s">
        <v>83</v>
      </c>
      <c r="O44" s="171" t="s">
        <v>84</v>
      </c>
      <c r="P44" s="949" t="s">
        <v>86</v>
      </c>
      <c r="Q44" s="950"/>
      <c r="R44" s="503" t="s">
        <v>118</v>
      </c>
      <c r="S44" s="504"/>
      <c r="T44" s="513" t="s">
        <v>91</v>
      </c>
      <c r="U44" s="174" t="s">
        <v>93</v>
      </c>
      <c r="V44" s="208" t="s">
        <v>94</v>
      </c>
      <c r="W44" s="128"/>
      <c r="AB44" s="173" t="s">
        <v>93</v>
      </c>
      <c r="AC44" s="208" t="s">
        <v>94</v>
      </c>
      <c r="AD44" s="128"/>
    </row>
    <row r="45" spans="2:30" s="16" customFormat="1" ht="16.5" customHeight="1" thickTop="1">
      <c r="B45" s="124"/>
      <c r="C45" s="20"/>
      <c r="D45" s="67"/>
      <c r="E45" s="945"/>
      <c r="F45" s="946"/>
      <c r="G45" s="67"/>
      <c r="H45" s="357"/>
      <c r="I45" s="67"/>
      <c r="J45" s="67"/>
      <c r="K45" s="67"/>
      <c r="L45" s="67"/>
      <c r="M45" s="20"/>
      <c r="N45" s="20"/>
      <c r="O45" s="79"/>
      <c r="P45" s="951"/>
      <c r="Q45" s="952"/>
      <c r="R45" s="507"/>
      <c r="S45" s="508"/>
      <c r="T45" s="511"/>
      <c r="U45" s="67"/>
      <c r="V45" s="236"/>
      <c r="W45" s="128"/>
      <c r="AB45" s="651"/>
      <c r="AC45" s="652"/>
      <c r="AD45" s="128"/>
    </row>
    <row r="46" spans="2:30" s="16" customFormat="1" ht="16.5" customHeight="1">
      <c r="B46" s="124"/>
      <c r="C46" s="769" t="s">
        <v>235</v>
      </c>
      <c r="D46" s="815" t="s">
        <v>21</v>
      </c>
      <c r="E46" s="947" t="s">
        <v>51</v>
      </c>
      <c r="F46" s="948"/>
      <c r="G46" s="68">
        <v>80</v>
      </c>
      <c r="H46" s="348"/>
      <c r="I46" s="69"/>
      <c r="J46" s="70">
        <v>38036.322222222225</v>
      </c>
      <c r="K46" s="71">
        <v>38036.52291666667</v>
      </c>
      <c r="L46" s="28">
        <v>4.82</v>
      </c>
      <c r="M46" s="25">
        <v>289</v>
      </c>
      <c r="N46" s="25" t="s">
        <v>205</v>
      </c>
      <c r="O46" s="26" t="s">
        <v>124</v>
      </c>
      <c r="P46" s="953" t="s">
        <v>236</v>
      </c>
      <c r="Q46" s="954"/>
      <c r="R46" s="507" t="str">
        <f>IF(AND(M46="F",N46="NO"),H46*P46,"--")</f>
        <v>--</v>
      </c>
      <c r="S46" s="508" t="str">
        <f>IF(M46="F",H46*P46*ROUND(L46/60,2),"--")</f>
        <v>--</v>
      </c>
      <c r="T46" s="511" t="str">
        <f>IF(M46="RF",H46*P46*ROUND(L46/60,2),"--")</f>
        <v>--</v>
      </c>
      <c r="U46" s="73" t="str">
        <f>IF(D46="","","SI")</f>
        <v>SI</v>
      </c>
      <c r="V46" s="74">
        <f>IF(D46="","",SUM(Q46:T46)*IF(U46="SI",1,2))</f>
        <v>0</v>
      </c>
      <c r="W46" s="128"/>
      <c r="AB46" s="350" t="str">
        <f>IF(D46="","","SI")</f>
        <v>SI</v>
      </c>
      <c r="AC46" s="27">
        <v>118.76480000000001</v>
      </c>
      <c r="AD46" s="128"/>
    </row>
    <row r="47" spans="2:30" s="16" customFormat="1" ht="16.5" customHeight="1" thickBot="1">
      <c r="B47" s="124"/>
      <c r="C47" s="736"/>
      <c r="D47" s="737"/>
      <c r="E47" s="737"/>
      <c r="F47" s="738"/>
      <c r="G47" s="739"/>
      <c r="H47" s="740"/>
      <c r="I47" s="741"/>
      <c r="J47" s="742"/>
      <c r="K47" s="743"/>
      <c r="L47" s="744"/>
      <c r="M47" s="745"/>
      <c r="N47" s="30"/>
      <c r="O47" s="31"/>
      <c r="P47" s="941"/>
      <c r="Q47" s="942"/>
      <c r="R47" s="749"/>
      <c r="S47" s="750"/>
      <c r="T47" s="751"/>
      <c r="U47" s="752"/>
      <c r="V47" s="753"/>
      <c r="W47" s="128"/>
      <c r="X47"/>
      <c r="Y47"/>
      <c r="Z47"/>
      <c r="AA47"/>
      <c r="AB47" s="32"/>
      <c r="AC47" s="674"/>
      <c r="AD47" s="128"/>
    </row>
    <row r="48" spans="2:30" s="16" customFormat="1" ht="16.5" customHeight="1" thickBot="1" thickTop="1">
      <c r="B48" s="124"/>
      <c r="C48" s="2"/>
      <c r="D48" s="242"/>
      <c r="E48" s="242"/>
      <c r="F48" s="242"/>
      <c r="G48" s="866"/>
      <c r="H48" s="867"/>
      <c r="I48" s="868"/>
      <c r="J48" s="36"/>
      <c r="K48" s="36"/>
      <c r="L48" s="869"/>
      <c r="M48" s="36"/>
      <c r="N48" s="36"/>
      <c r="O48" s="36"/>
      <c r="P48" s="36"/>
      <c r="Q48" s="36"/>
      <c r="R48" s="870"/>
      <c r="S48" s="870"/>
      <c r="T48" s="871"/>
      <c r="U48" s="872"/>
      <c r="V48" s="705"/>
      <c r="W48" s="14"/>
      <c r="X48"/>
      <c r="Y48"/>
      <c r="Z48"/>
      <c r="AA48"/>
      <c r="AB48" s="313"/>
      <c r="AC48" s="675">
        <f>SUM(AC45:AC47)</f>
        <v>118.76480000000001</v>
      </c>
      <c r="AD48" s="128"/>
    </row>
    <row r="49" spans="2:30" s="16" customFormat="1" ht="16.5" customHeight="1" thickBot="1" thickTop="1">
      <c r="B49" s="124"/>
      <c r="C49" s="2"/>
      <c r="D49" s="242"/>
      <c r="E49" s="242"/>
      <c r="F49" s="242"/>
      <c r="G49" s="866"/>
      <c r="H49" s="867"/>
      <c r="I49" s="868"/>
      <c r="J49" s="36"/>
      <c r="K49" s="36"/>
      <c r="L49" s="869"/>
      <c r="M49" s="36"/>
      <c r="N49" s="36"/>
      <c r="O49" s="36"/>
      <c r="P49" s="36"/>
      <c r="Q49" s="36"/>
      <c r="R49" s="870"/>
      <c r="S49" s="870"/>
      <c r="T49" s="871"/>
      <c r="U49" s="872"/>
      <c r="V49" s="705"/>
      <c r="W49" s="14"/>
      <c r="X49"/>
      <c r="Y49"/>
      <c r="Z49"/>
      <c r="AA49"/>
      <c r="AB49"/>
      <c r="AD49" s="128"/>
    </row>
    <row r="50" spans="1:30" ht="16.5" customHeight="1" thickBot="1" thickTop="1">
      <c r="A50" s="106"/>
      <c r="B50" s="124"/>
      <c r="C50" s="181"/>
      <c r="D50" s="1"/>
      <c r="E50" s="1"/>
      <c r="F50" s="243"/>
      <c r="G50" s="379"/>
      <c r="H50" s="380"/>
      <c r="I50" s="381"/>
      <c r="J50" s="640" t="s">
        <v>144</v>
      </c>
      <c r="K50" s="641">
        <f>+AC48+AC33</f>
        <v>1606.484</v>
      </c>
      <c r="L50" s="384"/>
      <c r="M50" s="380"/>
      <c r="N50" s="703"/>
      <c r="O50" s="704"/>
      <c r="P50" s="386"/>
      <c r="Q50" s="387"/>
      <c r="R50" s="388"/>
      <c r="S50" s="388"/>
      <c r="T50" s="388"/>
      <c r="U50" s="342"/>
      <c r="V50" s="342"/>
      <c r="W50" s="342"/>
      <c r="X50" s="342"/>
      <c r="Y50" s="342"/>
      <c r="Z50" s="342"/>
      <c r="AA50" s="342"/>
      <c r="AB50" s="342"/>
      <c r="AC50" s="705"/>
      <c r="AD50" s="152"/>
    </row>
    <row r="51" spans="1:30" ht="13.5" customHeight="1" thickTop="1">
      <c r="A51" s="106"/>
      <c r="B51" s="314"/>
      <c r="C51" s="308"/>
      <c r="D51" s="315"/>
      <c r="E51" s="316"/>
      <c r="F51" s="317"/>
      <c r="G51" s="318"/>
      <c r="H51" s="318"/>
      <c r="I51" s="316"/>
      <c r="J51" s="296"/>
      <c r="K51" s="296"/>
      <c r="L51" s="316"/>
      <c r="M51" s="316"/>
      <c r="N51" s="316"/>
      <c r="O51" s="319"/>
      <c r="P51" s="316"/>
      <c r="Q51" s="316"/>
      <c r="R51" s="320"/>
      <c r="S51" s="321"/>
      <c r="T51" s="321"/>
      <c r="U51" s="322"/>
      <c r="AC51" s="322"/>
      <c r="AD51" s="324"/>
    </row>
    <row r="52" spans="1:30" ht="16.5" customHeight="1">
      <c r="A52" s="106"/>
      <c r="B52" s="314"/>
      <c r="C52" s="325" t="s">
        <v>145</v>
      </c>
      <c r="D52" s="326" t="s">
        <v>146</v>
      </c>
      <c r="E52" s="316"/>
      <c r="F52" s="317"/>
      <c r="G52" s="318"/>
      <c r="H52" s="318"/>
      <c r="I52" s="316"/>
      <c r="J52" s="296"/>
      <c r="K52" s="296"/>
      <c r="L52" s="316"/>
      <c r="M52" s="316"/>
      <c r="N52" s="316"/>
      <c r="O52" s="319"/>
      <c r="P52" s="316"/>
      <c r="Q52" s="316"/>
      <c r="R52" s="320"/>
      <c r="S52" s="321"/>
      <c r="T52" s="321"/>
      <c r="U52" s="322"/>
      <c r="AC52" s="322"/>
      <c r="AD52" s="324"/>
    </row>
    <row r="53" spans="1:30" ht="16.5" customHeight="1">
      <c r="A53" s="106"/>
      <c r="B53" s="314"/>
      <c r="C53" s="325"/>
      <c r="D53" s="315"/>
      <c r="E53" s="316"/>
      <c r="F53" s="317"/>
      <c r="G53" s="318"/>
      <c r="H53" s="318"/>
      <c r="I53" s="316"/>
      <c r="J53" s="296"/>
      <c r="K53" s="296"/>
      <c r="L53" s="316"/>
      <c r="M53" s="316"/>
      <c r="N53" s="316"/>
      <c r="O53" s="319"/>
      <c r="P53" s="316"/>
      <c r="Q53" s="316"/>
      <c r="R53" s="316"/>
      <c r="S53" s="320"/>
      <c r="T53" s="321"/>
      <c r="AD53" s="324"/>
    </row>
    <row r="54" spans="2:30" s="106" customFormat="1" ht="16.5" customHeight="1">
      <c r="B54" s="314"/>
      <c r="C54" s="308"/>
      <c r="D54" s="335" t="s">
        <v>55</v>
      </c>
      <c r="E54" s="311" t="s">
        <v>147</v>
      </c>
      <c r="F54" s="311" t="s">
        <v>148</v>
      </c>
      <c r="G54" s="609" t="s">
        <v>149</v>
      </c>
      <c r="H54" s="312"/>
      <c r="I54" s="311"/>
      <c r="J54"/>
      <c r="K54" s="608" t="s">
        <v>150</v>
      </c>
      <c r="L54"/>
      <c r="M54"/>
      <c r="O54" s="608" t="s">
        <v>155</v>
      </c>
      <c r="P54" s="327"/>
      <c r="Q54" s="328"/>
      <c r="R54" s="329"/>
      <c r="S54" s="108"/>
      <c r="T54"/>
      <c r="U54"/>
      <c r="V54"/>
      <c r="W54"/>
      <c r="X54" s="108"/>
      <c r="Y54" s="108"/>
      <c r="Z54" s="108"/>
      <c r="AA54" s="108"/>
      <c r="AB54" s="108"/>
      <c r="AC54" s="706" t="s">
        <v>151</v>
      </c>
      <c r="AD54" s="324"/>
    </row>
    <row r="55" spans="2:30" s="106" customFormat="1" ht="16.5" customHeight="1">
      <c r="B55" s="314"/>
      <c r="C55" s="308"/>
      <c r="D55" s="311" t="s">
        <v>162</v>
      </c>
      <c r="E55" s="710">
        <v>267</v>
      </c>
      <c r="F55" s="390">
        <v>500</v>
      </c>
      <c r="G55" s="603">
        <f>E55*$F$20*$L$21/100</f>
        <v>104721.90696000001</v>
      </c>
      <c r="H55" s="603">
        <f>F55*$F$20*$L$21/100</f>
        <v>196108.44</v>
      </c>
      <c r="I55" s="603">
        <f>G55*$F$20*$L$21/100</f>
        <v>41073699.61550149</v>
      </c>
      <c r="J55" s="4"/>
      <c r="K55" s="605">
        <v>164392</v>
      </c>
      <c r="L55" s="4"/>
      <c r="M55" s="607" t="s">
        <v>211</v>
      </c>
      <c r="R55" s="329"/>
      <c r="S55" s="108"/>
      <c r="T55"/>
      <c r="U55"/>
      <c r="V55"/>
      <c r="W55"/>
      <c r="X55" s="108"/>
      <c r="Y55" s="108"/>
      <c r="Z55" s="108"/>
      <c r="AA55" s="108"/>
      <c r="AB55" s="707"/>
      <c r="AC55" s="579">
        <f>K55+G55</f>
        <v>269113.90696</v>
      </c>
      <c r="AD55" s="324"/>
    </row>
    <row r="56" spans="2:30" s="106" customFormat="1" ht="16.5" customHeight="1">
      <c r="B56" s="314"/>
      <c r="C56" s="308"/>
      <c r="D56" s="311" t="s">
        <v>163</v>
      </c>
      <c r="E56" s="710">
        <f>3*3.6</f>
        <v>10.8</v>
      </c>
      <c r="F56" s="390">
        <v>500</v>
      </c>
      <c r="G56" s="603">
        <f>E56*$F$20*$L$21/100</f>
        <v>4235.942304</v>
      </c>
      <c r="H56" s="331"/>
      <c r="I56" s="562"/>
      <c r="J56" s="4"/>
      <c r="K56" s="603">
        <v>3394</v>
      </c>
      <c r="L56" s="4"/>
      <c r="M56" s="607" t="s">
        <v>211</v>
      </c>
      <c r="O56" s="330"/>
      <c r="P56"/>
      <c r="Q56" s="329"/>
      <c r="R56" s="329"/>
      <c r="S56" s="108"/>
      <c r="T56"/>
      <c r="U56"/>
      <c r="V56"/>
      <c r="W56"/>
      <c r="X56" s="108"/>
      <c r="Y56" s="108"/>
      <c r="Z56" s="108"/>
      <c r="AA56" s="108"/>
      <c r="AB56" s="108"/>
      <c r="AC56" s="579">
        <f>K56+G56</f>
        <v>7629.942304</v>
      </c>
      <c r="AD56" s="324"/>
    </row>
    <row r="57" spans="2:30" s="106" customFormat="1" ht="16.5" customHeight="1">
      <c r="B57" s="314"/>
      <c r="C57" s="308"/>
      <c r="E57" s="298"/>
      <c r="F57" s="311"/>
      <c r="G57" s="312"/>
      <c r="H57"/>
      <c r="I57" s="311"/>
      <c r="J57" s="311"/>
      <c r="K57"/>
      <c r="L57" s="579"/>
      <c r="M57" s="328"/>
      <c r="N57" s="328"/>
      <c r="O57" s="605">
        <v>0</v>
      </c>
      <c r="P57" s="4"/>
      <c r="Q57" s="607" t="str">
        <f>CONCATENATE("(DTE ",RIGHT($B$14,2),IF(MONTH($J$31)&gt;9,"","0"),MONTH($J$31),")")</f>
        <v>(DTE 0402)</v>
      </c>
      <c r="R57" s="329"/>
      <c r="S57" s="108"/>
      <c r="T57"/>
      <c r="U57"/>
      <c r="V57"/>
      <c r="W57"/>
      <c r="X57" s="108"/>
      <c r="Y57" s="108"/>
      <c r="Z57" s="108"/>
      <c r="AA57" s="108"/>
      <c r="AB57" s="108"/>
      <c r="AC57" s="711">
        <f>+O57</f>
        <v>0</v>
      </c>
      <c r="AD57" s="324"/>
    </row>
    <row r="58" spans="1:30" ht="16.5" customHeight="1">
      <c r="A58" s="106"/>
      <c r="B58" s="314"/>
      <c r="C58" s="308"/>
      <c r="D58" s="296"/>
      <c r="E58" s="298"/>
      <c r="F58" s="311"/>
      <c r="G58" s="311"/>
      <c r="H58" s="312"/>
      <c r="J58" s="311"/>
      <c r="L58" s="332"/>
      <c r="M58" s="328"/>
      <c r="N58" s="328"/>
      <c r="O58" s="329"/>
      <c r="P58" s="329"/>
      <c r="Q58" s="329"/>
      <c r="R58" s="329"/>
      <c r="S58" s="329"/>
      <c r="AC58" s="577">
        <f>SUM(AC55:AC57)</f>
        <v>276743.849264</v>
      </c>
      <c r="AD58" s="324"/>
    </row>
    <row r="59" spans="2:30" ht="16.5" customHeight="1">
      <c r="B59" s="314"/>
      <c r="C59" s="325" t="s">
        <v>157</v>
      </c>
      <c r="D59" s="333" t="s">
        <v>158</v>
      </c>
      <c r="E59" s="311"/>
      <c r="F59" s="334"/>
      <c r="G59" s="297"/>
      <c r="H59" s="296"/>
      <c r="I59" s="296"/>
      <c r="J59" s="296"/>
      <c r="K59" s="311"/>
      <c r="L59" s="311"/>
      <c r="M59" s="296"/>
      <c r="N59" s="311"/>
      <c r="O59" s="296"/>
      <c r="P59" s="296"/>
      <c r="Q59" s="296"/>
      <c r="R59" s="296"/>
      <c r="S59" s="296"/>
      <c r="T59" s="296"/>
      <c r="U59" s="296"/>
      <c r="AC59" s="296"/>
      <c r="AD59" s="324"/>
    </row>
    <row r="60" spans="2:30" s="106" customFormat="1" ht="16.5" customHeight="1">
      <c r="B60" s="314"/>
      <c r="C60" s="308"/>
      <c r="D60" s="335" t="s">
        <v>159</v>
      </c>
      <c r="E60" s="336">
        <f>10*K50*K25/AC58</f>
        <v>1554.585029658634</v>
      </c>
      <c r="G60" s="297"/>
      <c r="L60" s="311"/>
      <c r="N60" s="311"/>
      <c r="O60" s="312"/>
      <c r="V60"/>
      <c r="W60"/>
      <c r="AD60" s="324"/>
    </row>
    <row r="61" spans="2:30" s="106" customFormat="1" ht="16.5" customHeight="1">
      <c r="B61" s="314"/>
      <c r="C61" s="308"/>
      <c r="E61" s="602"/>
      <c r="F61" s="310"/>
      <c r="G61" s="297"/>
      <c r="J61" s="297"/>
      <c r="K61" s="338"/>
      <c r="L61" s="311"/>
      <c r="M61" s="311"/>
      <c r="N61" s="311"/>
      <c r="O61" s="312"/>
      <c r="P61" s="311"/>
      <c r="Q61" s="311"/>
      <c r="R61" s="600"/>
      <c r="S61" s="600"/>
      <c r="T61" s="600"/>
      <c r="U61" s="601"/>
      <c r="V61"/>
      <c r="W61"/>
      <c r="AC61" s="601"/>
      <c r="AD61" s="324"/>
    </row>
    <row r="62" spans="2:30" ht="16.5" customHeight="1">
      <c r="B62" s="314"/>
      <c r="C62" s="308"/>
      <c r="D62" s="339" t="s">
        <v>164</v>
      </c>
      <c r="E62" s="337"/>
      <c r="F62" s="310"/>
      <c r="G62" s="297"/>
      <c r="H62" s="296"/>
      <c r="I62" s="296"/>
      <c r="N62" s="311"/>
      <c r="O62" s="312"/>
      <c r="P62" s="311"/>
      <c r="Q62" s="311"/>
      <c r="R62" s="327"/>
      <c r="S62" s="327"/>
      <c r="T62" s="327"/>
      <c r="U62" s="328"/>
      <c r="AC62" s="328"/>
      <c r="AD62" s="324"/>
    </row>
    <row r="63" spans="2:30" ht="16.5" customHeight="1" thickBot="1">
      <c r="B63" s="314"/>
      <c r="C63" s="308"/>
      <c r="D63" s="339"/>
      <c r="E63" s="337"/>
      <c r="F63" s="310"/>
      <c r="G63" s="297"/>
      <c r="H63" s="296"/>
      <c r="I63" s="296"/>
      <c r="N63" s="311"/>
      <c r="O63" s="312"/>
      <c r="P63" s="311"/>
      <c r="Q63" s="311"/>
      <c r="R63" s="327"/>
      <c r="S63" s="327"/>
      <c r="T63" s="327"/>
      <c r="U63" s="328"/>
      <c r="AC63" s="328"/>
      <c r="AD63" s="324"/>
    </row>
    <row r="64" spans="2:30" s="616" customFormat="1" ht="21" thickBot="1" thickTop="1">
      <c r="B64" s="610"/>
      <c r="C64" s="611"/>
      <c r="D64" s="612"/>
      <c r="E64" s="613"/>
      <c r="F64" s="614"/>
      <c r="G64" s="615"/>
      <c r="I64"/>
      <c r="J64" s="617" t="s">
        <v>160</v>
      </c>
      <c r="K64" s="618">
        <f>IF(E60&gt;3*K25,K25*3,E60)</f>
        <v>1554.585029658634</v>
      </c>
      <c r="M64" s="619"/>
      <c r="N64" s="619"/>
      <c r="O64" s="620"/>
      <c r="P64" s="619"/>
      <c r="Q64" s="619"/>
      <c r="R64" s="621"/>
      <c r="S64" s="621"/>
      <c r="T64" s="621"/>
      <c r="U64" s="622"/>
      <c r="V64"/>
      <c r="W64"/>
      <c r="AC64" s="622"/>
      <c r="AD64" s="623"/>
    </row>
    <row r="65" spans="2:30" ht="16.5" customHeight="1" thickBot="1" thickTop="1">
      <c r="B65" s="131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343"/>
      <c r="W65" s="343"/>
      <c r="X65" s="343"/>
      <c r="Y65" s="343"/>
      <c r="Z65" s="343"/>
      <c r="AA65" s="343"/>
      <c r="AB65" s="343"/>
      <c r="AC65" s="133"/>
      <c r="AD65" s="340"/>
    </row>
    <row r="66" spans="2:23" ht="16.5" customHeight="1" thickTop="1">
      <c r="B66" s="12"/>
      <c r="C66" s="708"/>
      <c r="W66" s="12"/>
    </row>
  </sheetData>
  <sheetProtection password="CC12"/>
  <mergeCells count="7">
    <mergeCell ref="P47:Q47"/>
    <mergeCell ref="E44:F44"/>
    <mergeCell ref="E45:F45"/>
    <mergeCell ref="E46:F46"/>
    <mergeCell ref="P44:Q44"/>
    <mergeCell ref="P45:Q45"/>
    <mergeCell ref="P46:Q46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37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AD81"/>
  <sheetViews>
    <sheetView zoomScale="75" zoomScaleNormal="75" workbookViewId="0" topLeftCell="B31">
      <selection activeCell="E38" sqref="E38:F57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3.8515625" style="0" hidden="1" customWidth="1"/>
    <col min="9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16.0039062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61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754"/>
      <c r="AD1" s="635"/>
    </row>
    <row r="2" spans="1:23" ht="27" customHeight="1">
      <c r="A2" s="61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30" s="639" customFormat="1" ht="30.75">
      <c r="A3" s="636"/>
      <c r="B3" s="637" t="str">
        <f>+'tot-0402'!B2</f>
        <v>ANEXO I-1 a la Resolución ENRE N°            1107 /2006    .-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AB3" s="638"/>
      <c r="AC3" s="638"/>
      <c r="AD3" s="638"/>
    </row>
    <row r="4" spans="1:2" s="99" customFormat="1" ht="11.25">
      <c r="A4" s="712" t="s">
        <v>52</v>
      </c>
      <c r="B4" s="724"/>
    </row>
    <row r="5" spans="1:2" s="99" customFormat="1" ht="12" thickBot="1">
      <c r="A5" s="712" t="s">
        <v>53</v>
      </c>
      <c r="B5" s="712"/>
    </row>
    <row r="6" spans="1:23" ht="16.5" customHeight="1" thickTop="1">
      <c r="A6" s="16"/>
      <c r="B6" s="143"/>
      <c r="C6" s="144"/>
      <c r="D6" s="144"/>
      <c r="E6" s="145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6"/>
    </row>
    <row r="7" spans="1:23" ht="20.25">
      <c r="A7" s="16"/>
      <c r="B7" s="124"/>
      <c r="C7" s="14"/>
      <c r="D7" s="7" t="s">
        <v>125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293"/>
      <c r="Q7" s="293"/>
      <c r="R7" s="14"/>
      <c r="S7" s="14"/>
      <c r="T7" s="14"/>
      <c r="U7" s="14"/>
      <c r="V7" s="14"/>
      <c r="W7" s="147"/>
    </row>
    <row r="8" spans="1:23" ht="16.5" customHeight="1">
      <c r="A8" s="16"/>
      <c r="B8" s="12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7"/>
    </row>
    <row r="9" spans="2:23" s="15" customFormat="1" ht="20.25">
      <c r="B9" s="119"/>
      <c r="C9" s="118"/>
      <c r="D9" s="7" t="s">
        <v>126</v>
      </c>
      <c r="E9" s="118"/>
      <c r="F9" s="118"/>
      <c r="G9" s="118"/>
      <c r="H9" s="118"/>
      <c r="N9" s="118"/>
      <c r="O9" s="118"/>
      <c r="P9" s="361"/>
      <c r="Q9" s="361"/>
      <c r="R9" s="118"/>
      <c r="S9" s="118"/>
      <c r="T9" s="118"/>
      <c r="U9" s="118"/>
      <c r="V9" s="118"/>
      <c r="W9" s="362"/>
    </row>
    <row r="10" spans="1:23" ht="16.5" customHeight="1">
      <c r="A10" s="16"/>
      <c r="B10" s="12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7"/>
    </row>
    <row r="11" spans="2:23" s="15" customFormat="1" ht="20.25">
      <c r="B11" s="119"/>
      <c r="C11" s="118"/>
      <c r="D11" s="7" t="s">
        <v>209</v>
      </c>
      <c r="E11" s="118"/>
      <c r="F11" s="118"/>
      <c r="G11" s="118"/>
      <c r="H11" s="118"/>
      <c r="N11" s="118"/>
      <c r="O11" s="118"/>
      <c r="P11" s="361"/>
      <c r="Q11" s="361"/>
      <c r="R11" s="118"/>
      <c r="S11" s="118"/>
      <c r="T11" s="118"/>
      <c r="U11" s="118"/>
      <c r="V11" s="118"/>
      <c r="W11" s="362"/>
    </row>
    <row r="12" spans="1:23" ht="16.5" customHeight="1">
      <c r="A12" s="16"/>
      <c r="B12" s="124"/>
      <c r="C12" s="14"/>
      <c r="D12" s="14"/>
      <c r="E12" s="16"/>
      <c r="F12" s="16"/>
      <c r="G12" s="16"/>
      <c r="H12" s="16"/>
      <c r="I12" s="148"/>
      <c r="J12" s="148"/>
      <c r="K12" s="148"/>
      <c r="L12" s="148"/>
      <c r="M12" s="148"/>
      <c r="N12" s="148"/>
      <c r="O12" s="148"/>
      <c r="P12" s="148"/>
      <c r="Q12" s="148"/>
      <c r="R12" s="14"/>
      <c r="S12" s="14"/>
      <c r="T12" s="14"/>
      <c r="U12" s="14"/>
      <c r="V12" s="14"/>
      <c r="W12" s="147"/>
    </row>
    <row r="13" spans="2:23" s="15" customFormat="1" ht="19.5">
      <c r="B13" s="112" t="str">
        <f>+'tot-0402'!B14</f>
        <v>Desde el 01 al 29 de febrero de 2004</v>
      </c>
      <c r="C13" s="113"/>
      <c r="D13" s="115"/>
      <c r="E13" s="115"/>
      <c r="F13" s="115"/>
      <c r="G13" s="115"/>
      <c r="H13" s="115"/>
      <c r="I13" s="116"/>
      <c r="J13" s="4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364"/>
      <c r="V13" s="364"/>
      <c r="W13" s="117"/>
    </row>
    <row r="14" spans="1:23" ht="16.5" customHeight="1">
      <c r="A14" s="16"/>
      <c r="B14" s="124"/>
      <c r="C14" s="14"/>
      <c r="D14" s="14"/>
      <c r="E14" s="2"/>
      <c r="F14" s="2"/>
      <c r="G14" s="14"/>
      <c r="H14" s="14"/>
      <c r="I14" s="14"/>
      <c r="J14" s="294"/>
      <c r="K14" s="14"/>
      <c r="L14" s="14"/>
      <c r="M14" s="14"/>
      <c r="N14" s="16"/>
      <c r="O14" s="16"/>
      <c r="P14" s="14"/>
      <c r="Q14" s="14"/>
      <c r="R14" s="14"/>
      <c r="S14" s="14"/>
      <c r="T14" s="14"/>
      <c r="U14" s="14"/>
      <c r="V14" s="14"/>
      <c r="W14" s="147"/>
    </row>
    <row r="15" spans="1:23" ht="16.5" customHeight="1">
      <c r="A15" s="16"/>
      <c r="B15" s="124"/>
      <c r="C15" s="14"/>
      <c r="D15" s="14"/>
      <c r="E15" s="2"/>
      <c r="F15" s="2"/>
      <c r="G15" s="14"/>
      <c r="H15" s="14"/>
      <c r="I15" s="295"/>
      <c r="J15" s="14"/>
      <c r="K15" s="12"/>
      <c r="M15" s="14"/>
      <c r="N15" s="16"/>
      <c r="O15" s="16"/>
      <c r="P15" s="14"/>
      <c r="Q15" s="14"/>
      <c r="R15" s="14"/>
      <c r="S15" s="14"/>
      <c r="T15" s="14"/>
      <c r="U15" s="14"/>
      <c r="V15" s="14"/>
      <c r="W15" s="147"/>
    </row>
    <row r="16" spans="1:23" ht="16.5" customHeight="1">
      <c r="A16" s="16"/>
      <c r="B16" s="124"/>
      <c r="C16" s="14"/>
      <c r="D16" s="14"/>
      <c r="E16" s="2"/>
      <c r="F16" s="2"/>
      <c r="G16" s="14"/>
      <c r="H16" s="14"/>
      <c r="I16" s="295"/>
      <c r="J16" s="14"/>
      <c r="K16" s="12"/>
      <c r="M16" s="14"/>
      <c r="N16" s="16"/>
      <c r="O16" s="16"/>
      <c r="P16" s="14"/>
      <c r="Q16" s="14"/>
      <c r="R16" s="14"/>
      <c r="S16" s="14"/>
      <c r="T16" s="14"/>
      <c r="U16" s="14"/>
      <c r="V16" s="14"/>
      <c r="W16" s="147"/>
    </row>
    <row r="17" spans="1:23" ht="16.5" customHeight="1" thickBot="1">
      <c r="A17" s="16"/>
      <c r="B17" s="124"/>
      <c r="C17" s="606" t="s">
        <v>127</v>
      </c>
      <c r="D17" s="13" t="s">
        <v>128</v>
      </c>
      <c r="E17" s="2"/>
      <c r="F17" s="2"/>
      <c r="G17" s="14"/>
      <c r="H17" s="14"/>
      <c r="I17" s="14"/>
      <c r="J17" s="294"/>
      <c r="K17" s="14"/>
      <c r="L17" s="14"/>
      <c r="M17" s="14"/>
      <c r="N17" s="16"/>
      <c r="O17" s="16"/>
      <c r="P17" s="14"/>
      <c r="Q17" s="14"/>
      <c r="R17" s="14"/>
      <c r="S17" s="14"/>
      <c r="T17" s="14"/>
      <c r="U17" s="14"/>
      <c r="V17" s="14"/>
      <c r="W17" s="147"/>
    </row>
    <row r="18" spans="2:23" s="106" customFormat="1" ht="16.5" customHeight="1" thickBot="1">
      <c r="B18" s="314"/>
      <c r="C18" s="108"/>
      <c r="D18" s="576"/>
      <c r="E18" s="577"/>
      <c r="F18" s="308"/>
      <c r="G18" s="108"/>
      <c r="H18" s="108"/>
      <c r="I18" s="108"/>
      <c r="J18" s="597"/>
      <c r="K18" s="108"/>
      <c r="L18" s="108"/>
      <c r="M18" s="108"/>
      <c r="N18" s="725" t="s">
        <v>77</v>
      </c>
      <c r="P18" s="108"/>
      <c r="Q18" s="108"/>
      <c r="R18" s="108"/>
      <c r="S18" s="108"/>
      <c r="T18" s="108"/>
      <c r="U18" s="108"/>
      <c r="V18" s="108"/>
      <c r="W18" s="598"/>
    </row>
    <row r="19" spans="2:23" s="106" customFormat="1" ht="16.5" customHeight="1">
      <c r="B19" s="314"/>
      <c r="C19" s="108"/>
      <c r="E19" s="580" t="s">
        <v>131</v>
      </c>
      <c r="F19" s="581">
        <v>0.025</v>
      </c>
      <c r="G19" s="628"/>
      <c r="H19" s="108"/>
      <c r="I19" s="757"/>
      <c r="J19" s="758"/>
      <c r="K19" s="719" t="s">
        <v>183</v>
      </c>
      <c r="L19" s="720"/>
      <c r="M19" s="766">
        <v>30.733</v>
      </c>
      <c r="N19" s="767">
        <v>200</v>
      </c>
      <c r="R19" s="108"/>
      <c r="S19" s="108"/>
      <c r="T19" s="108"/>
      <c r="U19" s="108"/>
      <c r="V19" s="108"/>
      <c r="W19" s="598"/>
    </row>
    <row r="20" spans="2:23" s="106" customFormat="1" ht="16.5" customHeight="1">
      <c r="B20" s="314"/>
      <c r="C20" s="108"/>
      <c r="E20" s="576" t="s">
        <v>133</v>
      </c>
      <c r="F20" s="108">
        <f>MID(B13,16,2)*24</f>
        <v>696</v>
      </c>
      <c r="G20" s="108" t="s">
        <v>134</v>
      </c>
      <c r="H20" s="108"/>
      <c r="I20" s="108"/>
      <c r="J20" s="108"/>
      <c r="K20" s="714" t="s">
        <v>116</v>
      </c>
      <c r="L20" s="713"/>
      <c r="M20" s="715">
        <v>27.658</v>
      </c>
      <c r="N20" s="726">
        <v>100</v>
      </c>
      <c r="O20" s="108"/>
      <c r="P20" s="599"/>
      <c r="Q20" s="108"/>
      <c r="R20" s="108"/>
      <c r="S20" s="108"/>
      <c r="T20" s="108"/>
      <c r="U20" s="108"/>
      <c r="V20" s="108"/>
      <c r="W20" s="598"/>
    </row>
    <row r="21" spans="2:23" s="106" customFormat="1" ht="16.5" customHeight="1" thickBot="1">
      <c r="B21" s="314"/>
      <c r="C21" s="108"/>
      <c r="E21" s="576" t="s">
        <v>165</v>
      </c>
      <c r="F21" s="108">
        <v>0.154</v>
      </c>
      <c r="G21" s="106" t="s">
        <v>132</v>
      </c>
      <c r="H21" s="108"/>
      <c r="I21" s="108"/>
      <c r="J21" s="108"/>
      <c r="K21" s="716" t="s">
        <v>184</v>
      </c>
      <c r="L21" s="717"/>
      <c r="M21" s="718">
        <v>24.587</v>
      </c>
      <c r="N21" s="727">
        <v>40</v>
      </c>
      <c r="O21" s="108"/>
      <c r="P21" s="599"/>
      <c r="Q21" s="108"/>
      <c r="R21" s="108"/>
      <c r="S21" s="108"/>
      <c r="T21" s="108"/>
      <c r="U21" s="108"/>
      <c r="V21" s="108"/>
      <c r="W21" s="598"/>
    </row>
    <row r="22" spans="2:23" s="106" customFormat="1" ht="16.5" customHeight="1">
      <c r="B22" s="314"/>
      <c r="C22" s="108"/>
      <c r="D22" s="108"/>
      <c r="E22" s="310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598"/>
    </row>
    <row r="23" spans="1:23" ht="16.5" customHeight="1">
      <c r="A23" s="16"/>
      <c r="B23" s="124"/>
      <c r="C23" s="606" t="s">
        <v>135</v>
      </c>
      <c r="D23" s="107" t="s">
        <v>136</v>
      </c>
      <c r="I23" s="14"/>
      <c r="J23" s="106"/>
      <c r="O23" s="14"/>
      <c r="P23" s="14"/>
      <c r="Q23" s="14"/>
      <c r="R23" s="14"/>
      <c r="S23" s="14"/>
      <c r="T23" s="14"/>
      <c r="V23" s="14"/>
      <c r="W23" s="147"/>
    </row>
    <row r="24" spans="1:23" ht="10.5" customHeight="1" thickBot="1">
      <c r="A24" s="16"/>
      <c r="B24" s="124"/>
      <c r="C24" s="2"/>
      <c r="D24" s="107"/>
      <c r="I24" s="14"/>
      <c r="J24" s="106"/>
      <c r="O24" s="14"/>
      <c r="P24" s="14"/>
      <c r="Q24" s="14"/>
      <c r="R24" s="14"/>
      <c r="S24" s="14"/>
      <c r="T24" s="14"/>
      <c r="V24" s="14"/>
      <c r="W24" s="147"/>
    </row>
    <row r="25" spans="2:23" s="106" customFormat="1" ht="16.5" customHeight="1" thickBot="1" thickTop="1">
      <c r="B25" s="314"/>
      <c r="C25" s="308"/>
      <c r="D25"/>
      <c r="E25"/>
      <c r="F25"/>
      <c r="G25"/>
      <c r="H25"/>
      <c r="I25" s="640" t="s">
        <v>137</v>
      </c>
      <c r="J25" s="728">
        <f>+J72*F19</f>
        <v>14847.298200000003</v>
      </c>
      <c r="L25"/>
      <c r="S25"/>
      <c r="T25"/>
      <c r="U25"/>
      <c r="W25" s="598"/>
    </row>
    <row r="26" spans="2:23" s="106" customFormat="1" ht="11.25" customHeight="1" thickTop="1">
      <c r="B26" s="314"/>
      <c r="C26" s="308"/>
      <c r="D26" s="108"/>
      <c r="E26" s="310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/>
      <c r="W26" s="598"/>
    </row>
    <row r="27" spans="1:23" ht="16.5" customHeight="1">
      <c r="A27" s="16"/>
      <c r="B27" s="124"/>
      <c r="C27" s="606" t="s">
        <v>138</v>
      </c>
      <c r="D27" s="107" t="s">
        <v>139</v>
      </c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7"/>
    </row>
    <row r="28" spans="1:23" ht="13.5" customHeight="1" thickBot="1">
      <c r="A28" s="106"/>
      <c r="B28" s="124"/>
      <c r="C28" s="308"/>
      <c r="D28" s="308"/>
      <c r="E28" s="309"/>
      <c r="F28" s="310"/>
      <c r="G28" s="297"/>
      <c r="H28" s="297"/>
      <c r="I28" s="311"/>
      <c r="J28" s="311"/>
      <c r="K28" s="311"/>
      <c r="L28" s="311"/>
      <c r="M28" s="311"/>
      <c r="N28" s="311"/>
      <c r="O28" s="312"/>
      <c r="P28" s="311"/>
      <c r="Q28" s="311"/>
      <c r="R28" s="729"/>
      <c r="S28" s="730"/>
      <c r="T28" s="731"/>
      <c r="U28" s="731"/>
      <c r="V28" s="731"/>
      <c r="W28" s="152"/>
    </row>
    <row r="29" spans="1:26" s="16" customFormat="1" ht="33.75" customHeight="1" thickBot="1" thickTop="1">
      <c r="A29" s="61"/>
      <c r="B29" s="180"/>
      <c r="C29" s="203" t="s">
        <v>73</v>
      </c>
      <c r="D29" s="206" t="s">
        <v>106</v>
      </c>
      <c r="E29" s="204" t="s">
        <v>43</v>
      </c>
      <c r="F29" s="207" t="s">
        <v>107</v>
      </c>
      <c r="G29" s="208" t="s">
        <v>74</v>
      </c>
      <c r="H29" s="347" t="s">
        <v>78</v>
      </c>
      <c r="I29" s="204" t="s">
        <v>79</v>
      </c>
      <c r="J29" s="204" t="s">
        <v>80</v>
      </c>
      <c r="K29" s="206" t="s">
        <v>108</v>
      </c>
      <c r="L29" s="206" t="s">
        <v>82</v>
      </c>
      <c r="M29" s="171" t="s">
        <v>123</v>
      </c>
      <c r="N29" s="204" t="s">
        <v>86</v>
      </c>
      <c r="O29" s="680" t="s">
        <v>109</v>
      </c>
      <c r="P29" s="347" t="s">
        <v>142</v>
      </c>
      <c r="Q29" s="590" t="s">
        <v>87</v>
      </c>
      <c r="R29" s="582" t="s">
        <v>143</v>
      </c>
      <c r="S29" s="583"/>
      <c r="T29" s="593" t="s">
        <v>91</v>
      </c>
      <c r="U29" s="174" t="s">
        <v>93</v>
      </c>
      <c r="V29" s="208" t="s">
        <v>94</v>
      </c>
      <c r="W29" s="147"/>
      <c r="Y29"/>
      <c r="Z29"/>
    </row>
    <row r="30" spans="1:23" ht="16.5" customHeight="1" thickTop="1">
      <c r="A30" s="16"/>
      <c r="B30" s="124"/>
      <c r="C30" s="44"/>
      <c r="D30" s="44"/>
      <c r="E30" s="44"/>
      <c r="F30" s="44"/>
      <c r="G30" s="366"/>
      <c r="H30" s="563"/>
      <c r="I30" s="44"/>
      <c r="J30" s="44"/>
      <c r="K30" s="44"/>
      <c r="L30" s="44"/>
      <c r="M30" s="44"/>
      <c r="N30" s="367"/>
      <c r="O30" s="732"/>
      <c r="P30" s="594"/>
      <c r="Q30" s="595"/>
      <c r="R30" s="584"/>
      <c r="S30" s="585"/>
      <c r="T30" s="596"/>
      <c r="U30" s="367"/>
      <c r="V30" s="368"/>
      <c r="W30" s="147"/>
    </row>
    <row r="31" spans="1:23" ht="16.5" customHeight="1">
      <c r="A31" s="16"/>
      <c r="B31" s="124"/>
      <c r="C31" s="44" t="s">
        <v>204</v>
      </c>
      <c r="D31" s="45" t="s">
        <v>25</v>
      </c>
      <c r="E31" s="46" t="s">
        <v>20</v>
      </c>
      <c r="F31" s="47">
        <v>300</v>
      </c>
      <c r="G31" s="48" t="s">
        <v>11</v>
      </c>
      <c r="H31" s="564">
        <f>F31*$F$21</f>
        <v>46.2</v>
      </c>
      <c r="I31" s="51">
        <v>38028.13333333333</v>
      </c>
      <c r="J31" s="51">
        <v>38028.23819444444</v>
      </c>
      <c r="K31" s="52">
        <f>IF(D31="","",(J31-I31)*24)</f>
        <v>2.516666666662786</v>
      </c>
      <c r="L31" s="53">
        <f>IF(D31="","",(J31-I31)*24*60)</f>
        <v>150.99999999976717</v>
      </c>
      <c r="M31" s="828" t="s">
        <v>205</v>
      </c>
      <c r="N31" s="54" t="str">
        <f>IF(D31="","",IF(OR(M31="P",M31="RP"),"--","NO"))</f>
        <v>--</v>
      </c>
      <c r="O31" s="733" t="str">
        <f>IF(D31="","","NO")</f>
        <v>NO</v>
      </c>
      <c r="P31" s="532">
        <f>200*IF(O31="SI",1,0.1)*IF(M31="P",0.1,1)</f>
        <v>2</v>
      </c>
      <c r="Q31" s="591">
        <f>IF(M31="P",H31*P31*ROUND(L31/60,2),"--")</f>
        <v>232.848</v>
      </c>
      <c r="R31" s="586" t="str">
        <f>IF(AND(M31="F",N31="NO"),H31*P31,"--")</f>
        <v>--</v>
      </c>
      <c r="S31" s="587" t="str">
        <f>IF(M31="F",H31*P31*ROUND(L31/60,2),"--")</f>
        <v>--</v>
      </c>
      <c r="T31" s="511" t="str">
        <f>IF(M31="RF",H31*P31*ROUND(L31/60,2),"--")</f>
        <v>--</v>
      </c>
      <c r="U31" s="55" t="str">
        <f>IF(D31="","","SI")</f>
        <v>SI</v>
      </c>
      <c r="V31" s="210">
        <f>IF(D31="","",SUM(Q31:T31)*IF(U31="SI",1,2))</f>
        <v>232.848</v>
      </c>
      <c r="W31" s="152"/>
    </row>
    <row r="32" spans="1:23" ht="16.5" customHeight="1">
      <c r="A32" s="16"/>
      <c r="B32" s="124"/>
      <c r="C32" s="44" t="s">
        <v>208</v>
      </c>
      <c r="D32" s="45" t="s">
        <v>26</v>
      </c>
      <c r="E32" s="46" t="s">
        <v>193</v>
      </c>
      <c r="F32" s="47">
        <v>300</v>
      </c>
      <c r="G32" s="48" t="s">
        <v>17</v>
      </c>
      <c r="H32" s="564">
        <f>F32*$F$21</f>
        <v>46.2</v>
      </c>
      <c r="I32" s="50">
        <v>38029.177777777775</v>
      </c>
      <c r="J32" s="51">
        <v>38029.26111111111</v>
      </c>
      <c r="K32" s="52">
        <f>IF(D32="","",(J32-I32)*24)</f>
        <v>2.0000000000582077</v>
      </c>
      <c r="L32" s="53">
        <f>IF(D32="","",(J32-I32)*24*60)</f>
        <v>120.00000000349246</v>
      </c>
      <c r="M32" s="828" t="s">
        <v>205</v>
      </c>
      <c r="N32" s="54" t="str">
        <f>IF(D32="","",IF(OR(M32="P",M32="RP"),"--","NO"))</f>
        <v>--</v>
      </c>
      <c r="O32" s="733" t="str">
        <f>IF(D32="","","NO")</f>
        <v>NO</v>
      </c>
      <c r="P32" s="532">
        <f>200*IF(O32="SI",1,0.1)*IF(M32="P",0.1,1)</f>
        <v>2</v>
      </c>
      <c r="Q32" s="591">
        <f>IF(M32="P",H32*P32*ROUND(L32/60,2),"--")</f>
        <v>184.8</v>
      </c>
      <c r="R32" s="586" t="str">
        <f>IF(AND(M32="F",N32="NO"),H32*P32,"--")</f>
        <v>--</v>
      </c>
      <c r="S32" s="587" t="str">
        <f>IF(M32="F",H32*P32*ROUND(L32/60,2),"--")</f>
        <v>--</v>
      </c>
      <c r="T32" s="511" t="str">
        <f>IF(M32="RF",H32*P32*ROUND(L32/60,2),"--")</f>
        <v>--</v>
      </c>
      <c r="U32" s="55" t="str">
        <f>IF(D32="","","SI")</f>
        <v>SI</v>
      </c>
      <c r="V32" s="210">
        <f>IF(D32="","",SUM(Q32:T32)*IF(U32="SI",1,2))</f>
        <v>184.8</v>
      </c>
      <c r="W32" s="152"/>
    </row>
    <row r="33" spans="1:23" ht="16.5" customHeight="1" thickBot="1">
      <c r="A33" s="106"/>
      <c r="B33" s="124"/>
      <c r="C33" s="56"/>
      <c r="D33" s="369"/>
      <c r="E33" s="370"/>
      <c r="F33" s="371"/>
      <c r="G33" s="372"/>
      <c r="H33" s="565"/>
      <c r="I33" s="373"/>
      <c r="J33" s="374"/>
      <c r="K33" s="375"/>
      <c r="L33" s="376"/>
      <c r="M33" s="57"/>
      <c r="N33" s="30"/>
      <c r="O33" s="734"/>
      <c r="P33" s="533"/>
      <c r="Q33" s="592"/>
      <c r="R33" s="588"/>
      <c r="S33" s="589"/>
      <c r="T33" s="537"/>
      <c r="U33" s="377"/>
      <c r="V33" s="378"/>
      <c r="W33" s="152"/>
    </row>
    <row r="34" spans="1:23" ht="16.5" customHeight="1" thickBot="1" thickTop="1">
      <c r="A34" s="106"/>
      <c r="B34" s="124"/>
      <c r="C34" s="181"/>
      <c r="D34" s="1"/>
      <c r="E34" s="1"/>
      <c r="F34" s="243"/>
      <c r="G34" s="379"/>
      <c r="H34" s="380"/>
      <c r="I34" s="381"/>
      <c r="J34" s="382"/>
      <c r="K34" s="383"/>
      <c r="L34" s="384"/>
      <c r="M34" s="380"/>
      <c r="N34" s="385"/>
      <c r="O34" s="36"/>
      <c r="P34" s="386"/>
      <c r="Q34" s="387"/>
      <c r="R34" s="388"/>
      <c r="S34" s="388"/>
      <c r="T34" s="388"/>
      <c r="U34" s="342"/>
      <c r="V34" s="389">
        <f>SUM(V30:V33)</f>
        <v>417.648</v>
      </c>
      <c r="W34" s="152"/>
    </row>
    <row r="35" spans="1:23" ht="16.5" customHeight="1" thickBot="1" thickTop="1">
      <c r="A35" s="106"/>
      <c r="B35" s="124"/>
      <c r="C35" s="181"/>
      <c r="D35" s="1"/>
      <c r="E35" s="1"/>
      <c r="F35" s="243"/>
      <c r="G35" s="379"/>
      <c r="H35" s="380"/>
      <c r="I35" s="381"/>
      <c r="L35" s="384"/>
      <c r="M35" s="380"/>
      <c r="N35" s="703"/>
      <c r="O35" s="704"/>
      <c r="P35" s="386"/>
      <c r="Q35" s="387"/>
      <c r="R35" s="388"/>
      <c r="S35" s="388"/>
      <c r="T35" s="388"/>
      <c r="U35" s="342"/>
      <c r="V35" s="342"/>
      <c r="W35" s="152"/>
    </row>
    <row r="36" spans="2:23" s="16" customFormat="1" ht="33.75" customHeight="1" thickBot="1" thickTop="1">
      <c r="B36" s="124"/>
      <c r="C36" s="164" t="s">
        <v>73</v>
      </c>
      <c r="D36" s="172" t="s">
        <v>106</v>
      </c>
      <c r="E36" s="943" t="s">
        <v>43</v>
      </c>
      <c r="F36" s="944"/>
      <c r="G36" s="174" t="s">
        <v>74</v>
      </c>
      <c r="H36" s="347" t="s">
        <v>78</v>
      </c>
      <c r="I36" s="166" t="s">
        <v>79</v>
      </c>
      <c r="J36" s="168" t="s">
        <v>80</v>
      </c>
      <c r="K36" s="235" t="s">
        <v>81</v>
      </c>
      <c r="L36" s="235" t="s">
        <v>82</v>
      </c>
      <c r="M36" s="171" t="s">
        <v>83</v>
      </c>
      <c r="N36" s="943" t="s">
        <v>86</v>
      </c>
      <c r="O36" s="955"/>
      <c r="P36" s="496" t="s">
        <v>77</v>
      </c>
      <c r="Q36" s="484" t="s">
        <v>99</v>
      </c>
      <c r="R36" s="503" t="s">
        <v>118</v>
      </c>
      <c r="S36" s="504"/>
      <c r="T36" s="513" t="s">
        <v>91</v>
      </c>
      <c r="U36" s="174" t="s">
        <v>93</v>
      </c>
      <c r="V36" s="208" t="s">
        <v>94</v>
      </c>
      <c r="W36" s="128"/>
    </row>
    <row r="37" spans="2:23" s="16" customFormat="1" ht="16.5" customHeight="1" thickTop="1">
      <c r="B37" s="124"/>
      <c r="C37" s="20"/>
      <c r="D37" s="67"/>
      <c r="E37" s="945"/>
      <c r="F37" s="946"/>
      <c r="G37" s="67"/>
      <c r="H37" s="357"/>
      <c r="I37" s="67"/>
      <c r="J37" s="67"/>
      <c r="K37" s="67"/>
      <c r="L37" s="67"/>
      <c r="M37" s="67"/>
      <c r="N37" s="67"/>
      <c r="O37" s="735"/>
      <c r="P37" s="495"/>
      <c r="Q37" s="499"/>
      <c r="R37" s="507"/>
      <c r="S37" s="508"/>
      <c r="T37" s="511"/>
      <c r="U37" s="67"/>
      <c r="V37" s="236"/>
      <c r="W37" s="128"/>
    </row>
    <row r="38" spans="2:23" s="16" customFormat="1" ht="16.5" customHeight="1">
      <c r="B38" s="124"/>
      <c r="C38" s="20" t="s">
        <v>212</v>
      </c>
      <c r="D38" s="67" t="s">
        <v>26</v>
      </c>
      <c r="E38" s="945" t="s">
        <v>250</v>
      </c>
      <c r="F38" s="946"/>
      <c r="G38" s="865">
        <v>132</v>
      </c>
      <c r="H38" s="348">
        <f aca="true" t="shared" si="0" ref="H38:H57">IF(G38=500,$M$19,IF(G38=220,$M$20,$M$21))</f>
        <v>24.587</v>
      </c>
      <c r="I38" s="69">
        <v>38020.43194444444</v>
      </c>
      <c r="J38" s="70">
        <v>38020.63958333333</v>
      </c>
      <c r="K38" s="71">
        <f aca="true" t="shared" si="1" ref="K38:K57">IF(D38="","",(J38-I38)*24)</f>
        <v>4.983333333337214</v>
      </c>
      <c r="L38" s="28">
        <f aca="true" t="shared" si="2" ref="L38:L57">IF(D38="","",ROUND((J38-I38)*24*60,0))</f>
        <v>299</v>
      </c>
      <c r="M38" s="789" t="s">
        <v>205</v>
      </c>
      <c r="N38" s="953" t="str">
        <f aca="true" t="shared" si="3" ref="N38:N57">IF(D38="","",IF(OR(M38="P",M38="RP"),"--","NO"))</f>
        <v>--</v>
      </c>
      <c r="O38" s="954"/>
      <c r="P38" s="497">
        <f aca="true" t="shared" si="4" ref="P38:P57">IF(G38=500,$N$19,IF(G38=220,$N$20,$N$21))</f>
        <v>40</v>
      </c>
      <c r="Q38" s="500">
        <f aca="true" t="shared" si="5" ref="Q38:Q57">IF(M38="P",H38*P38*ROUND(L38/60,2)*0.1,"--")</f>
        <v>489.77304000000004</v>
      </c>
      <c r="R38" s="507" t="str">
        <f aca="true" t="shared" si="6" ref="R38:R57">IF(AND(M38="F",N38="NO"),H38*P38,"--")</f>
        <v>--</v>
      </c>
      <c r="S38" s="508" t="str">
        <f aca="true" t="shared" si="7" ref="S38:S57">IF(M38="F",H38*P38*ROUND(L38/60,2),"--")</f>
        <v>--</v>
      </c>
      <c r="T38" s="511" t="str">
        <f aca="true" t="shared" si="8" ref="T38:T57">IF(M38="RF",H38*P38*ROUND(L38/60,2),"--")</f>
        <v>--</v>
      </c>
      <c r="U38" s="73" t="str">
        <f aca="true" t="shared" si="9" ref="U38:U57">IF(D38="","","SI")</f>
        <v>SI</v>
      </c>
      <c r="V38" s="74">
        <f aca="true" t="shared" si="10" ref="V38:V57">IF(D38="","",SUM(Q38:T38)*IF(U38="SI",1,2))</f>
        <v>489.77304000000004</v>
      </c>
      <c r="W38" s="128"/>
    </row>
    <row r="39" spans="2:23" s="16" customFormat="1" ht="16.5" customHeight="1">
      <c r="B39" s="124"/>
      <c r="C39" s="20" t="s">
        <v>213</v>
      </c>
      <c r="D39" s="67" t="s">
        <v>26</v>
      </c>
      <c r="E39" s="945" t="s">
        <v>250</v>
      </c>
      <c r="F39" s="946"/>
      <c r="G39" s="865">
        <v>132</v>
      </c>
      <c r="H39" s="348">
        <f t="shared" si="0"/>
        <v>24.587</v>
      </c>
      <c r="I39" s="69">
        <v>38021.354166666664</v>
      </c>
      <c r="J39" s="70">
        <v>38021.6375</v>
      </c>
      <c r="K39" s="71">
        <f t="shared" si="1"/>
        <v>6.7999999999883585</v>
      </c>
      <c r="L39" s="28">
        <f t="shared" si="2"/>
        <v>408</v>
      </c>
      <c r="M39" s="789" t="s">
        <v>205</v>
      </c>
      <c r="N39" s="953" t="str">
        <f t="shared" si="3"/>
        <v>--</v>
      </c>
      <c r="O39" s="954"/>
      <c r="P39" s="497">
        <f t="shared" si="4"/>
        <v>40</v>
      </c>
      <c r="Q39" s="500">
        <f t="shared" si="5"/>
        <v>668.7664</v>
      </c>
      <c r="R39" s="507" t="str">
        <f t="shared" si="6"/>
        <v>--</v>
      </c>
      <c r="S39" s="508" t="str">
        <f t="shared" si="7"/>
        <v>--</v>
      </c>
      <c r="T39" s="511" t="str">
        <f t="shared" si="8"/>
        <v>--</v>
      </c>
      <c r="U39" s="73" t="str">
        <f t="shared" si="9"/>
        <v>SI</v>
      </c>
      <c r="V39" s="74">
        <f t="shared" si="10"/>
        <v>668.7664</v>
      </c>
      <c r="W39" s="128"/>
    </row>
    <row r="40" spans="2:23" s="16" customFormat="1" ht="16.5" customHeight="1">
      <c r="B40" s="124"/>
      <c r="C40" s="20" t="s">
        <v>214</v>
      </c>
      <c r="D40" s="67" t="s">
        <v>27</v>
      </c>
      <c r="E40" s="945" t="s">
        <v>250</v>
      </c>
      <c r="F40" s="946"/>
      <c r="G40" s="865">
        <v>132</v>
      </c>
      <c r="H40" s="348">
        <f t="shared" si="0"/>
        <v>24.587</v>
      </c>
      <c r="I40" s="69">
        <v>38021.44930555556</v>
      </c>
      <c r="J40" s="70">
        <v>38021.6375</v>
      </c>
      <c r="K40" s="71">
        <f t="shared" si="1"/>
        <v>4.516666666546371</v>
      </c>
      <c r="L40" s="28">
        <f t="shared" si="2"/>
        <v>271</v>
      </c>
      <c r="M40" s="789" t="s">
        <v>205</v>
      </c>
      <c r="N40" s="953" t="str">
        <f t="shared" si="3"/>
        <v>--</v>
      </c>
      <c r="O40" s="954"/>
      <c r="P40" s="497">
        <f t="shared" si="4"/>
        <v>40</v>
      </c>
      <c r="Q40" s="500">
        <f t="shared" si="5"/>
        <v>444.53296</v>
      </c>
      <c r="R40" s="507" t="str">
        <f t="shared" si="6"/>
        <v>--</v>
      </c>
      <c r="S40" s="508" t="str">
        <f t="shared" si="7"/>
        <v>--</v>
      </c>
      <c r="T40" s="511" t="str">
        <f t="shared" si="8"/>
        <v>--</v>
      </c>
      <c r="U40" s="73" t="str">
        <f t="shared" si="9"/>
        <v>SI</v>
      </c>
      <c r="V40" s="74">
        <f t="shared" si="10"/>
        <v>444.53296</v>
      </c>
      <c r="W40" s="128"/>
    </row>
    <row r="41" spans="2:23" s="16" customFormat="1" ht="16.5" customHeight="1">
      <c r="B41" s="124"/>
      <c r="C41" s="20" t="s">
        <v>215</v>
      </c>
      <c r="D41" s="67" t="s">
        <v>26</v>
      </c>
      <c r="E41" s="945" t="s">
        <v>250</v>
      </c>
      <c r="F41" s="946"/>
      <c r="G41" s="865">
        <v>132</v>
      </c>
      <c r="H41" s="348">
        <f t="shared" si="0"/>
        <v>24.587</v>
      </c>
      <c r="I41" s="69">
        <v>38022.36319444444</v>
      </c>
      <c r="J41" s="70">
        <v>38022.62430555555</v>
      </c>
      <c r="K41" s="71">
        <f t="shared" si="1"/>
        <v>6.266666666662786</v>
      </c>
      <c r="L41" s="28">
        <f t="shared" si="2"/>
        <v>376</v>
      </c>
      <c r="M41" s="789" t="s">
        <v>205</v>
      </c>
      <c r="N41" s="953" t="str">
        <f t="shared" si="3"/>
        <v>--</v>
      </c>
      <c r="O41" s="954"/>
      <c r="P41" s="497">
        <f t="shared" si="4"/>
        <v>40</v>
      </c>
      <c r="Q41" s="500">
        <f t="shared" si="5"/>
        <v>616.6419599999999</v>
      </c>
      <c r="R41" s="507" t="str">
        <f t="shared" si="6"/>
        <v>--</v>
      </c>
      <c r="S41" s="508" t="str">
        <f t="shared" si="7"/>
        <v>--</v>
      </c>
      <c r="T41" s="511" t="str">
        <f t="shared" si="8"/>
        <v>--</v>
      </c>
      <c r="U41" s="73" t="str">
        <f t="shared" si="9"/>
        <v>SI</v>
      </c>
      <c r="V41" s="74">
        <f t="shared" si="10"/>
        <v>616.6419599999999</v>
      </c>
      <c r="W41" s="128"/>
    </row>
    <row r="42" spans="2:23" s="16" customFormat="1" ht="16.5" customHeight="1">
      <c r="B42" s="124"/>
      <c r="C42" s="20" t="s">
        <v>216</v>
      </c>
      <c r="D42" s="67" t="s">
        <v>26</v>
      </c>
      <c r="E42" s="945" t="s">
        <v>250</v>
      </c>
      <c r="F42" s="946"/>
      <c r="G42" s="865">
        <v>132</v>
      </c>
      <c r="H42" s="348">
        <f t="shared" si="0"/>
        <v>24.587</v>
      </c>
      <c r="I42" s="69">
        <v>38022.365277777775</v>
      </c>
      <c r="J42" s="70">
        <v>38022.59444444445</v>
      </c>
      <c r="K42" s="71">
        <f t="shared" si="1"/>
        <v>5.500000000116415</v>
      </c>
      <c r="L42" s="28">
        <f t="shared" si="2"/>
        <v>330</v>
      </c>
      <c r="M42" s="789" t="s">
        <v>205</v>
      </c>
      <c r="N42" s="953" t="str">
        <f t="shared" si="3"/>
        <v>--</v>
      </c>
      <c r="O42" s="954"/>
      <c r="P42" s="497">
        <f t="shared" si="4"/>
        <v>40</v>
      </c>
      <c r="Q42" s="500">
        <f t="shared" si="5"/>
        <v>540.9140000000001</v>
      </c>
      <c r="R42" s="507" t="str">
        <f t="shared" si="6"/>
        <v>--</v>
      </c>
      <c r="S42" s="508" t="str">
        <f t="shared" si="7"/>
        <v>--</v>
      </c>
      <c r="T42" s="511" t="str">
        <f t="shared" si="8"/>
        <v>--</v>
      </c>
      <c r="U42" s="73" t="str">
        <f t="shared" si="9"/>
        <v>SI</v>
      </c>
      <c r="V42" s="74">
        <f t="shared" si="10"/>
        <v>540.9140000000001</v>
      </c>
      <c r="W42" s="128"/>
    </row>
    <row r="43" spans="2:23" s="16" customFormat="1" ht="16.5" customHeight="1">
      <c r="B43" s="124"/>
      <c r="C43" s="20" t="s">
        <v>217</v>
      </c>
      <c r="D43" s="67" t="s">
        <v>27</v>
      </c>
      <c r="E43" s="945" t="s">
        <v>250</v>
      </c>
      <c r="F43" s="946"/>
      <c r="G43" s="865">
        <v>132</v>
      </c>
      <c r="H43" s="348">
        <f t="shared" si="0"/>
        <v>24.587</v>
      </c>
      <c r="I43" s="69">
        <v>38023.24930555555</v>
      </c>
      <c r="J43" s="70">
        <v>38023.41180555556</v>
      </c>
      <c r="K43" s="71">
        <f t="shared" si="1"/>
        <v>3.9000000001396984</v>
      </c>
      <c r="L43" s="28">
        <f t="shared" si="2"/>
        <v>234</v>
      </c>
      <c r="M43" s="789" t="s">
        <v>205</v>
      </c>
      <c r="N43" s="953" t="str">
        <f t="shared" si="3"/>
        <v>--</v>
      </c>
      <c r="O43" s="954"/>
      <c r="P43" s="497">
        <f t="shared" si="4"/>
        <v>40</v>
      </c>
      <c r="Q43" s="500">
        <f t="shared" si="5"/>
        <v>383.5572</v>
      </c>
      <c r="R43" s="507" t="str">
        <f t="shared" si="6"/>
        <v>--</v>
      </c>
      <c r="S43" s="508" t="str">
        <f t="shared" si="7"/>
        <v>--</v>
      </c>
      <c r="T43" s="511" t="str">
        <f t="shared" si="8"/>
        <v>--</v>
      </c>
      <c r="U43" s="73" t="str">
        <f t="shared" si="9"/>
        <v>SI</v>
      </c>
      <c r="V43" s="74">
        <f t="shared" si="10"/>
        <v>383.5572</v>
      </c>
      <c r="W43" s="128"/>
    </row>
    <row r="44" spans="2:23" s="16" customFormat="1" ht="16.5" customHeight="1">
      <c r="B44" s="124"/>
      <c r="C44" s="20" t="s">
        <v>218</v>
      </c>
      <c r="D44" s="67" t="s">
        <v>26</v>
      </c>
      <c r="E44" s="945" t="s">
        <v>250</v>
      </c>
      <c r="F44" s="946"/>
      <c r="G44" s="865">
        <v>132</v>
      </c>
      <c r="H44" s="348">
        <f t="shared" si="0"/>
        <v>24.587</v>
      </c>
      <c r="I44" s="69">
        <v>38023.34444444445</v>
      </c>
      <c r="J44" s="70">
        <v>38023.59583333333</v>
      </c>
      <c r="K44" s="71">
        <f t="shared" si="1"/>
        <v>6.033333333267365</v>
      </c>
      <c r="L44" s="28">
        <f t="shared" si="2"/>
        <v>362</v>
      </c>
      <c r="M44" s="789" t="s">
        <v>205</v>
      </c>
      <c r="N44" s="953" t="str">
        <f t="shared" si="3"/>
        <v>--</v>
      </c>
      <c r="O44" s="954"/>
      <c r="P44" s="497">
        <f t="shared" si="4"/>
        <v>40</v>
      </c>
      <c r="Q44" s="500">
        <f t="shared" si="5"/>
        <v>593.03844</v>
      </c>
      <c r="R44" s="507" t="str">
        <f t="shared" si="6"/>
        <v>--</v>
      </c>
      <c r="S44" s="508" t="str">
        <f t="shared" si="7"/>
        <v>--</v>
      </c>
      <c r="T44" s="511" t="str">
        <f t="shared" si="8"/>
        <v>--</v>
      </c>
      <c r="U44" s="73" t="str">
        <f t="shared" si="9"/>
        <v>SI</v>
      </c>
      <c r="V44" s="74">
        <f t="shared" si="10"/>
        <v>593.03844</v>
      </c>
      <c r="W44" s="128"/>
    </row>
    <row r="45" spans="2:23" s="16" customFormat="1" ht="16.5" customHeight="1">
      <c r="B45" s="124"/>
      <c r="C45" s="20" t="s">
        <v>219</v>
      </c>
      <c r="D45" s="67" t="s">
        <v>26</v>
      </c>
      <c r="E45" s="945" t="s">
        <v>250</v>
      </c>
      <c r="F45" s="946"/>
      <c r="G45" s="865">
        <v>132</v>
      </c>
      <c r="H45" s="348">
        <f t="shared" si="0"/>
        <v>24.587</v>
      </c>
      <c r="I45" s="69">
        <v>38031.271527777775</v>
      </c>
      <c r="J45" s="70">
        <v>38031.368055555555</v>
      </c>
      <c r="K45" s="71">
        <f t="shared" si="1"/>
        <v>2.3166666667093523</v>
      </c>
      <c r="L45" s="28">
        <f t="shared" si="2"/>
        <v>139</v>
      </c>
      <c r="M45" s="789" t="s">
        <v>205</v>
      </c>
      <c r="N45" s="953" t="str">
        <f t="shared" si="3"/>
        <v>--</v>
      </c>
      <c r="O45" s="954"/>
      <c r="P45" s="497">
        <f t="shared" si="4"/>
        <v>40</v>
      </c>
      <c r="Q45" s="500">
        <f t="shared" si="5"/>
        <v>228.16736000000003</v>
      </c>
      <c r="R45" s="507" t="str">
        <f t="shared" si="6"/>
        <v>--</v>
      </c>
      <c r="S45" s="508" t="str">
        <f t="shared" si="7"/>
        <v>--</v>
      </c>
      <c r="T45" s="511" t="str">
        <f t="shared" si="8"/>
        <v>--</v>
      </c>
      <c r="U45" s="73" t="str">
        <f t="shared" si="9"/>
        <v>SI</v>
      </c>
      <c r="V45" s="74">
        <f t="shared" si="10"/>
        <v>228.16736000000003</v>
      </c>
      <c r="W45" s="128"/>
    </row>
    <row r="46" spans="2:23" s="16" customFormat="1" ht="16.5" customHeight="1">
      <c r="B46" s="124"/>
      <c r="C46" s="20" t="s">
        <v>220</v>
      </c>
      <c r="D46" s="67" t="s">
        <v>25</v>
      </c>
      <c r="E46" s="945" t="s">
        <v>250</v>
      </c>
      <c r="F46" s="946"/>
      <c r="G46" s="865">
        <v>132</v>
      </c>
      <c r="H46" s="348">
        <f t="shared" si="0"/>
        <v>24.587</v>
      </c>
      <c r="I46" s="69">
        <v>38040.37569444445</v>
      </c>
      <c r="J46" s="70">
        <v>38040.60625</v>
      </c>
      <c r="K46" s="71">
        <f t="shared" si="1"/>
        <v>5.533333333209157</v>
      </c>
      <c r="L46" s="28">
        <f t="shared" si="2"/>
        <v>332</v>
      </c>
      <c r="M46" s="789" t="s">
        <v>205</v>
      </c>
      <c r="N46" s="953" t="str">
        <f t="shared" si="3"/>
        <v>--</v>
      </c>
      <c r="O46" s="954"/>
      <c r="P46" s="497">
        <f t="shared" si="4"/>
        <v>40</v>
      </c>
      <c r="Q46" s="500">
        <f t="shared" si="5"/>
        <v>543.8644400000001</v>
      </c>
      <c r="R46" s="507" t="str">
        <f t="shared" si="6"/>
        <v>--</v>
      </c>
      <c r="S46" s="508" t="str">
        <f t="shared" si="7"/>
        <v>--</v>
      </c>
      <c r="T46" s="511" t="str">
        <f t="shared" si="8"/>
        <v>--</v>
      </c>
      <c r="U46" s="73" t="str">
        <f t="shared" si="9"/>
        <v>SI</v>
      </c>
      <c r="V46" s="74">
        <f t="shared" si="10"/>
        <v>543.8644400000001</v>
      </c>
      <c r="W46" s="128"/>
    </row>
    <row r="47" spans="2:23" s="16" customFormat="1" ht="16.5" customHeight="1">
      <c r="B47" s="124"/>
      <c r="C47" s="20" t="s">
        <v>221</v>
      </c>
      <c r="D47" s="67" t="s">
        <v>26</v>
      </c>
      <c r="E47" s="945" t="s">
        <v>250</v>
      </c>
      <c r="F47" s="946"/>
      <c r="G47" s="865">
        <v>132</v>
      </c>
      <c r="H47" s="348">
        <f t="shared" si="0"/>
        <v>24.587</v>
      </c>
      <c r="I47" s="69">
        <v>38041.35</v>
      </c>
      <c r="J47" s="70">
        <v>38041.63611111111</v>
      </c>
      <c r="K47" s="71">
        <f t="shared" si="1"/>
        <v>6.866666666697711</v>
      </c>
      <c r="L47" s="28">
        <f t="shared" si="2"/>
        <v>412</v>
      </c>
      <c r="M47" s="789" t="s">
        <v>205</v>
      </c>
      <c r="N47" s="953" t="str">
        <f t="shared" si="3"/>
        <v>--</v>
      </c>
      <c r="O47" s="954"/>
      <c r="P47" s="497">
        <f t="shared" si="4"/>
        <v>40</v>
      </c>
      <c r="Q47" s="500">
        <f t="shared" si="5"/>
        <v>675.65076</v>
      </c>
      <c r="R47" s="507" t="str">
        <f t="shared" si="6"/>
        <v>--</v>
      </c>
      <c r="S47" s="508" t="str">
        <f t="shared" si="7"/>
        <v>--</v>
      </c>
      <c r="T47" s="511" t="str">
        <f t="shared" si="8"/>
        <v>--</v>
      </c>
      <c r="U47" s="73" t="str">
        <f t="shared" si="9"/>
        <v>SI</v>
      </c>
      <c r="V47" s="74">
        <f t="shared" si="10"/>
        <v>675.65076</v>
      </c>
      <c r="W47" s="128"/>
    </row>
    <row r="48" spans="2:23" s="16" customFormat="1" ht="16.5" customHeight="1">
      <c r="B48" s="124"/>
      <c r="C48" s="20" t="s">
        <v>222</v>
      </c>
      <c r="D48" s="67" t="s">
        <v>25</v>
      </c>
      <c r="E48" s="945" t="s">
        <v>250</v>
      </c>
      <c r="F48" s="946"/>
      <c r="G48" s="865">
        <v>132</v>
      </c>
      <c r="H48" s="348">
        <f t="shared" si="0"/>
        <v>24.587</v>
      </c>
      <c r="I48" s="69">
        <v>38041.36319444444</v>
      </c>
      <c r="J48" s="70">
        <v>38041.64166666667</v>
      </c>
      <c r="K48" s="71">
        <f t="shared" si="1"/>
        <v>6.683333333465271</v>
      </c>
      <c r="L48" s="28">
        <f t="shared" si="2"/>
        <v>401</v>
      </c>
      <c r="M48" s="789" t="s">
        <v>205</v>
      </c>
      <c r="N48" s="953" t="str">
        <f t="shared" si="3"/>
        <v>--</v>
      </c>
      <c r="O48" s="954"/>
      <c r="P48" s="497">
        <f t="shared" si="4"/>
        <v>40</v>
      </c>
      <c r="Q48" s="500">
        <f t="shared" si="5"/>
        <v>656.96464</v>
      </c>
      <c r="R48" s="507" t="str">
        <f t="shared" si="6"/>
        <v>--</v>
      </c>
      <c r="S48" s="508" t="str">
        <f t="shared" si="7"/>
        <v>--</v>
      </c>
      <c r="T48" s="511" t="str">
        <f t="shared" si="8"/>
        <v>--</v>
      </c>
      <c r="U48" s="73" t="str">
        <f t="shared" si="9"/>
        <v>SI</v>
      </c>
      <c r="V48" s="74">
        <f t="shared" si="10"/>
        <v>656.96464</v>
      </c>
      <c r="W48" s="128"/>
    </row>
    <row r="49" spans="2:23" s="16" customFormat="1" ht="16.5" customHeight="1">
      <c r="B49" s="124"/>
      <c r="C49" s="20" t="s">
        <v>223</v>
      </c>
      <c r="D49" s="67" t="s">
        <v>27</v>
      </c>
      <c r="E49" s="945" t="s">
        <v>250</v>
      </c>
      <c r="F49" s="946"/>
      <c r="G49" s="865">
        <v>132</v>
      </c>
      <c r="H49" s="348">
        <f t="shared" si="0"/>
        <v>24.587</v>
      </c>
      <c r="I49" s="69">
        <v>38041.37986111111</v>
      </c>
      <c r="J49" s="70">
        <v>38041.63680555556</v>
      </c>
      <c r="K49" s="71">
        <f t="shared" si="1"/>
        <v>6.166666666686069</v>
      </c>
      <c r="L49" s="28">
        <f t="shared" si="2"/>
        <v>370</v>
      </c>
      <c r="M49" s="789" t="s">
        <v>205</v>
      </c>
      <c r="N49" s="953" t="str">
        <f t="shared" si="3"/>
        <v>--</v>
      </c>
      <c r="O49" s="954"/>
      <c r="P49" s="497">
        <f t="shared" si="4"/>
        <v>40</v>
      </c>
      <c r="Q49" s="500">
        <f t="shared" si="5"/>
        <v>606.8071600000001</v>
      </c>
      <c r="R49" s="507" t="str">
        <f t="shared" si="6"/>
        <v>--</v>
      </c>
      <c r="S49" s="508" t="str">
        <f t="shared" si="7"/>
        <v>--</v>
      </c>
      <c r="T49" s="511" t="str">
        <f t="shared" si="8"/>
        <v>--</v>
      </c>
      <c r="U49" s="73" t="str">
        <f t="shared" si="9"/>
        <v>SI</v>
      </c>
      <c r="V49" s="74">
        <f t="shared" si="10"/>
        <v>606.8071600000001</v>
      </c>
      <c r="W49" s="128"/>
    </row>
    <row r="50" spans="2:23" s="16" customFormat="1" ht="16.5" customHeight="1">
      <c r="B50" s="124"/>
      <c r="C50" s="20" t="s">
        <v>224</v>
      </c>
      <c r="D50" s="67" t="s">
        <v>27</v>
      </c>
      <c r="E50" s="945" t="s">
        <v>250</v>
      </c>
      <c r="F50" s="946"/>
      <c r="G50" s="865">
        <v>132</v>
      </c>
      <c r="H50" s="348">
        <f t="shared" si="0"/>
        <v>24.587</v>
      </c>
      <c r="I50" s="69">
        <v>38041.666666666664</v>
      </c>
      <c r="J50" s="70">
        <v>38041.69027777778</v>
      </c>
      <c r="K50" s="71">
        <f t="shared" si="1"/>
        <v>0.56666666676756</v>
      </c>
      <c r="L50" s="28">
        <f t="shared" si="2"/>
        <v>34</v>
      </c>
      <c r="M50" s="789" t="s">
        <v>197</v>
      </c>
      <c r="N50" s="953" t="str">
        <f t="shared" si="3"/>
        <v>NO</v>
      </c>
      <c r="O50" s="954"/>
      <c r="P50" s="497">
        <f t="shared" si="4"/>
        <v>40</v>
      </c>
      <c r="Q50" s="500" t="str">
        <f t="shared" si="5"/>
        <v>--</v>
      </c>
      <c r="R50" s="507">
        <f t="shared" si="6"/>
        <v>983.48</v>
      </c>
      <c r="S50" s="508">
        <f t="shared" si="7"/>
        <v>560.5835999999999</v>
      </c>
      <c r="T50" s="511" t="str">
        <f t="shared" si="8"/>
        <v>--</v>
      </c>
      <c r="U50" s="73" t="str">
        <f t="shared" si="9"/>
        <v>SI</v>
      </c>
      <c r="V50" s="74">
        <f t="shared" si="10"/>
        <v>1544.0636</v>
      </c>
      <c r="W50" s="128"/>
    </row>
    <row r="51" spans="2:23" s="16" customFormat="1" ht="16.5" customHeight="1">
      <c r="B51" s="124"/>
      <c r="C51" s="20" t="s">
        <v>225</v>
      </c>
      <c r="D51" s="67" t="s">
        <v>25</v>
      </c>
      <c r="E51" s="945" t="s">
        <v>250</v>
      </c>
      <c r="F51" s="946"/>
      <c r="G51" s="865">
        <v>132</v>
      </c>
      <c r="H51" s="348">
        <f t="shared" si="0"/>
        <v>24.587</v>
      </c>
      <c r="I51" s="69">
        <v>38042.33819444444</v>
      </c>
      <c r="J51" s="70">
        <v>38042.722916666666</v>
      </c>
      <c r="K51" s="71">
        <f t="shared" si="1"/>
        <v>9.233333333395422</v>
      </c>
      <c r="L51" s="28">
        <f t="shared" si="2"/>
        <v>554</v>
      </c>
      <c r="M51" s="789" t="s">
        <v>205</v>
      </c>
      <c r="N51" s="953" t="str">
        <f t="shared" si="3"/>
        <v>--</v>
      </c>
      <c r="O51" s="954"/>
      <c r="P51" s="497">
        <f t="shared" si="4"/>
        <v>40</v>
      </c>
      <c r="Q51" s="500">
        <f t="shared" si="5"/>
        <v>907.7520400000002</v>
      </c>
      <c r="R51" s="507" t="str">
        <f t="shared" si="6"/>
        <v>--</v>
      </c>
      <c r="S51" s="508" t="str">
        <f t="shared" si="7"/>
        <v>--</v>
      </c>
      <c r="T51" s="511" t="str">
        <f t="shared" si="8"/>
        <v>--</v>
      </c>
      <c r="U51" s="73" t="str">
        <f t="shared" si="9"/>
        <v>SI</v>
      </c>
      <c r="V51" s="74">
        <f t="shared" si="10"/>
        <v>907.7520400000002</v>
      </c>
      <c r="W51" s="128"/>
    </row>
    <row r="52" spans="2:23" s="16" customFormat="1" ht="16.5" customHeight="1">
      <c r="B52" s="124"/>
      <c r="C52" s="20" t="s">
        <v>226</v>
      </c>
      <c r="D52" s="67" t="s">
        <v>26</v>
      </c>
      <c r="E52" s="945" t="s">
        <v>250</v>
      </c>
      <c r="F52" s="946"/>
      <c r="G52" s="865">
        <v>132</v>
      </c>
      <c r="H52" s="348">
        <f t="shared" si="0"/>
        <v>24.587</v>
      </c>
      <c r="I52" s="69">
        <v>38042.35277777778</v>
      </c>
      <c r="J52" s="70">
        <v>38042.61319444444</v>
      </c>
      <c r="K52" s="71">
        <f t="shared" si="1"/>
        <v>6.249999999941792</v>
      </c>
      <c r="L52" s="28">
        <f t="shared" si="2"/>
        <v>375</v>
      </c>
      <c r="M52" s="789" t="s">
        <v>205</v>
      </c>
      <c r="N52" s="953" t="str">
        <f t="shared" si="3"/>
        <v>--</v>
      </c>
      <c r="O52" s="954"/>
      <c r="P52" s="497">
        <f t="shared" si="4"/>
        <v>40</v>
      </c>
      <c r="Q52" s="500">
        <f t="shared" si="5"/>
        <v>614.6750000000001</v>
      </c>
      <c r="R52" s="507" t="str">
        <f t="shared" si="6"/>
        <v>--</v>
      </c>
      <c r="S52" s="508" t="str">
        <f t="shared" si="7"/>
        <v>--</v>
      </c>
      <c r="T52" s="511" t="str">
        <f t="shared" si="8"/>
        <v>--</v>
      </c>
      <c r="U52" s="73" t="str">
        <f t="shared" si="9"/>
        <v>SI</v>
      </c>
      <c r="V52" s="74">
        <f t="shared" si="10"/>
        <v>614.6750000000001</v>
      </c>
      <c r="W52" s="128"/>
    </row>
    <row r="53" spans="2:23" s="16" customFormat="1" ht="16.5" customHeight="1">
      <c r="B53" s="124"/>
      <c r="C53" s="20" t="s">
        <v>227</v>
      </c>
      <c r="D53" s="67" t="s">
        <v>27</v>
      </c>
      <c r="E53" s="945" t="s">
        <v>250</v>
      </c>
      <c r="F53" s="946"/>
      <c r="G53" s="865">
        <v>132</v>
      </c>
      <c r="H53" s="348">
        <f t="shared" si="0"/>
        <v>24.587</v>
      </c>
      <c r="I53" s="69">
        <v>38042.40555555555</v>
      </c>
      <c r="J53" s="70">
        <v>38042.62569444445</v>
      </c>
      <c r="K53" s="71">
        <f t="shared" si="1"/>
        <v>5.283333333441988</v>
      </c>
      <c r="L53" s="28">
        <f t="shared" si="2"/>
        <v>317</v>
      </c>
      <c r="M53" s="789" t="s">
        <v>205</v>
      </c>
      <c r="N53" s="953" t="str">
        <f t="shared" si="3"/>
        <v>--</v>
      </c>
      <c r="O53" s="954"/>
      <c r="P53" s="497">
        <f t="shared" si="4"/>
        <v>40</v>
      </c>
      <c r="Q53" s="500">
        <f t="shared" si="5"/>
        <v>519.2774400000001</v>
      </c>
      <c r="R53" s="507" t="str">
        <f t="shared" si="6"/>
        <v>--</v>
      </c>
      <c r="S53" s="508" t="str">
        <f t="shared" si="7"/>
        <v>--</v>
      </c>
      <c r="T53" s="511" t="str">
        <f t="shared" si="8"/>
        <v>--</v>
      </c>
      <c r="U53" s="73" t="str">
        <f t="shared" si="9"/>
        <v>SI</v>
      </c>
      <c r="V53" s="74">
        <f t="shared" si="10"/>
        <v>519.2774400000001</v>
      </c>
      <c r="W53" s="128"/>
    </row>
    <row r="54" spans="2:23" s="16" customFormat="1" ht="16.5" customHeight="1">
      <c r="B54" s="124"/>
      <c r="C54" s="20" t="s">
        <v>228</v>
      </c>
      <c r="D54" s="67" t="s">
        <v>25</v>
      </c>
      <c r="E54" s="945" t="s">
        <v>250</v>
      </c>
      <c r="F54" s="946"/>
      <c r="G54" s="865">
        <v>132</v>
      </c>
      <c r="H54" s="348">
        <f t="shared" si="0"/>
        <v>24.587</v>
      </c>
      <c r="I54" s="69">
        <v>38043.34583333333</v>
      </c>
      <c r="J54" s="70">
        <v>38043.64027777778</v>
      </c>
      <c r="K54" s="71">
        <f t="shared" si="1"/>
        <v>7.066666666651145</v>
      </c>
      <c r="L54" s="28">
        <f t="shared" si="2"/>
        <v>424</v>
      </c>
      <c r="M54" s="789" t="s">
        <v>205</v>
      </c>
      <c r="N54" s="953" t="str">
        <f t="shared" si="3"/>
        <v>--</v>
      </c>
      <c r="O54" s="954"/>
      <c r="P54" s="497">
        <f t="shared" si="4"/>
        <v>40</v>
      </c>
      <c r="Q54" s="500">
        <f t="shared" si="5"/>
        <v>695.3203600000002</v>
      </c>
      <c r="R54" s="507" t="str">
        <f t="shared" si="6"/>
        <v>--</v>
      </c>
      <c r="S54" s="508" t="str">
        <f t="shared" si="7"/>
        <v>--</v>
      </c>
      <c r="T54" s="511" t="str">
        <f t="shared" si="8"/>
        <v>--</v>
      </c>
      <c r="U54" s="73" t="str">
        <f t="shared" si="9"/>
        <v>SI</v>
      </c>
      <c r="V54" s="74">
        <f t="shared" si="10"/>
        <v>695.3203600000002</v>
      </c>
      <c r="W54" s="128"/>
    </row>
    <row r="55" spans="2:23" s="16" customFormat="1" ht="16.5" customHeight="1">
      <c r="B55" s="124"/>
      <c r="C55" s="20" t="s">
        <v>229</v>
      </c>
      <c r="D55" s="67" t="s">
        <v>26</v>
      </c>
      <c r="E55" s="945" t="s">
        <v>250</v>
      </c>
      <c r="F55" s="946"/>
      <c r="G55" s="865">
        <v>132</v>
      </c>
      <c r="H55" s="348">
        <f t="shared" si="0"/>
        <v>24.587</v>
      </c>
      <c r="I55" s="69">
        <v>38043.35833333333</v>
      </c>
      <c r="J55" s="70">
        <v>38043.615277777775</v>
      </c>
      <c r="K55" s="71">
        <f t="shared" si="1"/>
        <v>6.166666666686069</v>
      </c>
      <c r="L55" s="28">
        <f t="shared" si="2"/>
        <v>370</v>
      </c>
      <c r="M55" s="789" t="s">
        <v>205</v>
      </c>
      <c r="N55" s="953" t="str">
        <f t="shared" si="3"/>
        <v>--</v>
      </c>
      <c r="O55" s="954"/>
      <c r="P55" s="497">
        <f t="shared" si="4"/>
        <v>40</v>
      </c>
      <c r="Q55" s="500">
        <f t="shared" si="5"/>
        <v>606.8071600000001</v>
      </c>
      <c r="R55" s="507" t="str">
        <f t="shared" si="6"/>
        <v>--</v>
      </c>
      <c r="S55" s="508" t="str">
        <f t="shared" si="7"/>
        <v>--</v>
      </c>
      <c r="T55" s="511" t="str">
        <f t="shared" si="8"/>
        <v>--</v>
      </c>
      <c r="U55" s="73" t="str">
        <f t="shared" si="9"/>
        <v>SI</v>
      </c>
      <c r="V55" s="74">
        <f t="shared" si="10"/>
        <v>606.8071600000001</v>
      </c>
      <c r="W55" s="128"/>
    </row>
    <row r="56" spans="2:23" s="16" customFormat="1" ht="16.5" customHeight="1">
      <c r="B56" s="124"/>
      <c r="C56" s="20" t="s">
        <v>230</v>
      </c>
      <c r="D56" s="67" t="s">
        <v>25</v>
      </c>
      <c r="E56" s="945" t="s">
        <v>250</v>
      </c>
      <c r="F56" s="946"/>
      <c r="G56" s="865">
        <v>132</v>
      </c>
      <c r="H56" s="348">
        <f t="shared" si="0"/>
        <v>24.587</v>
      </c>
      <c r="I56" s="69">
        <v>38044.33541666667</v>
      </c>
      <c r="J56" s="70">
        <v>38044.60208333333</v>
      </c>
      <c r="K56" s="71">
        <f t="shared" si="1"/>
        <v>6.399999999906868</v>
      </c>
      <c r="L56" s="28">
        <f t="shared" si="2"/>
        <v>384</v>
      </c>
      <c r="M56" s="789" t="s">
        <v>205</v>
      </c>
      <c r="N56" s="953" t="str">
        <f t="shared" si="3"/>
        <v>--</v>
      </c>
      <c r="O56" s="954"/>
      <c r="P56" s="497">
        <f t="shared" si="4"/>
        <v>40</v>
      </c>
      <c r="Q56" s="500">
        <f t="shared" si="5"/>
        <v>629.4272000000001</v>
      </c>
      <c r="R56" s="507" t="str">
        <f t="shared" si="6"/>
        <v>--</v>
      </c>
      <c r="S56" s="508" t="str">
        <f t="shared" si="7"/>
        <v>--</v>
      </c>
      <c r="T56" s="511" t="str">
        <f t="shared" si="8"/>
        <v>--</v>
      </c>
      <c r="U56" s="73" t="str">
        <f t="shared" si="9"/>
        <v>SI</v>
      </c>
      <c r="V56" s="74">
        <f t="shared" si="10"/>
        <v>629.4272000000001</v>
      </c>
      <c r="W56" s="128"/>
    </row>
    <row r="57" spans="2:23" s="16" customFormat="1" ht="16.5" customHeight="1">
      <c r="B57" s="124"/>
      <c r="C57" s="20" t="s">
        <v>231</v>
      </c>
      <c r="D57" s="67" t="s">
        <v>26</v>
      </c>
      <c r="E57" s="945" t="s">
        <v>250</v>
      </c>
      <c r="F57" s="946"/>
      <c r="G57" s="865">
        <v>132</v>
      </c>
      <c r="H57" s="348">
        <f t="shared" si="0"/>
        <v>24.587</v>
      </c>
      <c r="I57" s="69">
        <v>38044.34652777778</v>
      </c>
      <c r="J57" s="70">
        <v>38044.62013888889</v>
      </c>
      <c r="K57" s="71">
        <f t="shared" si="1"/>
        <v>6.566666666592937</v>
      </c>
      <c r="L57" s="28">
        <f t="shared" si="2"/>
        <v>394</v>
      </c>
      <c r="M57" s="789" t="s">
        <v>205</v>
      </c>
      <c r="N57" s="953" t="str">
        <f t="shared" si="3"/>
        <v>--</v>
      </c>
      <c r="O57" s="954"/>
      <c r="P57" s="497">
        <f t="shared" si="4"/>
        <v>40</v>
      </c>
      <c r="Q57" s="500">
        <f t="shared" si="5"/>
        <v>646.1463600000001</v>
      </c>
      <c r="R57" s="507" t="str">
        <f t="shared" si="6"/>
        <v>--</v>
      </c>
      <c r="S57" s="508" t="str">
        <f t="shared" si="7"/>
        <v>--</v>
      </c>
      <c r="T57" s="511" t="str">
        <f t="shared" si="8"/>
        <v>--</v>
      </c>
      <c r="U57" s="73" t="str">
        <f t="shared" si="9"/>
        <v>SI</v>
      </c>
      <c r="V57" s="74">
        <f t="shared" si="10"/>
        <v>646.1463600000001</v>
      </c>
      <c r="W57" s="128"/>
    </row>
    <row r="58" spans="2:28" s="16" customFormat="1" ht="16.5" customHeight="1" thickBot="1">
      <c r="B58" s="124"/>
      <c r="C58" s="736"/>
      <c r="D58" s="737"/>
      <c r="E58" s="737"/>
      <c r="F58" s="738"/>
      <c r="G58" s="739"/>
      <c r="H58" s="740"/>
      <c r="I58" s="741"/>
      <c r="J58" s="742"/>
      <c r="K58" s="743"/>
      <c r="L58" s="744"/>
      <c r="M58" s="745"/>
      <c r="N58" s="746"/>
      <c r="O58" s="745"/>
      <c r="P58" s="747"/>
      <c r="Q58" s="748"/>
      <c r="R58" s="749"/>
      <c r="S58" s="750"/>
      <c r="T58" s="751"/>
      <c r="U58" s="752"/>
      <c r="V58" s="753"/>
      <c r="W58" s="128"/>
      <c r="X58"/>
      <c r="Y58"/>
      <c r="Z58"/>
      <c r="AA58"/>
      <c r="AB58"/>
    </row>
    <row r="59" spans="1:23" ht="17.25" thickBot="1" thickTop="1">
      <c r="A59" s="106"/>
      <c r="B59" s="314"/>
      <c r="C59" s="308"/>
      <c r="D59" s="315"/>
      <c r="E59" s="316"/>
      <c r="F59" s="317"/>
      <c r="G59" s="318"/>
      <c r="H59" s="318"/>
      <c r="I59" s="316"/>
      <c r="J59" s="296"/>
      <c r="K59" s="296"/>
      <c r="L59" s="316"/>
      <c r="M59" s="316"/>
      <c r="N59" s="316"/>
      <c r="O59" s="319"/>
      <c r="P59" s="316"/>
      <c r="Q59" s="316"/>
      <c r="R59" s="320"/>
      <c r="S59" s="321"/>
      <c r="T59" s="321"/>
      <c r="U59" s="322"/>
      <c r="V59" s="389">
        <f>SUM(V38:V58)</f>
        <v>12612.147519999999</v>
      </c>
      <c r="W59" s="324"/>
    </row>
    <row r="60" spans="1:23" ht="17.25" thickBot="1" thickTop="1">
      <c r="A60" s="106"/>
      <c r="B60" s="314"/>
      <c r="C60" s="308"/>
      <c r="D60" s="315"/>
      <c r="E60" s="316"/>
      <c r="F60" s="317"/>
      <c r="G60" s="318"/>
      <c r="H60" s="318"/>
      <c r="I60" s="640" t="s">
        <v>144</v>
      </c>
      <c r="J60" s="728">
        <f>+V59+V34</f>
        <v>13029.795519999998</v>
      </c>
      <c r="L60" s="316"/>
      <c r="M60" s="316"/>
      <c r="N60" s="316"/>
      <c r="O60" s="319"/>
      <c r="P60" s="316"/>
      <c r="Q60" s="316"/>
      <c r="R60" s="320"/>
      <c r="S60" s="321"/>
      <c r="T60" s="321"/>
      <c r="U60" s="322"/>
      <c r="W60" s="324"/>
    </row>
    <row r="61" spans="1:23" ht="13.5" customHeight="1" thickTop="1">
      <c r="A61" s="106"/>
      <c r="B61" s="314"/>
      <c r="C61" s="308"/>
      <c r="D61" s="315"/>
      <c r="E61" s="316"/>
      <c r="F61" s="317"/>
      <c r="G61" s="318"/>
      <c r="H61" s="318"/>
      <c r="I61" s="316"/>
      <c r="J61" s="296"/>
      <c r="K61" s="296"/>
      <c r="L61" s="316"/>
      <c r="M61" s="316"/>
      <c r="N61" s="316"/>
      <c r="O61" s="319"/>
      <c r="P61" s="316"/>
      <c r="Q61" s="316"/>
      <c r="R61" s="320"/>
      <c r="S61" s="321"/>
      <c r="T61" s="321"/>
      <c r="U61" s="322"/>
      <c r="W61" s="324"/>
    </row>
    <row r="62" spans="1:23" ht="16.5" customHeight="1">
      <c r="A62" s="106"/>
      <c r="B62" s="314"/>
      <c r="C62" s="325" t="s">
        <v>145</v>
      </c>
      <c r="D62" s="326" t="s">
        <v>146</v>
      </c>
      <c r="E62" s="316"/>
      <c r="F62" s="317"/>
      <c r="G62" s="318"/>
      <c r="H62" s="318"/>
      <c r="I62" s="316"/>
      <c r="J62" s="296"/>
      <c r="K62" s="296"/>
      <c r="L62" s="316"/>
      <c r="M62" s="316"/>
      <c r="N62" s="316"/>
      <c r="O62" s="319"/>
      <c r="P62" s="316"/>
      <c r="Q62" s="316"/>
      <c r="R62" s="320"/>
      <c r="S62" s="321"/>
      <c r="T62" s="321"/>
      <c r="U62" s="322"/>
      <c r="W62" s="324"/>
    </row>
    <row r="63" spans="1:23" ht="16.5" customHeight="1">
      <c r="A63" s="106"/>
      <c r="B63" s="314"/>
      <c r="C63" s="325"/>
      <c r="D63" s="315"/>
      <c r="E63" s="316"/>
      <c r="F63" s="317"/>
      <c r="G63" s="318"/>
      <c r="H63" s="318"/>
      <c r="I63" s="316"/>
      <c r="J63" s="296"/>
      <c r="K63" s="296"/>
      <c r="L63" s="316"/>
      <c r="M63" s="316"/>
      <c r="N63" s="316"/>
      <c r="O63" s="319"/>
      <c r="P63" s="316"/>
      <c r="Q63" s="316"/>
      <c r="R63" s="316"/>
      <c r="S63" s="320"/>
      <c r="T63" s="321"/>
      <c r="W63" s="324"/>
    </row>
    <row r="64" spans="2:23" s="106" customFormat="1" ht="16.5" customHeight="1">
      <c r="B64" s="314"/>
      <c r="C64" s="308"/>
      <c r="D64" s="335" t="s">
        <v>152</v>
      </c>
      <c r="E64" s="311" t="s">
        <v>153</v>
      </c>
      <c r="F64" s="311" t="s">
        <v>148</v>
      </c>
      <c r="G64" s="609" t="s">
        <v>154</v>
      </c>
      <c r="H64"/>
      <c r="I64" s="631"/>
      <c r="J64" s="331" t="s">
        <v>156</v>
      </c>
      <c r="K64" s="331"/>
      <c r="L64" s="311" t="s">
        <v>148</v>
      </c>
      <c r="M64" t="s">
        <v>166</v>
      </c>
      <c r="O64" s="609" t="s">
        <v>167</v>
      </c>
      <c r="P64"/>
      <c r="Q64" s="329"/>
      <c r="R64" s="329"/>
      <c r="S64" s="108"/>
      <c r="T64"/>
      <c r="U64"/>
      <c r="V64"/>
      <c r="W64" s="324"/>
    </row>
    <row r="65" spans="2:23" s="106" customFormat="1" ht="16.5" customHeight="1">
      <c r="B65" s="314"/>
      <c r="C65" s="308"/>
      <c r="D65" s="632" t="s">
        <v>168</v>
      </c>
      <c r="E65" s="632">
        <v>300</v>
      </c>
      <c r="F65" s="721">
        <v>500</v>
      </c>
      <c r="G65" s="956">
        <f>+E65*$F$20*$F$21</f>
        <v>32155.2</v>
      </c>
      <c r="H65" s="956"/>
      <c r="I65" s="956"/>
      <c r="J65" s="722" t="s">
        <v>169</v>
      </c>
      <c r="K65" s="722"/>
      <c r="L65" s="632">
        <v>500</v>
      </c>
      <c r="M65" s="632">
        <v>2</v>
      </c>
      <c r="O65" s="956">
        <f>+M65*$F$20*$M$19</f>
        <v>42780.336</v>
      </c>
      <c r="P65" s="956"/>
      <c r="Q65" s="956"/>
      <c r="R65" s="956"/>
      <c r="S65" s="956"/>
      <c r="T65" s="956"/>
      <c r="U65" s="956"/>
      <c r="V65"/>
      <c r="W65" s="324"/>
    </row>
    <row r="66" spans="2:23" s="106" customFormat="1" ht="16.5" customHeight="1">
      <c r="B66" s="314"/>
      <c r="C66" s="308"/>
      <c r="D66" s="632" t="s">
        <v>170</v>
      </c>
      <c r="E66" s="634">
        <v>150</v>
      </c>
      <c r="F66" s="721">
        <v>500</v>
      </c>
      <c r="G66" s="956">
        <f>+E66*$F$20*$F$21</f>
        <v>16077.6</v>
      </c>
      <c r="H66" s="956"/>
      <c r="I66" s="956"/>
      <c r="J66" s="722" t="s">
        <v>169</v>
      </c>
      <c r="K66" s="722"/>
      <c r="L66" s="632">
        <v>132</v>
      </c>
      <c r="M66" s="632">
        <v>7</v>
      </c>
      <c r="O66" s="956">
        <f>+M66*$F$20*$M$19</f>
        <v>149731.176</v>
      </c>
      <c r="P66" s="956"/>
      <c r="Q66" s="956"/>
      <c r="R66" s="956"/>
      <c r="S66" s="956"/>
      <c r="T66" s="956"/>
      <c r="U66" s="956"/>
      <c r="V66"/>
      <c r="W66" s="324"/>
    </row>
    <row r="67" spans="2:23" s="106" customFormat="1" ht="16.5" customHeight="1">
      <c r="B67" s="314"/>
      <c r="C67" s="308"/>
      <c r="D67" s="633" t="s">
        <v>171</v>
      </c>
      <c r="E67" s="634">
        <v>300</v>
      </c>
      <c r="F67" s="721">
        <v>500</v>
      </c>
      <c r="G67" s="956">
        <f>+E67*$F$20*$F$21</f>
        <v>32155.2</v>
      </c>
      <c r="H67" s="956"/>
      <c r="I67" s="956"/>
      <c r="J67" s="722" t="s">
        <v>172</v>
      </c>
      <c r="K67" s="722"/>
      <c r="L67" s="632">
        <v>132</v>
      </c>
      <c r="M67" s="632">
        <v>7</v>
      </c>
      <c r="O67" s="956">
        <f>+M67*$F$20*$M$19</f>
        <v>149731.176</v>
      </c>
      <c r="P67" s="956"/>
      <c r="Q67" s="956"/>
      <c r="R67" s="956"/>
      <c r="S67" s="956"/>
      <c r="T67" s="956"/>
      <c r="U67" s="956"/>
      <c r="V67"/>
      <c r="W67" s="324"/>
    </row>
    <row r="68" spans="1:23" ht="16.5" customHeight="1">
      <c r="A68" s="106"/>
      <c r="B68" s="314"/>
      <c r="C68" s="308"/>
      <c r="D68" s="633" t="s">
        <v>173</v>
      </c>
      <c r="E68" s="634">
        <v>300</v>
      </c>
      <c r="F68" s="721">
        <v>500</v>
      </c>
      <c r="G68" s="956">
        <f>+E68*$F$20*$F$21</f>
        <v>32155.2</v>
      </c>
      <c r="H68" s="956"/>
      <c r="I68" s="956"/>
      <c r="J68" s="722" t="s">
        <v>174</v>
      </c>
      <c r="K68" s="722"/>
      <c r="L68" s="632">
        <v>132</v>
      </c>
      <c r="M68" s="632">
        <v>5</v>
      </c>
      <c r="O68" s="957">
        <f>+M68*$F$20*$M$19</f>
        <v>106950.84</v>
      </c>
      <c r="P68" s="957"/>
      <c r="Q68" s="957"/>
      <c r="R68" s="957"/>
      <c r="S68" s="957"/>
      <c r="T68" s="957"/>
      <c r="U68" s="957"/>
      <c r="W68" s="324"/>
    </row>
    <row r="69" spans="1:23" ht="16.5" customHeight="1">
      <c r="A69" s="106"/>
      <c r="B69" s="314"/>
      <c r="C69" s="308"/>
      <c r="D69" s="633" t="s">
        <v>175</v>
      </c>
      <c r="E69" s="634">
        <v>300</v>
      </c>
      <c r="F69" s="721">
        <v>500</v>
      </c>
      <c r="G69" s="957">
        <f>+E69*$F$20*$F$21</f>
        <v>32155.2</v>
      </c>
      <c r="H69" s="957"/>
      <c r="I69" s="957"/>
      <c r="M69" s="632"/>
      <c r="O69" s="956">
        <f>SUM(O65:P68)</f>
        <v>449193.52800000005</v>
      </c>
      <c r="P69" s="956"/>
      <c r="Q69" s="956"/>
      <c r="R69" s="956"/>
      <c r="S69" s="956"/>
      <c r="T69" s="956"/>
      <c r="U69" s="956"/>
      <c r="W69" s="324"/>
    </row>
    <row r="70" spans="1:23" ht="16.5" customHeight="1">
      <c r="A70" s="106"/>
      <c r="B70" s="314"/>
      <c r="C70" s="308"/>
      <c r="D70" s="633"/>
      <c r="E70" s="634"/>
      <c r="F70" s="721"/>
      <c r="G70" s="956">
        <f>SUM(G65:G69)</f>
        <v>144698.4</v>
      </c>
      <c r="H70" s="956"/>
      <c r="I70" s="956"/>
      <c r="M70" s="632"/>
      <c r="N70" s="631"/>
      <c r="O70" s="631"/>
      <c r="P70" s="323"/>
      <c r="Q70" s="323"/>
      <c r="R70" s="323"/>
      <c r="S70" s="323"/>
      <c r="W70" s="324"/>
    </row>
    <row r="71" spans="1:23" ht="16.5" customHeight="1" thickBot="1">
      <c r="A71" s="106"/>
      <c r="B71" s="314"/>
      <c r="C71" s="308"/>
      <c r="D71" s="335"/>
      <c r="E71" s="562"/>
      <c r="F71" s="562"/>
      <c r="G71" s="311"/>
      <c r="I71" s="327"/>
      <c r="J71" s="609"/>
      <c r="L71" s="608"/>
      <c r="M71" s="327"/>
      <c r="N71" s="328"/>
      <c r="O71" s="329"/>
      <c r="P71" s="329"/>
      <c r="Q71" s="329"/>
      <c r="R71" s="329"/>
      <c r="S71" s="329"/>
      <c r="W71" s="324"/>
    </row>
    <row r="72" spans="1:23" ht="16.5" customHeight="1" thickBot="1" thickTop="1">
      <c r="A72" s="106"/>
      <c r="B72" s="314"/>
      <c r="C72" s="308"/>
      <c r="D72" s="311"/>
      <c r="E72" s="723"/>
      <c r="F72" s="723"/>
      <c r="G72" s="390"/>
      <c r="H72" s="4"/>
      <c r="I72" s="640" t="s">
        <v>176</v>
      </c>
      <c r="J72" s="728">
        <f>+G70+O69</f>
        <v>593891.9280000001</v>
      </c>
      <c r="L72" s="605"/>
      <c r="M72" s="4"/>
      <c r="N72" s="607"/>
      <c r="O72" s="323"/>
      <c r="P72" s="323"/>
      <c r="Q72" s="323"/>
      <c r="R72" s="323"/>
      <c r="S72" s="323"/>
      <c r="W72" s="324"/>
    </row>
    <row r="73" spans="1:23" ht="16.5" customHeight="1" thickTop="1">
      <c r="A73" s="106"/>
      <c r="B73" s="314"/>
      <c r="C73" s="308"/>
      <c r="D73" s="296"/>
      <c r="E73" s="298"/>
      <c r="F73" s="311"/>
      <c r="G73" s="311"/>
      <c r="H73" s="312"/>
      <c r="J73" s="311"/>
      <c r="L73" s="332"/>
      <c r="M73" s="328"/>
      <c r="N73" s="328"/>
      <c r="O73" s="329"/>
      <c r="P73" s="329"/>
      <c r="Q73" s="329"/>
      <c r="R73" s="329"/>
      <c r="S73" s="329"/>
      <c r="W73" s="324"/>
    </row>
    <row r="74" spans="2:23" ht="16.5" customHeight="1">
      <c r="B74" s="314"/>
      <c r="C74" s="325" t="s">
        <v>157</v>
      </c>
      <c r="D74" s="333" t="s">
        <v>158</v>
      </c>
      <c r="E74" s="311"/>
      <c r="F74" s="334"/>
      <c r="G74" s="297"/>
      <c r="H74" s="296"/>
      <c r="I74" s="296"/>
      <c r="J74" s="296"/>
      <c r="K74" s="311"/>
      <c r="L74" s="311"/>
      <c r="M74" s="296"/>
      <c r="N74" s="311"/>
      <c r="O74" s="296"/>
      <c r="P74" s="296"/>
      <c r="Q74" s="296"/>
      <c r="R74" s="296"/>
      <c r="S74" s="296"/>
      <c r="T74" s="296"/>
      <c r="U74" s="296"/>
      <c r="W74" s="324"/>
    </row>
    <row r="75" spans="2:23" s="106" customFormat="1" ht="16.5" customHeight="1">
      <c r="B75" s="314"/>
      <c r="C75" s="308"/>
      <c r="D75" s="335" t="s">
        <v>159</v>
      </c>
      <c r="E75" s="336">
        <f>10*J60*J25/J72</f>
        <v>3257.44888</v>
      </c>
      <c r="G75" s="297"/>
      <c r="L75" s="311"/>
      <c r="N75" s="311"/>
      <c r="O75" s="312"/>
      <c r="V75"/>
      <c r="W75" s="324"/>
    </row>
    <row r="76" spans="2:23" s="106" customFormat="1" ht="12.75" customHeight="1">
      <c r="B76" s="314"/>
      <c r="C76" s="308"/>
      <c r="E76" s="602"/>
      <c r="F76" s="310"/>
      <c r="G76" s="297"/>
      <c r="J76" s="297"/>
      <c r="K76" s="338"/>
      <c r="L76" s="311"/>
      <c r="M76" s="311"/>
      <c r="N76" s="311"/>
      <c r="O76" s="312"/>
      <c r="P76" s="311"/>
      <c r="Q76" s="311"/>
      <c r="R76" s="600"/>
      <c r="S76" s="600"/>
      <c r="T76" s="600"/>
      <c r="U76" s="601"/>
      <c r="V76"/>
      <c r="W76" s="324"/>
    </row>
    <row r="77" spans="2:23" ht="16.5" customHeight="1">
      <c r="B77" s="314"/>
      <c r="C77" s="308"/>
      <c r="D77" s="339" t="s">
        <v>185</v>
      </c>
      <c r="E77" s="337"/>
      <c r="F77" s="310"/>
      <c r="G77" s="297"/>
      <c r="H77" s="296"/>
      <c r="I77" s="296"/>
      <c r="N77" s="311"/>
      <c r="O77" s="312"/>
      <c r="P77" s="311"/>
      <c r="Q77" s="311"/>
      <c r="R77" s="327"/>
      <c r="S77" s="327"/>
      <c r="T77" s="327"/>
      <c r="U77" s="328"/>
      <c r="W77" s="324"/>
    </row>
    <row r="78" spans="2:23" ht="13.5" customHeight="1" thickBot="1">
      <c r="B78" s="314"/>
      <c r="C78" s="308"/>
      <c r="D78" s="339"/>
      <c r="E78" s="337"/>
      <c r="F78" s="310"/>
      <c r="G78" s="297"/>
      <c r="H78" s="296"/>
      <c r="I78" s="296"/>
      <c r="N78" s="311"/>
      <c r="O78" s="312"/>
      <c r="P78" s="311"/>
      <c r="Q78" s="311"/>
      <c r="R78" s="327"/>
      <c r="S78" s="327"/>
      <c r="T78" s="327"/>
      <c r="U78" s="328"/>
      <c r="W78" s="324"/>
    </row>
    <row r="79" spans="2:23" s="616" customFormat="1" ht="21" thickBot="1" thickTop="1">
      <c r="B79" s="610"/>
      <c r="C79" s="611"/>
      <c r="D79" s="612"/>
      <c r="E79" s="613"/>
      <c r="F79" s="614"/>
      <c r="G79" s="615"/>
      <c r="I79" s="617" t="s">
        <v>160</v>
      </c>
      <c r="J79" s="618">
        <f>IF(E75&gt;3*J25,J25*3,E75)</f>
        <v>3257.44888</v>
      </c>
      <c r="M79" s="619"/>
      <c r="N79" s="619"/>
      <c r="O79" s="620"/>
      <c r="P79" s="619"/>
      <c r="Q79" s="619"/>
      <c r="R79" s="621"/>
      <c r="S79" s="621"/>
      <c r="T79" s="621"/>
      <c r="U79" s="622"/>
      <c r="V79"/>
      <c r="W79" s="623"/>
    </row>
    <row r="80" spans="2:23" ht="16.5" customHeight="1" thickBot="1" thickTop="1">
      <c r="B80" s="131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343"/>
      <c r="W80" s="340"/>
    </row>
    <row r="81" spans="2:23" ht="16.5" customHeight="1" thickTop="1">
      <c r="B81" s="12"/>
      <c r="C81" s="708"/>
      <c r="W81" s="12"/>
    </row>
  </sheetData>
  <sheetProtection password="CC12"/>
  <mergeCells count="54">
    <mergeCell ref="G69:I69"/>
    <mergeCell ref="G70:I70"/>
    <mergeCell ref="G65:I65"/>
    <mergeCell ref="G66:I66"/>
    <mergeCell ref="G67:I67"/>
    <mergeCell ref="G68:I68"/>
    <mergeCell ref="O68:U68"/>
    <mergeCell ref="O69:U69"/>
    <mergeCell ref="O66:U66"/>
    <mergeCell ref="O67:U67"/>
    <mergeCell ref="N40:O40"/>
    <mergeCell ref="O65:U65"/>
    <mergeCell ref="E40:F40"/>
    <mergeCell ref="E41:F41"/>
    <mergeCell ref="N41:O41"/>
    <mergeCell ref="E42:F42"/>
    <mergeCell ref="N42:O42"/>
    <mergeCell ref="E43:F43"/>
    <mergeCell ref="N43:O43"/>
    <mergeCell ref="E44:F44"/>
    <mergeCell ref="E47:F47"/>
    <mergeCell ref="N47:O47"/>
    <mergeCell ref="E48:F48"/>
    <mergeCell ref="E36:F36"/>
    <mergeCell ref="E37:F37"/>
    <mergeCell ref="E38:F38"/>
    <mergeCell ref="E39:F39"/>
    <mergeCell ref="N36:O36"/>
    <mergeCell ref="N38:O38"/>
    <mergeCell ref="N39:O39"/>
    <mergeCell ref="N44:O44"/>
    <mergeCell ref="E45:F45"/>
    <mergeCell ref="N45:O45"/>
    <mergeCell ref="E46:F46"/>
    <mergeCell ref="N46:O46"/>
    <mergeCell ref="N48:O48"/>
    <mergeCell ref="E49:F49"/>
    <mergeCell ref="N49:O49"/>
    <mergeCell ref="E50:F50"/>
    <mergeCell ref="N50:O50"/>
    <mergeCell ref="E51:F51"/>
    <mergeCell ref="N51:O51"/>
    <mergeCell ref="E52:F52"/>
    <mergeCell ref="N52:O52"/>
    <mergeCell ref="E53:F53"/>
    <mergeCell ref="N53:O53"/>
    <mergeCell ref="E54:F54"/>
    <mergeCell ref="N54:O54"/>
    <mergeCell ref="E57:F57"/>
    <mergeCell ref="N57:O57"/>
    <mergeCell ref="E55:F55"/>
    <mergeCell ref="N55:O55"/>
    <mergeCell ref="E56:F56"/>
    <mergeCell ref="N56:O56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23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211">
    <pageSetUpPr fitToPage="1"/>
  </sheetPr>
  <dimension ref="A1:AD60"/>
  <sheetViews>
    <sheetView zoomScale="75" zoomScaleNormal="75" workbookViewId="0" topLeftCell="D16">
      <selection activeCell="N38" sqref="M38:O38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3.8515625" style="0" hidden="1" customWidth="1"/>
    <col min="9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16.0039062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61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754"/>
      <c r="AD1" s="635"/>
    </row>
    <row r="2" spans="1:23" ht="27" customHeight="1">
      <c r="A2" s="61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30" s="639" customFormat="1" ht="30.75">
      <c r="A3" s="636"/>
      <c r="B3" s="637" t="str">
        <f>+'tot-0402'!B2</f>
        <v>ANEXO I-1 a la Resolución ENRE N°            1107 /2006    .-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AB3" s="638"/>
      <c r="AC3" s="638"/>
      <c r="AD3" s="638"/>
    </row>
    <row r="4" spans="1:2" s="99" customFormat="1" ht="11.25">
      <c r="A4" s="712" t="s">
        <v>52</v>
      </c>
      <c r="B4" s="724"/>
    </row>
    <row r="5" spans="1:2" s="99" customFormat="1" ht="12" thickBot="1">
      <c r="A5" s="712" t="s">
        <v>53</v>
      </c>
      <c r="B5" s="712"/>
    </row>
    <row r="6" spans="1:23" ht="16.5" customHeight="1" thickTop="1">
      <c r="A6" s="16"/>
      <c r="B6" s="143"/>
      <c r="C6" s="144"/>
      <c r="D6" s="144"/>
      <c r="E6" s="145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6"/>
    </row>
    <row r="7" spans="1:23" ht="20.25">
      <c r="A7" s="16"/>
      <c r="B7" s="124"/>
      <c r="C7" s="14"/>
      <c r="D7" s="7" t="s">
        <v>125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293"/>
      <c r="Q7" s="293"/>
      <c r="R7" s="14"/>
      <c r="S7" s="14"/>
      <c r="T7" s="14"/>
      <c r="U7" s="14"/>
      <c r="V7" s="14"/>
      <c r="W7" s="147"/>
    </row>
    <row r="8" spans="1:23" ht="16.5" customHeight="1">
      <c r="A8" s="16"/>
      <c r="B8" s="12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7"/>
    </row>
    <row r="9" spans="2:23" s="15" customFormat="1" ht="20.25">
      <c r="B9" s="119"/>
      <c r="C9" s="118"/>
      <c r="D9" s="7" t="s">
        <v>126</v>
      </c>
      <c r="E9" s="118"/>
      <c r="F9" s="118"/>
      <c r="G9" s="118"/>
      <c r="H9" s="118"/>
      <c r="N9" s="118"/>
      <c r="O9" s="118"/>
      <c r="P9" s="361"/>
      <c r="Q9" s="361"/>
      <c r="R9" s="118"/>
      <c r="S9" s="118"/>
      <c r="T9" s="118"/>
      <c r="U9" s="118"/>
      <c r="V9" s="118"/>
      <c r="W9" s="362"/>
    </row>
    <row r="10" spans="1:23" ht="16.5" customHeight="1">
      <c r="A10" s="16"/>
      <c r="B10" s="12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7"/>
    </row>
    <row r="11" spans="2:23" s="15" customFormat="1" ht="20.25">
      <c r="B11" s="119"/>
      <c r="C11" s="118"/>
      <c r="D11" s="7" t="s">
        <v>210</v>
      </c>
      <c r="E11" s="118"/>
      <c r="F11" s="118"/>
      <c r="G11" s="118"/>
      <c r="H11" s="118"/>
      <c r="N11" s="118"/>
      <c r="O11" s="118"/>
      <c r="P11" s="361"/>
      <c r="Q11" s="361"/>
      <c r="R11" s="118"/>
      <c r="S11" s="118"/>
      <c r="T11" s="118"/>
      <c r="U11" s="118"/>
      <c r="V11" s="118"/>
      <c r="W11" s="362"/>
    </row>
    <row r="12" spans="1:23" ht="16.5" customHeight="1">
      <c r="A12" s="16"/>
      <c r="B12" s="124"/>
      <c r="C12" s="14"/>
      <c r="D12" s="14"/>
      <c r="E12" s="16"/>
      <c r="F12" s="16"/>
      <c r="G12" s="16"/>
      <c r="H12" s="16"/>
      <c r="I12" s="148"/>
      <c r="J12" s="148"/>
      <c r="K12" s="148"/>
      <c r="L12" s="148"/>
      <c r="M12" s="148"/>
      <c r="N12" s="148"/>
      <c r="O12" s="148"/>
      <c r="P12" s="148"/>
      <c r="Q12" s="148"/>
      <c r="R12" s="14"/>
      <c r="S12" s="14"/>
      <c r="T12" s="14"/>
      <c r="U12" s="14"/>
      <c r="V12" s="14"/>
      <c r="W12" s="147"/>
    </row>
    <row r="13" spans="2:23" s="15" customFormat="1" ht="19.5">
      <c r="B13" s="112" t="str">
        <f>+'tot-0402'!B14</f>
        <v>Desde el 01 al 29 de febrero de 2004</v>
      </c>
      <c r="C13" s="113"/>
      <c r="D13" s="115"/>
      <c r="E13" s="115"/>
      <c r="F13" s="115"/>
      <c r="G13" s="115"/>
      <c r="H13" s="115"/>
      <c r="I13" s="116"/>
      <c r="J13" s="4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364"/>
      <c r="V13" s="364"/>
      <c r="W13" s="117"/>
    </row>
    <row r="14" spans="1:23" ht="16.5" customHeight="1">
      <c r="A14" s="16"/>
      <c r="B14" s="124"/>
      <c r="C14" s="14"/>
      <c r="D14" s="14"/>
      <c r="E14" s="2"/>
      <c r="F14" s="2"/>
      <c r="G14" s="14"/>
      <c r="H14" s="14"/>
      <c r="I14" s="14"/>
      <c r="J14" s="294"/>
      <c r="K14" s="14"/>
      <c r="L14" s="14"/>
      <c r="M14" s="14"/>
      <c r="N14" s="16"/>
      <c r="O14" s="16"/>
      <c r="P14" s="14"/>
      <c r="Q14" s="14"/>
      <c r="R14" s="14"/>
      <c r="S14" s="14"/>
      <c r="T14" s="14"/>
      <c r="U14" s="14"/>
      <c r="V14" s="14"/>
      <c r="W14" s="147"/>
    </row>
    <row r="15" spans="1:23" ht="16.5" customHeight="1">
      <c r="A15" s="16"/>
      <c r="B15" s="124"/>
      <c r="C15" s="14"/>
      <c r="D15" s="14"/>
      <c r="E15" s="2"/>
      <c r="F15" s="2"/>
      <c r="G15" s="14"/>
      <c r="H15" s="14"/>
      <c r="I15" s="295"/>
      <c r="J15" s="14"/>
      <c r="K15" s="12"/>
      <c r="M15" s="14"/>
      <c r="N15" s="16"/>
      <c r="O15" s="16"/>
      <c r="P15" s="14"/>
      <c r="Q15" s="14"/>
      <c r="R15" s="14"/>
      <c r="S15" s="14"/>
      <c r="T15" s="14"/>
      <c r="U15" s="14"/>
      <c r="V15" s="14"/>
      <c r="W15" s="147"/>
    </row>
    <row r="16" spans="1:23" ht="16.5" customHeight="1">
      <c r="A16" s="16"/>
      <c r="B16" s="124"/>
      <c r="C16" s="14"/>
      <c r="D16" s="14"/>
      <c r="E16" s="2"/>
      <c r="F16" s="2"/>
      <c r="G16" s="14"/>
      <c r="H16" s="14"/>
      <c r="I16" s="295"/>
      <c r="J16" s="14"/>
      <c r="K16" s="12"/>
      <c r="M16" s="14"/>
      <c r="N16" s="16"/>
      <c r="O16" s="16"/>
      <c r="P16" s="14"/>
      <c r="Q16" s="14"/>
      <c r="R16" s="14"/>
      <c r="S16" s="14"/>
      <c r="T16" s="14"/>
      <c r="U16" s="14"/>
      <c r="V16" s="14"/>
      <c r="W16" s="147"/>
    </row>
    <row r="17" spans="1:23" ht="16.5" customHeight="1" thickBot="1">
      <c r="A17" s="16"/>
      <c r="B17" s="124"/>
      <c r="C17" s="606" t="s">
        <v>127</v>
      </c>
      <c r="D17" s="13" t="s">
        <v>128</v>
      </c>
      <c r="E17" s="2"/>
      <c r="F17" s="2"/>
      <c r="G17" s="14"/>
      <c r="H17" s="14"/>
      <c r="I17" s="14"/>
      <c r="J17" s="294"/>
      <c r="K17" s="14"/>
      <c r="L17" s="14"/>
      <c r="M17" s="14"/>
      <c r="N17" s="16"/>
      <c r="O17" s="16"/>
      <c r="P17" s="14"/>
      <c r="Q17" s="14"/>
      <c r="R17" s="14"/>
      <c r="S17" s="14"/>
      <c r="T17" s="14"/>
      <c r="U17" s="14"/>
      <c r="V17" s="14"/>
      <c r="W17" s="147"/>
    </row>
    <row r="18" spans="2:23" s="106" customFormat="1" ht="16.5" customHeight="1" thickBot="1">
      <c r="B18" s="314"/>
      <c r="C18" s="108"/>
      <c r="D18" s="576"/>
      <c r="E18" s="577"/>
      <c r="F18" s="308"/>
      <c r="G18" s="108"/>
      <c r="H18" s="108"/>
      <c r="I18" s="108"/>
      <c r="J18" s="597"/>
      <c r="K18" s="108"/>
      <c r="L18" s="108"/>
      <c r="M18" s="108"/>
      <c r="N18" s="725" t="s">
        <v>77</v>
      </c>
      <c r="P18" s="108"/>
      <c r="Q18" s="108"/>
      <c r="R18" s="108"/>
      <c r="S18" s="108"/>
      <c r="T18" s="108"/>
      <c r="U18" s="108"/>
      <c r="V18" s="108"/>
      <c r="W18" s="598"/>
    </row>
    <row r="19" spans="2:23" s="106" customFormat="1" ht="16.5" customHeight="1">
      <c r="B19" s="314"/>
      <c r="C19" s="108"/>
      <c r="E19" s="580" t="s">
        <v>131</v>
      </c>
      <c r="F19" s="581">
        <v>0.04</v>
      </c>
      <c r="G19" s="628"/>
      <c r="H19" s="108"/>
      <c r="I19" s="757" t="s">
        <v>190</v>
      </c>
      <c r="J19" s="758"/>
      <c r="K19" s="719" t="s">
        <v>183</v>
      </c>
      <c r="L19" s="720"/>
      <c r="M19" s="766">
        <v>30.733</v>
      </c>
      <c r="N19" s="767">
        <v>200</v>
      </c>
      <c r="R19" s="108"/>
      <c r="S19" s="108"/>
      <c r="T19" s="108"/>
      <c r="U19" s="108"/>
      <c r="V19" s="108"/>
      <c r="W19" s="598"/>
    </row>
    <row r="20" spans="2:23" s="106" customFormat="1" ht="16.5" customHeight="1">
      <c r="B20" s="314"/>
      <c r="C20" s="108"/>
      <c r="E20" s="576" t="s">
        <v>133</v>
      </c>
      <c r="F20" s="108">
        <f>MID(B13,16,2)*24</f>
        <v>696</v>
      </c>
      <c r="G20" s="108" t="s">
        <v>134</v>
      </c>
      <c r="H20" s="108"/>
      <c r="I20" s="108"/>
      <c r="J20" s="108"/>
      <c r="K20" s="714" t="s">
        <v>116</v>
      </c>
      <c r="L20" s="713"/>
      <c r="M20" s="715">
        <v>27.658</v>
      </c>
      <c r="N20" s="726">
        <v>100</v>
      </c>
      <c r="O20" s="108"/>
      <c r="P20" s="599"/>
      <c r="Q20" s="108"/>
      <c r="R20" s="108"/>
      <c r="S20" s="108"/>
      <c r="T20" s="108"/>
      <c r="U20" s="108"/>
      <c r="V20" s="108"/>
      <c r="W20" s="598"/>
    </row>
    <row r="21" spans="2:23" s="106" customFormat="1" ht="16.5" customHeight="1" thickBot="1">
      <c r="B21" s="314"/>
      <c r="C21" s="108"/>
      <c r="E21" s="576" t="s">
        <v>165</v>
      </c>
      <c r="F21" s="108">
        <v>0.154</v>
      </c>
      <c r="G21" s="106" t="s">
        <v>132</v>
      </c>
      <c r="H21" s="108"/>
      <c r="I21" s="108"/>
      <c r="J21" s="108"/>
      <c r="K21" s="716" t="s">
        <v>184</v>
      </c>
      <c r="L21" s="717"/>
      <c r="M21" s="718">
        <v>24.587</v>
      </c>
      <c r="N21" s="727">
        <v>40</v>
      </c>
      <c r="O21" s="108"/>
      <c r="P21" s="599"/>
      <c r="Q21" s="108"/>
      <c r="R21" s="108"/>
      <c r="S21" s="108"/>
      <c r="T21" s="108"/>
      <c r="U21" s="108"/>
      <c r="V21" s="108"/>
      <c r="W21" s="598"/>
    </row>
    <row r="22" spans="2:23" s="106" customFormat="1" ht="16.5" customHeight="1">
      <c r="B22" s="314"/>
      <c r="C22" s="108"/>
      <c r="D22" s="108"/>
      <c r="E22" s="310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598"/>
    </row>
    <row r="23" spans="1:23" ht="16.5" customHeight="1">
      <c r="A23" s="16"/>
      <c r="B23" s="124"/>
      <c r="C23" s="606" t="s">
        <v>135</v>
      </c>
      <c r="D23" s="107" t="s">
        <v>136</v>
      </c>
      <c r="I23" s="14"/>
      <c r="J23" s="106"/>
      <c r="O23" s="14"/>
      <c r="P23" s="14"/>
      <c r="Q23" s="14"/>
      <c r="R23" s="14"/>
      <c r="S23" s="14"/>
      <c r="T23" s="14"/>
      <c r="V23" s="14"/>
      <c r="W23" s="147"/>
    </row>
    <row r="24" spans="1:23" ht="10.5" customHeight="1" thickBot="1">
      <c r="A24" s="16"/>
      <c r="B24" s="124"/>
      <c r="C24" s="2"/>
      <c r="D24" s="107"/>
      <c r="I24" s="14"/>
      <c r="J24" s="106"/>
      <c r="O24" s="14"/>
      <c r="P24" s="14"/>
      <c r="Q24" s="14"/>
      <c r="R24" s="14"/>
      <c r="S24" s="14"/>
      <c r="T24" s="14"/>
      <c r="V24" s="14"/>
      <c r="W24" s="147"/>
    </row>
    <row r="25" spans="2:23" s="106" customFormat="1" ht="16.5" customHeight="1" thickBot="1" thickTop="1">
      <c r="B25" s="314"/>
      <c r="C25" s="308"/>
      <c r="D25"/>
      <c r="E25"/>
      <c r="F25"/>
      <c r="G25"/>
      <c r="H25"/>
      <c r="I25" s="640" t="s">
        <v>137</v>
      </c>
      <c r="J25" s="728">
        <f>+J51*F19</f>
        <v>2655.21216</v>
      </c>
      <c r="L25"/>
      <c r="S25"/>
      <c r="T25"/>
      <c r="U25"/>
      <c r="W25" s="598"/>
    </row>
    <row r="26" spans="2:23" s="106" customFormat="1" ht="11.25" customHeight="1" thickTop="1">
      <c r="B26" s="314"/>
      <c r="C26" s="308"/>
      <c r="D26" s="108"/>
      <c r="E26" s="310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/>
      <c r="W26" s="598"/>
    </row>
    <row r="27" spans="1:23" ht="16.5" customHeight="1">
      <c r="A27" s="16"/>
      <c r="B27" s="124"/>
      <c r="C27" s="606" t="s">
        <v>138</v>
      </c>
      <c r="D27" s="107" t="s">
        <v>139</v>
      </c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7"/>
    </row>
    <row r="28" spans="1:23" ht="13.5" customHeight="1" thickBot="1">
      <c r="A28" s="106"/>
      <c r="B28" s="124"/>
      <c r="C28" s="308"/>
      <c r="D28" s="308"/>
      <c r="E28" s="309"/>
      <c r="F28" s="310"/>
      <c r="G28" s="297"/>
      <c r="H28" s="297"/>
      <c r="I28" s="311"/>
      <c r="J28" s="311"/>
      <c r="K28" s="311"/>
      <c r="L28" s="311"/>
      <c r="M28" s="311"/>
      <c r="N28" s="311"/>
      <c r="O28" s="312"/>
      <c r="P28" s="311"/>
      <c r="Q28" s="311"/>
      <c r="R28" s="729"/>
      <c r="S28" s="730"/>
      <c r="T28" s="731"/>
      <c r="U28" s="731"/>
      <c r="V28" s="731"/>
      <c r="W28" s="152"/>
    </row>
    <row r="29" spans="1:26" s="16" customFormat="1" ht="33.75" customHeight="1" thickBot="1" thickTop="1">
      <c r="A29" s="61"/>
      <c r="B29" s="180"/>
      <c r="C29" s="203" t="s">
        <v>73</v>
      </c>
      <c r="D29" s="206" t="s">
        <v>106</v>
      </c>
      <c r="E29" s="204" t="s">
        <v>43</v>
      </c>
      <c r="F29" s="207" t="s">
        <v>107</v>
      </c>
      <c r="G29" s="208" t="s">
        <v>74</v>
      </c>
      <c r="H29" s="347" t="s">
        <v>78</v>
      </c>
      <c r="I29" s="204" t="s">
        <v>79</v>
      </c>
      <c r="J29" s="204" t="s">
        <v>80</v>
      </c>
      <c r="K29" s="206" t="s">
        <v>108</v>
      </c>
      <c r="L29" s="206" t="s">
        <v>82</v>
      </c>
      <c r="M29" s="171" t="s">
        <v>123</v>
      </c>
      <c r="N29" s="204" t="s">
        <v>86</v>
      </c>
      <c r="O29" s="680" t="s">
        <v>109</v>
      </c>
      <c r="P29" s="347" t="s">
        <v>142</v>
      </c>
      <c r="Q29" s="590" t="s">
        <v>87</v>
      </c>
      <c r="R29" s="582" t="s">
        <v>143</v>
      </c>
      <c r="S29" s="583"/>
      <c r="T29" s="593" t="s">
        <v>91</v>
      </c>
      <c r="U29" s="174" t="s">
        <v>93</v>
      </c>
      <c r="V29" s="208" t="s">
        <v>94</v>
      </c>
      <c r="W29" s="147"/>
      <c r="Y29"/>
      <c r="Z29"/>
    </row>
    <row r="30" spans="1:23" ht="16.5" customHeight="1" thickTop="1">
      <c r="A30" s="16"/>
      <c r="B30" s="124"/>
      <c r="C30" s="44"/>
      <c r="D30" s="44"/>
      <c r="E30" s="44"/>
      <c r="F30" s="44"/>
      <c r="G30" s="366"/>
      <c r="H30" s="563"/>
      <c r="I30" s="44"/>
      <c r="J30" s="44"/>
      <c r="K30" s="44"/>
      <c r="L30" s="44"/>
      <c r="M30" s="44"/>
      <c r="N30" s="367"/>
      <c r="O30" s="732"/>
      <c r="P30" s="594"/>
      <c r="Q30" s="595"/>
      <c r="R30" s="584"/>
      <c r="S30" s="585"/>
      <c r="T30" s="596"/>
      <c r="U30" s="367"/>
      <c r="V30" s="368"/>
      <c r="W30" s="147"/>
    </row>
    <row r="31" spans="1:23" ht="16.5" customHeight="1">
      <c r="A31" s="16"/>
      <c r="B31" s="124"/>
      <c r="C31" s="44"/>
      <c r="D31" s="45"/>
      <c r="E31" s="46"/>
      <c r="F31" s="47"/>
      <c r="G31" s="48"/>
      <c r="H31" s="564">
        <f>F31*$F$21</f>
        <v>0</v>
      </c>
      <c r="I31" s="51"/>
      <c r="J31" s="51"/>
      <c r="K31" s="52">
        <f>IF(D31="","",(J31-I31)*24)</f>
      </c>
      <c r="L31" s="53">
        <f>IF(D31="","",(J31-I31)*24*60)</f>
      </c>
      <c r="M31" s="49"/>
      <c r="N31" s="54">
        <f>IF(D31="","",IF(OR(M31="P",M31="RP"),"--","NO"))</f>
      </c>
      <c r="O31" s="733">
        <f>IF(D31="","","NO")</f>
      </c>
      <c r="P31" s="532">
        <f>200*IF(O31="SI",1,0.1)*IF(M31="P",0.1,1)</f>
        <v>20</v>
      </c>
      <c r="Q31" s="591" t="str">
        <f>IF(M31="P",H31*P31*ROUND(L31/60,2),"--")</f>
        <v>--</v>
      </c>
      <c r="R31" s="586" t="str">
        <f>IF(AND(M31="F",N31="NO"),H31*P31,"--")</f>
        <v>--</v>
      </c>
      <c r="S31" s="587" t="str">
        <f>IF(M31="F",H31*P31*ROUND(L31/60,2),"--")</f>
        <v>--</v>
      </c>
      <c r="T31" s="511" t="str">
        <f>IF(M31="RF",H31*P31*ROUND(L31/60,2),"--")</f>
        <v>--</v>
      </c>
      <c r="U31" s="55">
        <f>IF(D31="","","SI")</f>
      </c>
      <c r="V31" s="210">
        <f>IF(D31="","",SUM(Q31:T31)*IF(U31="SI",1,2))</f>
      </c>
      <c r="W31" s="152"/>
    </row>
    <row r="32" spans="1:23" ht="16.5" customHeight="1" thickBot="1">
      <c r="A32" s="106"/>
      <c r="B32" s="124"/>
      <c r="C32" s="56"/>
      <c r="D32" s="369"/>
      <c r="E32" s="370"/>
      <c r="F32" s="371"/>
      <c r="G32" s="372"/>
      <c r="H32" s="565"/>
      <c r="I32" s="373"/>
      <c r="J32" s="374"/>
      <c r="K32" s="375"/>
      <c r="L32" s="376"/>
      <c r="M32" s="57"/>
      <c r="N32" s="30"/>
      <c r="O32" s="734"/>
      <c r="P32" s="533"/>
      <c r="Q32" s="592"/>
      <c r="R32" s="588"/>
      <c r="S32" s="589"/>
      <c r="T32" s="537"/>
      <c r="U32" s="377"/>
      <c r="V32" s="378"/>
      <c r="W32" s="152"/>
    </row>
    <row r="33" spans="1:23" ht="16.5" customHeight="1" thickBot="1" thickTop="1">
      <c r="A33" s="106"/>
      <c r="B33" s="124"/>
      <c r="C33" s="181"/>
      <c r="D33" s="1"/>
      <c r="E33" s="1"/>
      <c r="F33" s="243"/>
      <c r="G33" s="379"/>
      <c r="H33" s="380"/>
      <c r="I33" s="381"/>
      <c r="J33" s="382"/>
      <c r="K33" s="383"/>
      <c r="L33" s="384"/>
      <c r="M33" s="380"/>
      <c r="N33" s="385"/>
      <c r="O33" s="36"/>
      <c r="P33" s="386"/>
      <c r="Q33" s="387"/>
      <c r="R33" s="388"/>
      <c r="S33" s="388"/>
      <c r="T33" s="388"/>
      <c r="U33" s="342"/>
      <c r="V33" s="389">
        <f>SUM(V30:V32)</f>
        <v>0</v>
      </c>
      <c r="W33" s="152"/>
    </row>
    <row r="34" spans="1:23" ht="16.5" customHeight="1" thickBot="1" thickTop="1">
      <c r="A34" s="106"/>
      <c r="B34" s="124"/>
      <c r="C34" s="181"/>
      <c r="D34" s="1"/>
      <c r="E34" s="1"/>
      <c r="F34" s="243"/>
      <c r="G34" s="379"/>
      <c r="H34" s="380"/>
      <c r="I34" s="381"/>
      <c r="L34" s="384"/>
      <c r="M34" s="380"/>
      <c r="N34" s="703"/>
      <c r="O34" s="704"/>
      <c r="P34" s="386"/>
      <c r="Q34" s="387"/>
      <c r="R34" s="388"/>
      <c r="S34" s="388"/>
      <c r="T34" s="388"/>
      <c r="U34" s="342"/>
      <c r="V34" s="342"/>
      <c r="W34" s="152"/>
    </row>
    <row r="35" spans="2:23" s="16" customFormat="1" ht="33.75" customHeight="1" thickBot="1" thickTop="1">
      <c r="B35" s="124"/>
      <c r="C35" s="164" t="s">
        <v>73</v>
      </c>
      <c r="D35" s="172" t="s">
        <v>106</v>
      </c>
      <c r="E35" s="943" t="s">
        <v>43</v>
      </c>
      <c r="F35" s="944"/>
      <c r="G35" s="174" t="s">
        <v>74</v>
      </c>
      <c r="H35" s="347" t="s">
        <v>78</v>
      </c>
      <c r="I35" s="166" t="s">
        <v>79</v>
      </c>
      <c r="J35" s="168" t="s">
        <v>80</v>
      </c>
      <c r="K35" s="235" t="s">
        <v>81</v>
      </c>
      <c r="L35" s="235" t="s">
        <v>82</v>
      </c>
      <c r="M35" s="171" t="s">
        <v>83</v>
      </c>
      <c r="N35" s="943" t="s">
        <v>86</v>
      </c>
      <c r="O35" s="955"/>
      <c r="P35" s="496" t="s">
        <v>77</v>
      </c>
      <c r="Q35" s="484" t="s">
        <v>99</v>
      </c>
      <c r="R35" s="503" t="s">
        <v>118</v>
      </c>
      <c r="S35" s="504"/>
      <c r="T35" s="513" t="s">
        <v>91</v>
      </c>
      <c r="U35" s="174" t="s">
        <v>93</v>
      </c>
      <c r="V35" s="208" t="s">
        <v>94</v>
      </c>
      <c r="W35" s="128"/>
    </row>
    <row r="36" spans="2:23" s="16" customFormat="1" ht="16.5" customHeight="1" thickTop="1">
      <c r="B36" s="124"/>
      <c r="C36" s="20"/>
      <c r="D36" s="67"/>
      <c r="E36" s="945"/>
      <c r="F36" s="946"/>
      <c r="G36" s="67"/>
      <c r="H36" s="357"/>
      <c r="I36" s="67"/>
      <c r="J36" s="67"/>
      <c r="K36" s="67"/>
      <c r="L36" s="67"/>
      <c r="M36" s="67"/>
      <c r="N36" s="67"/>
      <c r="O36" s="735"/>
      <c r="P36" s="495"/>
      <c r="Q36" s="499"/>
      <c r="R36" s="507"/>
      <c r="S36" s="508"/>
      <c r="T36" s="511"/>
      <c r="U36" s="67"/>
      <c r="V36" s="236"/>
      <c r="W36" s="128"/>
    </row>
    <row r="37" spans="2:23" s="16" customFormat="1" ht="16.5" customHeight="1">
      <c r="B37" s="124"/>
      <c r="C37" s="769" t="s">
        <v>232</v>
      </c>
      <c r="D37" s="865" t="s">
        <v>178</v>
      </c>
      <c r="E37" s="945" t="s">
        <v>249</v>
      </c>
      <c r="F37" s="946"/>
      <c r="G37" s="865">
        <v>132</v>
      </c>
      <c r="H37" s="348">
        <f>IF(G37=500,$M$19,IF(G37=220,$M$20,$M$21))</f>
        <v>24.587</v>
      </c>
      <c r="I37" s="835">
        <v>38042.38402777778</v>
      </c>
      <c r="J37" s="836">
        <v>38042.717361111114</v>
      </c>
      <c r="K37" s="71">
        <f>IF(D37="","",(J37-I37)*24)</f>
        <v>8.000000000058208</v>
      </c>
      <c r="L37" s="28">
        <f>IF(D37="","",ROUND((J37-I37)*24*60,0))</f>
        <v>480</v>
      </c>
      <c r="M37" s="25" t="s">
        <v>205</v>
      </c>
      <c r="N37" s="953" t="str">
        <f>IF(D37="","",IF(OR(M37="P",M37="RP"),"--","NO"))</f>
        <v>--</v>
      </c>
      <c r="O37" s="954"/>
      <c r="P37" s="497">
        <f>IF(G37=500,$N$19,IF(G37=220,$N$20,$N$21))</f>
        <v>40</v>
      </c>
      <c r="Q37" s="500">
        <f>IF(M37="P",H37*P37*ROUND(L37/60,2)*0.1,"--")</f>
        <v>786.7840000000001</v>
      </c>
      <c r="R37" s="507" t="str">
        <f>IF(AND(M37="F",N37="NO"),H37*P37,"--")</f>
        <v>--</v>
      </c>
      <c r="S37" s="508" t="str">
        <f>IF(M37="F",H37*P37*ROUND(L37/60,2),"--")</f>
        <v>--</v>
      </c>
      <c r="T37" s="511" t="str">
        <f>IF(M37="RF",H37*P37*ROUND(L37/60,2),"--")</f>
        <v>--</v>
      </c>
      <c r="U37" s="73" t="str">
        <f>IF(D37="","","SI")</f>
        <v>SI</v>
      </c>
      <c r="V37" s="74">
        <f>IF(D37="","",SUM(Q37:T37)*IF(U37="SI",1,2))</f>
        <v>786.7840000000001</v>
      </c>
      <c r="W37" s="128"/>
    </row>
    <row r="38" spans="2:23" s="16" customFormat="1" ht="16.5" customHeight="1">
      <c r="B38" s="124"/>
      <c r="C38" s="769" t="s">
        <v>233</v>
      </c>
      <c r="D38" s="865" t="s">
        <v>178</v>
      </c>
      <c r="E38" s="945" t="s">
        <v>249</v>
      </c>
      <c r="F38" s="946"/>
      <c r="G38" s="865">
        <v>132</v>
      </c>
      <c r="H38" s="348">
        <f>IF(G38=500,$M$19,IF(G38=220,$M$20,$M$21))</f>
        <v>24.587</v>
      </c>
      <c r="I38" s="835">
        <v>38044.4</v>
      </c>
      <c r="J38" s="836">
        <v>38044.775</v>
      </c>
      <c r="K38" s="71">
        <f>IF(D38="","",(J38-I38)*24)</f>
        <v>9</v>
      </c>
      <c r="L38" s="28">
        <f>IF(D38="","",ROUND((J38-I38)*24*60,0))</f>
        <v>540</v>
      </c>
      <c r="M38" s="25" t="s">
        <v>205</v>
      </c>
      <c r="N38" s="953" t="str">
        <f>IF(D38="","",IF(OR(M38="P",M38="RP"),"--","NO"))</f>
        <v>--</v>
      </c>
      <c r="O38" s="954"/>
      <c r="P38" s="497">
        <f>IF(G38=500,$N$19,IF(G38=220,$N$20,$N$21))</f>
        <v>40</v>
      </c>
      <c r="Q38" s="500">
        <f>IF(M38="P",H38*P38*ROUND(L38/60,2)*0.1,"--")</f>
        <v>885.1320000000001</v>
      </c>
      <c r="R38" s="507" t="str">
        <f>IF(AND(M38="F",N38="NO"),H38*P38,"--")</f>
        <v>--</v>
      </c>
      <c r="S38" s="508" t="str">
        <f>IF(M38="F",H38*P38*ROUND(L38/60,2),"--")</f>
        <v>--</v>
      </c>
      <c r="T38" s="511" t="str">
        <f>IF(M38="RF",H38*P38*ROUND(L38/60,2),"--")</f>
        <v>--</v>
      </c>
      <c r="U38" s="73" t="str">
        <f>IF(D38="","","SI")</f>
        <v>SI</v>
      </c>
      <c r="V38" s="74">
        <f>IF(D38="","",SUM(Q38:T38)*IF(U38="SI",1,2))</f>
        <v>885.1320000000001</v>
      </c>
      <c r="W38" s="128"/>
    </row>
    <row r="39" spans="2:23" s="16" customFormat="1" ht="16.5" customHeight="1">
      <c r="B39" s="124"/>
      <c r="C39" s="769" t="s">
        <v>234</v>
      </c>
      <c r="D39" s="865" t="s">
        <v>178</v>
      </c>
      <c r="E39" s="945" t="s">
        <v>249</v>
      </c>
      <c r="F39" s="946"/>
      <c r="G39" s="865">
        <v>132</v>
      </c>
      <c r="H39" s="348">
        <f>IF(G39=500,$M$19,IF(G39=220,$M$20,$M$21))</f>
        <v>24.587</v>
      </c>
      <c r="I39" s="835">
        <v>38044.40069444444</v>
      </c>
      <c r="J39" s="836">
        <v>38044.77569444444</v>
      </c>
      <c r="K39" s="71">
        <f>IF(D39="","",(J39-I39)*24)</f>
        <v>9</v>
      </c>
      <c r="L39" s="28">
        <f>IF(D39="","",ROUND((J39-I39)*24*60,0))</f>
        <v>540</v>
      </c>
      <c r="M39" s="25" t="s">
        <v>205</v>
      </c>
      <c r="N39" s="953" t="str">
        <f>IF(D39="","",IF(OR(M39="P",M39="RP"),"--","NO"))</f>
        <v>--</v>
      </c>
      <c r="O39" s="954"/>
      <c r="P39" s="497">
        <f>IF(G39=500,$N$19,IF(G39=220,$N$20,$N$21))</f>
        <v>40</v>
      </c>
      <c r="Q39" s="500">
        <f>IF(M39="P",H39*P39*ROUND(L39/60,2)*0.1,"--")</f>
        <v>885.1320000000001</v>
      </c>
      <c r="R39" s="507" t="str">
        <f>IF(AND(M39="F",N39="NO"),H39*P39,"--")</f>
        <v>--</v>
      </c>
      <c r="S39" s="508" t="str">
        <f>IF(M39="F",H39*P39*ROUND(L39/60,2),"--")</f>
        <v>--</v>
      </c>
      <c r="T39" s="511" t="str">
        <f>IF(M39="RF",H39*P39*ROUND(L39/60,2),"--")</f>
        <v>--</v>
      </c>
      <c r="U39" s="73" t="str">
        <f>IF(D39="","","SI")</f>
        <v>SI</v>
      </c>
      <c r="V39" s="74">
        <f>IF(D39="","",SUM(Q39:T39)*IF(U39="SI",1,2))</f>
        <v>885.1320000000001</v>
      </c>
      <c r="W39" s="128"/>
    </row>
    <row r="40" spans="2:28" s="16" customFormat="1" ht="16.5" customHeight="1" thickBot="1">
      <c r="B40" s="124"/>
      <c r="C40" s="736"/>
      <c r="D40" s="737"/>
      <c r="E40" s="737"/>
      <c r="F40" s="738"/>
      <c r="G40" s="739"/>
      <c r="H40" s="740"/>
      <c r="I40" s="741"/>
      <c r="J40" s="742"/>
      <c r="K40" s="743"/>
      <c r="L40" s="744"/>
      <c r="M40" s="745"/>
      <c r="N40" s="746"/>
      <c r="O40" s="745"/>
      <c r="P40" s="747"/>
      <c r="Q40" s="748"/>
      <c r="R40" s="749"/>
      <c r="S40" s="750"/>
      <c r="T40" s="751"/>
      <c r="U40" s="752"/>
      <c r="V40" s="753"/>
      <c r="W40" s="128"/>
      <c r="X40"/>
      <c r="Y40"/>
      <c r="Z40"/>
      <c r="AA40"/>
      <c r="AB40"/>
    </row>
    <row r="41" spans="1:23" ht="17.25" thickBot="1" thickTop="1">
      <c r="A41" s="106"/>
      <c r="B41" s="314"/>
      <c r="C41" s="308"/>
      <c r="D41" s="315"/>
      <c r="E41" s="316"/>
      <c r="F41" s="317"/>
      <c r="G41" s="318"/>
      <c r="H41" s="318"/>
      <c r="I41" s="316"/>
      <c r="J41" s="296"/>
      <c r="K41" s="296"/>
      <c r="L41" s="316"/>
      <c r="M41" s="316"/>
      <c r="N41" s="316"/>
      <c r="O41" s="319"/>
      <c r="P41" s="316"/>
      <c r="Q41" s="316"/>
      <c r="R41" s="320"/>
      <c r="S41" s="321"/>
      <c r="T41" s="321"/>
      <c r="U41" s="322"/>
      <c r="V41" s="389">
        <f>SUM(V37:V40)</f>
        <v>2557.0480000000002</v>
      </c>
      <c r="W41" s="324"/>
    </row>
    <row r="42" spans="1:23" ht="17.25" thickBot="1" thickTop="1">
      <c r="A42" s="106"/>
      <c r="B42" s="314"/>
      <c r="C42" s="308"/>
      <c r="D42" s="315"/>
      <c r="E42" s="316"/>
      <c r="F42" s="317"/>
      <c r="G42" s="318"/>
      <c r="H42" s="318"/>
      <c r="I42" s="640" t="s">
        <v>144</v>
      </c>
      <c r="J42" s="728">
        <f>+V41+V33</f>
        <v>2557.0480000000002</v>
      </c>
      <c r="L42" s="316"/>
      <c r="M42" s="316"/>
      <c r="N42" s="316"/>
      <c r="O42" s="319"/>
      <c r="P42" s="316"/>
      <c r="Q42" s="316"/>
      <c r="R42" s="320"/>
      <c r="S42" s="321"/>
      <c r="T42" s="321"/>
      <c r="U42" s="322"/>
      <c r="W42" s="324"/>
    </row>
    <row r="43" spans="1:23" ht="13.5" customHeight="1" thickTop="1">
      <c r="A43" s="106"/>
      <c r="B43" s="314"/>
      <c r="C43" s="308"/>
      <c r="D43" s="315"/>
      <c r="E43" s="316"/>
      <c r="F43" s="317"/>
      <c r="G43" s="318"/>
      <c r="H43" s="318"/>
      <c r="I43" s="316"/>
      <c r="J43" s="296"/>
      <c r="K43" s="296"/>
      <c r="L43" s="316"/>
      <c r="M43" s="316"/>
      <c r="N43" s="316"/>
      <c r="O43" s="319"/>
      <c r="P43" s="316"/>
      <c r="Q43" s="316"/>
      <c r="R43" s="320"/>
      <c r="S43" s="321"/>
      <c r="T43" s="321"/>
      <c r="U43" s="322"/>
      <c r="W43" s="324"/>
    </row>
    <row r="44" spans="1:23" ht="16.5" customHeight="1">
      <c r="A44" s="106"/>
      <c r="B44" s="314"/>
      <c r="C44" s="325" t="s">
        <v>145</v>
      </c>
      <c r="D44" s="326" t="s">
        <v>146</v>
      </c>
      <c r="E44" s="316"/>
      <c r="F44" s="317"/>
      <c r="G44" s="318"/>
      <c r="H44" s="318"/>
      <c r="I44" s="316"/>
      <c r="J44" s="296"/>
      <c r="K44" s="296"/>
      <c r="L44" s="316"/>
      <c r="M44" s="316"/>
      <c r="N44" s="316"/>
      <c r="O44" s="319"/>
      <c r="P44" s="316"/>
      <c r="Q44" s="316"/>
      <c r="R44" s="320"/>
      <c r="S44" s="321"/>
      <c r="T44" s="321"/>
      <c r="U44" s="322"/>
      <c r="W44" s="324"/>
    </row>
    <row r="45" spans="1:23" ht="16.5" customHeight="1">
      <c r="A45" s="106"/>
      <c r="B45" s="314"/>
      <c r="C45" s="325"/>
      <c r="D45" s="315"/>
      <c r="E45" s="316"/>
      <c r="F45" s="317"/>
      <c r="G45" s="318"/>
      <c r="H45" s="318"/>
      <c r="I45" s="316"/>
      <c r="J45" s="296"/>
      <c r="K45" s="296"/>
      <c r="L45" s="316"/>
      <c r="M45" s="316"/>
      <c r="N45" s="316"/>
      <c r="O45" s="319"/>
      <c r="P45" s="316"/>
      <c r="Q45" s="316"/>
      <c r="R45" s="316"/>
      <c r="S45" s="320"/>
      <c r="T45" s="321"/>
      <c r="W45" s="324"/>
    </row>
    <row r="46" spans="2:23" s="106" customFormat="1" ht="16.5" customHeight="1">
      <c r="B46" s="314"/>
      <c r="C46" s="308"/>
      <c r="D46" s="335" t="s">
        <v>152</v>
      </c>
      <c r="E46" s="311" t="s">
        <v>153</v>
      </c>
      <c r="F46" s="311" t="s">
        <v>148</v>
      </c>
      <c r="G46" s="609" t="s">
        <v>154</v>
      </c>
      <c r="H46"/>
      <c r="I46" s="631"/>
      <c r="J46" s="331" t="s">
        <v>156</v>
      </c>
      <c r="K46" s="331"/>
      <c r="L46" s="311" t="s">
        <v>148</v>
      </c>
      <c r="M46" t="s">
        <v>166</v>
      </c>
      <c r="O46" s="609" t="s">
        <v>167</v>
      </c>
      <c r="P46"/>
      <c r="Q46" s="329"/>
      <c r="R46" s="329"/>
      <c r="S46" s="108"/>
      <c r="T46"/>
      <c r="U46"/>
      <c r="V46"/>
      <c r="W46" s="324"/>
    </row>
    <row r="47" spans="2:23" s="106" customFormat="1" ht="16.5" customHeight="1">
      <c r="B47" s="314"/>
      <c r="C47" s="308"/>
      <c r="D47" s="632" t="s">
        <v>188</v>
      </c>
      <c r="E47" s="632">
        <v>300</v>
      </c>
      <c r="F47" s="756" t="s">
        <v>24</v>
      </c>
      <c r="G47" s="957">
        <f>+E47*$F$20*$F$21</f>
        <v>32155.2</v>
      </c>
      <c r="H47" s="957"/>
      <c r="I47" s="957"/>
      <c r="J47" s="722" t="s">
        <v>189</v>
      </c>
      <c r="K47" s="722"/>
      <c r="L47" s="632">
        <v>132</v>
      </c>
      <c r="M47" s="632">
        <v>2</v>
      </c>
      <c r="O47" s="957">
        <f>+M47*$F$20*$M$21</f>
        <v>34225.104</v>
      </c>
      <c r="P47" s="957"/>
      <c r="Q47" s="957"/>
      <c r="R47" s="957"/>
      <c r="S47" s="957"/>
      <c r="T47" s="957"/>
      <c r="U47" s="957"/>
      <c r="V47"/>
      <c r="W47" s="324"/>
    </row>
    <row r="48" spans="1:23" ht="16.5" customHeight="1">
      <c r="A48" s="106"/>
      <c r="B48" s="314"/>
      <c r="C48" s="308"/>
      <c r="D48" s="633"/>
      <c r="E48" s="634"/>
      <c r="F48" s="721"/>
      <c r="G48" s="956">
        <f>+G47</f>
        <v>32155.2</v>
      </c>
      <c r="H48" s="956"/>
      <c r="I48" s="956"/>
      <c r="M48" s="632"/>
      <c r="O48" s="956">
        <f>SUM(O47:P47)</f>
        <v>34225.104</v>
      </c>
      <c r="P48" s="956"/>
      <c r="Q48" s="956"/>
      <c r="R48" s="956"/>
      <c r="S48" s="956"/>
      <c r="T48" s="956"/>
      <c r="U48" s="956"/>
      <c r="W48" s="324"/>
    </row>
    <row r="49" spans="1:23" ht="16.5" customHeight="1">
      <c r="A49" s="106"/>
      <c r="B49" s="314"/>
      <c r="C49" s="308"/>
      <c r="D49" s="633"/>
      <c r="E49" s="634"/>
      <c r="F49" s="721"/>
      <c r="M49" s="632"/>
      <c r="N49" s="631"/>
      <c r="O49" s="631"/>
      <c r="P49" s="323"/>
      <c r="Q49" s="323"/>
      <c r="R49" s="323"/>
      <c r="S49" s="323"/>
      <c r="W49" s="324"/>
    </row>
    <row r="50" spans="1:23" ht="16.5" customHeight="1" thickBot="1">
      <c r="A50" s="106"/>
      <c r="B50" s="314"/>
      <c r="C50" s="308"/>
      <c r="D50" s="335"/>
      <c r="E50" s="562"/>
      <c r="F50" s="562"/>
      <c r="G50" s="311"/>
      <c r="I50" s="327"/>
      <c r="J50" s="609"/>
      <c r="L50" s="608"/>
      <c r="M50" s="327"/>
      <c r="N50" s="328"/>
      <c r="O50" s="329"/>
      <c r="P50" s="329"/>
      <c r="Q50" s="329"/>
      <c r="R50" s="329"/>
      <c r="S50" s="329"/>
      <c r="W50" s="324"/>
    </row>
    <row r="51" spans="1:23" ht="16.5" customHeight="1" thickBot="1" thickTop="1">
      <c r="A51" s="106"/>
      <c r="B51" s="314"/>
      <c r="C51" s="308"/>
      <c r="D51" s="311"/>
      <c r="E51" s="723"/>
      <c r="F51" s="723"/>
      <c r="G51" s="390"/>
      <c r="H51" s="4"/>
      <c r="I51" s="640" t="s">
        <v>176</v>
      </c>
      <c r="J51" s="728">
        <f>+G48+O48</f>
        <v>66380.304</v>
      </c>
      <c r="L51" s="605"/>
      <c r="M51" s="4"/>
      <c r="N51" s="607"/>
      <c r="O51" s="323"/>
      <c r="P51" s="323"/>
      <c r="Q51" s="323"/>
      <c r="R51" s="323"/>
      <c r="S51" s="323"/>
      <c r="W51" s="324"/>
    </row>
    <row r="52" spans="1:23" ht="16.5" customHeight="1" thickTop="1">
      <c r="A52" s="106"/>
      <c r="B52" s="314"/>
      <c r="C52" s="308"/>
      <c r="D52" s="296"/>
      <c r="E52" s="298"/>
      <c r="F52" s="311"/>
      <c r="G52" s="311"/>
      <c r="H52" s="312"/>
      <c r="J52" s="311"/>
      <c r="L52" s="332"/>
      <c r="M52" s="328"/>
      <c r="N52" s="328"/>
      <c r="O52" s="329"/>
      <c r="P52" s="329"/>
      <c r="Q52" s="329"/>
      <c r="R52" s="329"/>
      <c r="S52" s="329"/>
      <c r="W52" s="324"/>
    </row>
    <row r="53" spans="2:23" ht="16.5" customHeight="1">
      <c r="B53" s="314"/>
      <c r="C53" s="325" t="s">
        <v>157</v>
      </c>
      <c r="D53" s="333" t="s">
        <v>158</v>
      </c>
      <c r="E53" s="311"/>
      <c r="F53" s="334"/>
      <c r="G53" s="297"/>
      <c r="H53" s="296"/>
      <c r="I53" s="296"/>
      <c r="J53" s="296"/>
      <c r="K53" s="311"/>
      <c r="L53" s="311"/>
      <c r="M53" s="296"/>
      <c r="N53" s="311"/>
      <c r="O53" s="296"/>
      <c r="P53" s="296"/>
      <c r="Q53" s="296"/>
      <c r="R53" s="296"/>
      <c r="S53" s="296"/>
      <c r="T53" s="296"/>
      <c r="U53" s="296"/>
      <c r="W53" s="324"/>
    </row>
    <row r="54" spans="2:23" s="106" customFormat="1" ht="16.5" customHeight="1">
      <c r="B54" s="314"/>
      <c r="C54" s="308"/>
      <c r="D54" s="335" t="s">
        <v>159</v>
      </c>
      <c r="E54" s="336">
        <f>10*J42*J25/J51</f>
        <v>1022.8192</v>
      </c>
      <c r="G54" s="297"/>
      <c r="L54" s="311"/>
      <c r="N54" s="311"/>
      <c r="O54" s="312"/>
      <c r="V54"/>
      <c r="W54" s="324"/>
    </row>
    <row r="55" spans="2:23" s="106" customFormat="1" ht="12.75" customHeight="1">
      <c r="B55" s="314"/>
      <c r="C55" s="308"/>
      <c r="E55" s="602"/>
      <c r="F55" s="310"/>
      <c r="G55" s="297"/>
      <c r="J55" s="297"/>
      <c r="K55" s="338"/>
      <c r="L55" s="311"/>
      <c r="M55" s="311"/>
      <c r="N55" s="311"/>
      <c r="O55" s="312"/>
      <c r="P55" s="311"/>
      <c r="Q55" s="311"/>
      <c r="R55" s="600"/>
      <c r="S55" s="600"/>
      <c r="T55" s="600"/>
      <c r="U55" s="601"/>
      <c r="V55"/>
      <c r="W55" s="324"/>
    </row>
    <row r="56" spans="2:23" ht="16.5" customHeight="1">
      <c r="B56" s="314"/>
      <c r="C56" s="308"/>
      <c r="D56" s="339" t="s">
        <v>187</v>
      </c>
      <c r="E56" s="337"/>
      <c r="F56" s="310"/>
      <c r="G56" s="297"/>
      <c r="H56" s="296"/>
      <c r="I56" s="296"/>
      <c r="N56" s="311"/>
      <c r="O56" s="312"/>
      <c r="P56" s="311"/>
      <c r="Q56" s="311"/>
      <c r="R56" s="327"/>
      <c r="S56" s="327"/>
      <c r="T56" s="327"/>
      <c r="U56" s="328"/>
      <c r="W56" s="324"/>
    </row>
    <row r="57" spans="2:23" ht="13.5" customHeight="1" thickBot="1">
      <c r="B57" s="314"/>
      <c r="C57" s="308"/>
      <c r="D57" s="339"/>
      <c r="E57" s="337"/>
      <c r="F57" s="310"/>
      <c r="G57" s="297"/>
      <c r="H57" s="296"/>
      <c r="I57" s="296"/>
      <c r="N57" s="311"/>
      <c r="O57" s="312"/>
      <c r="P57" s="311"/>
      <c r="Q57" s="311"/>
      <c r="R57" s="327"/>
      <c r="S57" s="327"/>
      <c r="T57" s="327"/>
      <c r="U57" s="328"/>
      <c r="W57" s="324"/>
    </row>
    <row r="58" spans="2:23" s="616" customFormat="1" ht="21" thickBot="1" thickTop="1">
      <c r="B58" s="610"/>
      <c r="C58" s="611"/>
      <c r="D58" s="612"/>
      <c r="E58" s="613"/>
      <c r="F58" s="614"/>
      <c r="G58" s="615"/>
      <c r="I58" s="617" t="s">
        <v>160</v>
      </c>
      <c r="J58" s="618">
        <f>IF(E54&gt;3*J25,J25*3,E54)</f>
        <v>1022.8192</v>
      </c>
      <c r="M58" s="619"/>
      <c r="N58" s="619"/>
      <c r="O58" s="620"/>
      <c r="P58" s="619"/>
      <c r="Q58" s="619"/>
      <c r="R58" s="621"/>
      <c r="S58" s="621"/>
      <c r="T58" s="621"/>
      <c r="U58" s="622"/>
      <c r="V58"/>
      <c r="W58" s="623"/>
    </row>
    <row r="59" spans="2:23" ht="16.5" customHeight="1" thickBot="1" thickTop="1">
      <c r="B59" s="131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343"/>
      <c r="W59" s="340"/>
    </row>
    <row r="60" spans="2:23" ht="16.5" customHeight="1" thickTop="1">
      <c r="B60" s="12"/>
      <c r="C60" s="708"/>
      <c r="W60" s="12"/>
    </row>
  </sheetData>
  <sheetProtection password="CC12"/>
  <mergeCells count="13">
    <mergeCell ref="N39:O39"/>
    <mergeCell ref="E38:F38"/>
    <mergeCell ref="E39:F39"/>
    <mergeCell ref="E35:F35"/>
    <mergeCell ref="E36:F36"/>
    <mergeCell ref="E37:F37"/>
    <mergeCell ref="N35:O35"/>
    <mergeCell ref="N37:O37"/>
    <mergeCell ref="N38:O38"/>
    <mergeCell ref="O48:U48"/>
    <mergeCell ref="G48:I48"/>
    <mergeCell ref="G47:I47"/>
    <mergeCell ref="O47:U47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36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emartilotta</cp:lastModifiedBy>
  <cp:lastPrinted>2006-12-18T15:24:38Z</cp:lastPrinted>
  <dcterms:created xsi:type="dcterms:W3CDTF">1998-04-21T14:28:46Z</dcterms:created>
  <dcterms:modified xsi:type="dcterms:W3CDTF">2006-12-20T15:44:00Z</dcterms:modified>
  <cp:category/>
  <cp:version/>
  <cp:contentType/>
  <cp:contentStatus/>
</cp:coreProperties>
</file>