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firstSheet="2" activeTab="10"/>
  </bookViews>
  <sheets>
    <sheet name="TOT-0211" sheetId="1" r:id="rId1"/>
    <sheet name="LI-02 (1)" sheetId="2" r:id="rId2"/>
    <sheet name="LI-INTESAR-02 (1)" sheetId="3" r:id="rId3"/>
    <sheet name="TR-02 (1)" sheetId="4" r:id="rId4"/>
    <sheet name="TR-ENECOR-02 (1)" sheetId="5" r:id="rId5"/>
    <sheet name="SA-02 (1)" sheetId="6" r:id="rId6"/>
    <sheet name="SA-TIBA-02 (1)" sheetId="7" r:id="rId7"/>
    <sheet name="SA-LINSA (1)" sheetId="8" r:id="rId8"/>
    <sheet name="RE-02 (1)" sheetId="9" r:id="rId9"/>
    <sheet name="RE-YACY-02 (1)" sheetId="10" r:id="rId10"/>
    <sheet name="SUP-INTESAR" sheetId="11" r:id="rId11"/>
    <sheet name="SUP-LINSA" sheetId="12" r:id="rId12"/>
    <sheet name="SUP-TIBA" sheetId="13" r:id="rId13"/>
    <sheet name="SUP-ENECOR" sheetId="14" r:id="rId14"/>
    <sheet name="SUP-YACYLEC" sheetId="15" r:id="rId15"/>
    <sheet name="TASA FALLA" sheetId="16" r:id="rId16"/>
    <sheet name="DATO" sheetId="17" r:id="rId17"/>
  </sheets>
  <externalReferences>
    <externalReference r:id="rId20"/>
    <externalReference r:id="rId21"/>
    <externalReference r:id="rId22"/>
  </externalReferences>
  <definedNames>
    <definedName name="_xlnm.Print_Area" localSheetId="13">'SUP-ENECOR'!$A$1:$X$65</definedName>
    <definedName name="_xlnm.Print_Area" localSheetId="12">'SUP-TIBA'!$A$1:$W$68</definedName>
    <definedName name="_xlnm.Print_Area" localSheetId="15">'TASA FALLA'!$A$1:$V$104</definedName>
    <definedName name="DD" localSheetId="10">'SUP-INTESAR'!DD</definedName>
    <definedName name="DD" localSheetId="15">'TASA FALLA'!DD</definedName>
    <definedName name="DD">[0]!DD</definedName>
    <definedName name="DDD" localSheetId="10">'SUP-INTESAR'!DDD</definedName>
    <definedName name="DDD" localSheetId="15">'TASA FALLA'!DDD</definedName>
    <definedName name="DDD">[0]!DDD</definedName>
    <definedName name="DISTROCUYO" localSheetId="10">'SUP-INTESAR'!DISTROCUYO</definedName>
    <definedName name="DISTROCUYO" localSheetId="15">'TASA FALLA'!DISTROCUYO</definedName>
    <definedName name="DISTROCUYO">[0]!DISTROCUYO</definedName>
    <definedName name="FER" localSheetId="10">'SUP-INTESAR'!FER</definedName>
    <definedName name="FER" localSheetId="15">'TASA FALLA'!FER</definedName>
    <definedName name="FER">[0]!FER</definedName>
    <definedName name="INICIO" localSheetId="10">'SUP-INTESAR'!INICIO</definedName>
    <definedName name="INICIO" localSheetId="15">'TASA FALLA'!INICIO</definedName>
    <definedName name="INICIO">[0]!INICIO</definedName>
    <definedName name="INICIOTI" localSheetId="10">'SUP-INTESAR'!INICIOTI</definedName>
    <definedName name="INICIOTI" localSheetId="15">'TASA FALLA'!INICIOTI</definedName>
    <definedName name="INICIOTI">[0]!INICIOTI</definedName>
    <definedName name="LINEAS" localSheetId="10">'SUP-INTESAR'!LINEAS</definedName>
    <definedName name="LINEAS" localSheetId="15">'TASA FALLA'!LINEAS</definedName>
    <definedName name="LINEAS">[0]!LINEAS</definedName>
    <definedName name="NAME_L" localSheetId="10">'SUP-INTESAR'!NAME_L</definedName>
    <definedName name="NAME_L" localSheetId="15">'TASA FALLA'!NAME_L</definedName>
    <definedName name="NAME_L">[0]!NAME_L</definedName>
    <definedName name="NAME_L_TI" localSheetId="10">'SUP-INTESAR'!NAME_L_TI</definedName>
    <definedName name="NAME_L_TI" localSheetId="15">'TASA FALLA'!NAME_L_TI</definedName>
    <definedName name="NAME_L_TI">[0]!NAME_L_TI</definedName>
    <definedName name="TRAN" localSheetId="10">'SUP-INTESAR'!TRAN</definedName>
    <definedName name="TRAN" localSheetId="15">'TASA FALLA'!TRAN</definedName>
    <definedName name="TRAN">[0]!TRAN</definedName>
    <definedName name="TRANSNOA" localSheetId="10">'SUP-INTESAR'!TRANSNOA</definedName>
    <definedName name="TRANSNOA" localSheetId="15">'TASA FALLA'!TRANSNOA</definedName>
    <definedName name="TRANSNOA">[0]!TRANSNOA</definedName>
    <definedName name="x" localSheetId="10">'SUP-INTESAR'!x</definedName>
    <definedName name="x" localSheetId="15">'TASA FALLA'!x</definedName>
    <definedName name="x">[0]!x</definedName>
    <definedName name="XX" localSheetId="10">'SUP-INTESAR'!XX</definedName>
    <definedName name="XX" localSheetId="15">'TASA FALLA'!XX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12.xml><?xml version="1.0" encoding="utf-8"?>
<comments xmlns="http://schemas.openxmlformats.org/spreadsheetml/2006/main">
  <authors>
    <author>Ing. Juan Messina</author>
  </authors>
  <commentLis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<sst xmlns="http://schemas.openxmlformats.org/spreadsheetml/2006/main" count="1332" uniqueCount="422">
  <si>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</si>
  <si>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</si>
  <si>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</si>
  <si>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</si>
  <si>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</si>
  <si>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</si>
  <si>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</si>
  <si>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</si>
  <si>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</si>
  <si>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</si>
  <si>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</si>
  <si>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</si>
  <si>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</si>
  <si>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</si>
  <si>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</si>
  <si>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</si>
  <si>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</si>
  <si>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</si>
  <si>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</si>
  <si>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</si>
  <si>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</si>
  <si>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</si>
  <si>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</si>
  <si>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</si>
  <si>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</si>
  <si>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</si>
  <si>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</si>
  <si>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</si>
  <si>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</si>
  <si>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</si>
  <si>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</si>
  <si>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</si>
  <si>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</si>
  <si>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</si>
  <si>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</si>
  <si>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</si>
  <si>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</si>
  <si>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</si>
  <si>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</si>
  <si>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</si>
  <si>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</si>
  <si>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</si>
  <si>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</si>
  <si>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</si>
  <si>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</si>
  <si>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</si>
  <si>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</si>
  <si>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</si>
  <si>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</si>
  <si>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</si>
  <si>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</si>
  <si>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</si>
  <si>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</si>
  <si>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</si>
  <si>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</si>
  <si>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</si>
  <si>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</si>
  <si>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</si>
  <si>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</si>
  <si>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</si>
  <si>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</si>
  <si>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</si>
  <si>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</si>
  <si>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</si>
  <si>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</si>
  <si>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</si>
  <si>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</si>
  <si>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</si>
  <si>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</si>
  <si>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</si>
  <si>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</si>
  <si>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</si>
  <si>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</si>
  <si>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</si>
  <si>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</si>
  <si>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</si>
  <si>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</si>
  <si>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</si>
  <si>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</si>
  <si>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</si>
  <si>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</si>
  <si>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</si>
  <si>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</si>
  <si>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</si>
  <si>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</si>
  <si>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</si>
  <si>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</si>
  <si>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3.2.-  Transportista Independiente YACYLEC S.A.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</si>
  <si>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</si>
  <si>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</si>
  <si>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</si>
  <si>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</si>
  <si>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</si>
  <si>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</si>
  <si>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</si>
  <si>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</si>
  <si>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</si>
  <si>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</si>
  <si>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</si>
  <si>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</si>
  <si>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</si>
  <si>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</si>
  <si>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</si>
  <si>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</si>
  <si>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</si>
  <si>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</si>
  <si>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</si>
  <si>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</si>
  <si>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</si>
  <si>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SANCIÓN =</t>
  </si>
  <si>
    <t>Remuneración TRANSFORMADOR    =</t>
  </si>
  <si>
    <t>$/MVA</t>
  </si>
  <si>
    <t>TRANSFORMADOR</t>
  </si>
  <si>
    <t>POT. [MVA]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</si>
  <si>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</si>
  <si>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</si>
  <si>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</si>
  <si>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</si>
  <si>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</si>
  <si>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</si>
  <si>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</si>
  <si>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</si>
  <si>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</si>
  <si>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</si>
  <si>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</si>
  <si>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</si>
  <si>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</si>
  <si>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</si>
  <si>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</si>
  <si>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</si>
  <si>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</si>
  <si>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</si>
  <si>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</si>
  <si>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</si>
  <si>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</si>
  <si>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</si>
  <si>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</si>
  <si>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</si>
  <si>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</si>
  <si>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</si>
  <si>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</si>
  <si>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</si>
  <si>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</si>
  <si>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</si>
  <si>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</si>
  <si>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</si>
  <si>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</si>
  <si>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</si>
  <si>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</si>
  <si>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</si>
  <si>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</si>
  <si>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</si>
  <si>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</si>
  <si>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</si>
  <si>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</si>
  <si>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</si>
  <si>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</si>
  <si>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</si>
  <si>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</si>
  <si>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</si>
  <si>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</si>
  <si>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</si>
  <si>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</si>
  <si>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</si>
  <si>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</si>
  <si>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</si>
  <si>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</si>
  <si>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</si>
  <si>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</si>
  <si>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</si>
  <si>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</si>
  <si>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</si>
  <si>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</si>
  <si>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</si>
  <si>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</si>
  <si>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</si>
  <si>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</si>
  <si>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</si>
  <si>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</si>
  <si>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</si>
  <si>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</si>
  <si>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</si>
  <si>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</si>
  <si>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</si>
  <si>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</si>
  <si>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</si>
  <si>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</si>
  <si>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</si>
  <si>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</si>
  <si>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FilaInicio</t>
  </si>
  <si>
    <t>MODELO L IV</t>
  </si>
  <si>
    <t>SUP-YACYLEC</t>
  </si>
  <si>
    <t>I</t>
  </si>
  <si>
    <t>II</t>
  </si>
  <si>
    <t>III</t>
  </si>
  <si>
    <t>IV</t>
  </si>
  <si>
    <t>V</t>
  </si>
  <si>
    <t>VI</t>
  </si>
  <si>
    <t>SUP-LITSA</t>
  </si>
  <si>
    <t>SUP-TIBA</t>
  </si>
  <si>
    <t>SUP-ENECOR</t>
  </si>
  <si>
    <t>B14</t>
  </si>
  <si>
    <t>SI</t>
  </si>
  <si>
    <t>MODELO R IV</t>
  </si>
  <si>
    <t>Total</t>
  </si>
  <si>
    <t>FILHTOTAL</t>
  </si>
  <si>
    <t>COLHTOTAL</t>
  </si>
  <si>
    <t>COLHCALC</t>
  </si>
  <si>
    <t>FILHCALC</t>
  </si>
  <si>
    <t>COLTRANSP</t>
  </si>
  <si>
    <t>FILTRANSP</t>
  </si>
  <si>
    <t>TOTAL A PENALIZAR A TRANSENER S.A POR SUPERVISIÓN A INTESAR</t>
  </si>
  <si>
    <t xml:space="preserve"> 2.2.- SALIDAS</t>
  </si>
  <si>
    <t>2.1.- TRANSFORMACIÓN</t>
  </si>
  <si>
    <t>2.1.1.- Equipamiento Propio</t>
  </si>
  <si>
    <t>Rest %</t>
  </si>
  <si>
    <t>REDUC PROGR</t>
  </si>
  <si>
    <t>Transportista Independiente INTESAR 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</si>
  <si>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</si>
  <si>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</si>
  <si>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</si>
  <si>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</si>
  <si>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</si>
  <si>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</si>
  <si>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</si>
  <si>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</si>
  <si>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</si>
  <si>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</si>
  <si>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</si>
  <si>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</si>
  <si>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</si>
  <si>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</si>
  <si>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</si>
  <si>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</si>
  <si>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</si>
  <si>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</si>
  <si>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</si>
  <si>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</si>
  <si>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</si>
  <si>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MODELO T INTESAR</t>
  </si>
  <si>
    <t>DAG</t>
  </si>
  <si>
    <t>MODELO VST</t>
  </si>
  <si>
    <t>TRANSENER_CAUSAS_VST.XLS</t>
  </si>
  <si>
    <t>Col09</t>
  </si>
  <si>
    <t>-</t>
  </si>
  <si>
    <t>MODELO S LIMSA</t>
  </si>
  <si>
    <t>MODELO S LITSA</t>
  </si>
  <si>
    <t>TRANSENER_INDISPONIBILIDADES_LINEAS_TRANSENER.XLS</t>
  </si>
  <si>
    <t>TRANSENER_INDISPONIBILIDADES_LINEAS_YACYLEC.XLS</t>
  </si>
  <si>
    <t>TRANSENER_INDISPONIBILIDADES_LINEAS_LITSA.XLS</t>
  </si>
  <si>
    <t>TRANSENER_INDISPONIBILIDADES_LINEAS_IV.XLS</t>
  </si>
  <si>
    <t>TRANSENER_INDISPONIBILIDADES_LINEAS_INTESAR.XLS</t>
  </si>
  <si>
    <t>TRANSENER_INDISPONIBILIDADES_LINEAS_CUYANA.XLS</t>
  </si>
  <si>
    <t>TRANSENER_INDISPONIBILIDADES_LINEAS_LIMSA.XLS</t>
  </si>
  <si>
    <t>TRANSENER_INDISPONIBILIDADES_TRAFOS_TRANSENER.XLS</t>
  </si>
  <si>
    <t>TRANSENER_INDISPONIBILIDADES_TRAFOS_LITSA.XLS</t>
  </si>
  <si>
    <t>TRANSENER_INDISPONIBILIDADES_TRAFOS_TIBA.XLS</t>
  </si>
  <si>
    <t>TRANSENER_INDISPONIBILIDADES_TRAFOS_ENECOR.XLS</t>
  </si>
  <si>
    <t>TRANSENER_INDISPONIBILIDADES_TRAFOS_INTESAR.XLS</t>
  </si>
  <si>
    <t>TRANSENER_INDISPONIBILIDADES_TRAFOS_LIMSA.XLS</t>
  </si>
  <si>
    <t>TRANSENER_INDISPONIBILIDADES_TRAFOS_CUYANA.XLS</t>
  </si>
  <si>
    <t>TRANSENER_INDISPONIBILIDADES_SALIDAS_TRANSENER.XLS</t>
  </si>
  <si>
    <t>TRANSENER_INDISPONIBILIDADES_SALIDAS_TIBA.XLS</t>
  </si>
  <si>
    <t>TRANSENER_INDISPONIBILIDADES_SALIDAS_ENECOR.XLS</t>
  </si>
  <si>
    <t>TRANSENER_INDISPONIBILIDADES_SALIDAS_LITSA.XLS</t>
  </si>
  <si>
    <t>TRANSENER_INDISPONIBILIDADES_SALIDAS_LIMSA.XLS</t>
  </si>
  <si>
    <t>TRANSENER_INDISPONIBILIDADES_SALIDAS_TESA.XLS</t>
  </si>
  <si>
    <t>TRANSENER_INDISPONIBILIDADES_SALIDAS_CTM.XLS</t>
  </si>
  <si>
    <t>TRANSENER_INDISPONIBILIDADES_REACTIVOS_TRANSENER.XLS</t>
  </si>
  <si>
    <t>TRANSENER_INDISPONIBILIDADES_REACTIVOS_YACYLEC.XLS</t>
  </si>
  <si>
    <t>TRANSENER_INDISPONIBILIDADES_REACTIVOS_LITSA.XLS</t>
  </si>
  <si>
    <t>TRANSENER_INDISPONIBILIDADES_REACTIVOS_IV.XLS</t>
  </si>
  <si>
    <t>TRANSENER_INDISPONIBILIDADES_DAG.XLS</t>
  </si>
  <si>
    <t>MODELO L RIOJA</t>
  </si>
  <si>
    <t>TRANSENER_INDISPONIBILIDADES_LINEAS_RIOJA.XLS</t>
  </si>
  <si>
    <t>MODELO T COBRA</t>
  </si>
  <si>
    <t>TRANSENER_INDISPONIBILIDADES_TRAFOS_COBRA.XLS</t>
  </si>
  <si>
    <t>SUP-RIOJA</t>
  </si>
  <si>
    <t>SUP-COBRA</t>
  </si>
  <si>
    <t>MODELO R LIMSA</t>
  </si>
  <si>
    <t>TRANSENER_INDISPONIBILIDADES_REACTIVOS_LIMSA.XLS</t>
  </si>
  <si>
    <t>TOTAL A PENALIZAR A TRANSENER S.A POR SUPERVISIÓN A TIBA</t>
  </si>
  <si>
    <t>TOTAL A PENALIZAR A TRANSENER S.A POR SUPERVISIÓN A YACYLEC</t>
  </si>
  <si>
    <t>Desde el 01 al 28 de febrero de 2011</t>
  </si>
  <si>
    <t>CHOCON OESTE - CHOCON 1</t>
  </si>
  <si>
    <t>C</t>
  </si>
  <si>
    <t>P</t>
  </si>
  <si>
    <t>ALMAFUERTE - ROSARIO OESTE</t>
  </si>
  <si>
    <t>B</t>
  </si>
  <si>
    <t>EZEIZA - ABASTO 2</t>
  </si>
  <si>
    <t>F</t>
  </si>
  <si>
    <t>EZEIZA - ABASTO 1</t>
  </si>
  <si>
    <t>EL BRACHO - RECREO</t>
  </si>
  <si>
    <t>CHOCON - C.H. CHOCON 1</t>
  </si>
  <si>
    <t>PLANICIE BANDERITA</t>
  </si>
  <si>
    <t>AUTOTRAFO</t>
  </si>
  <si>
    <t>ALMAFUERTE</t>
  </si>
  <si>
    <t>TRAFO 1</t>
  </si>
  <si>
    <t>P. DE LA PATRIA</t>
  </si>
  <si>
    <t>TRPP</t>
  </si>
  <si>
    <t>GRAN MENDOZA</t>
  </si>
  <si>
    <t>SALIDA LINEA GRAL. SAN MARTIN</t>
  </si>
  <si>
    <t>SALIDA REOLIN 3</t>
  </si>
  <si>
    <t>RESISTENCIA</t>
  </si>
  <si>
    <t>SALIDA LINEA CORRIENTES 1</t>
  </si>
  <si>
    <t>P. BANDERITA</t>
  </si>
  <si>
    <t>SALIDA LINEA A PLAYA BANDERITA</t>
  </si>
  <si>
    <t>SALIDA LINEA STA. CATALINA</t>
  </si>
  <si>
    <t>SANTO TOME</t>
  </si>
  <si>
    <t>SALIDA LINEA ESPERANZA</t>
  </si>
  <si>
    <t>EL BRACHO</t>
  </si>
  <si>
    <t>SALIDA LÍNEA A C.T. AVE FÉNIX</t>
  </si>
  <si>
    <t>RAMALLO</t>
  </si>
  <si>
    <t>SALIDA LINEA AES PARANA</t>
  </si>
  <si>
    <t>ROSARIO OESTE</t>
  </si>
  <si>
    <t>SALIDA LINEA CASILDA 1</t>
  </si>
  <si>
    <t>BAHIA BLANCA</t>
  </si>
  <si>
    <t>SALIDA A PIGUE</t>
  </si>
  <si>
    <t xml:space="preserve">BAHIA BLANCA </t>
  </si>
  <si>
    <t>SALIDA A COOP. P. ALTA</t>
  </si>
  <si>
    <t>SALIDA A PRINGLES</t>
  </si>
  <si>
    <t xml:space="preserve">CAMPANA </t>
  </si>
  <si>
    <t>SALIDA PRAXAIR</t>
  </si>
  <si>
    <t>0,000</t>
  </si>
  <si>
    <t xml:space="preserve">EZEIZA </t>
  </si>
  <si>
    <t>CS5</t>
  </si>
  <si>
    <t>PUELCHES</t>
  </si>
  <si>
    <t xml:space="preserve">ALMAFUERTE </t>
  </si>
  <si>
    <t>R2T1AM</t>
  </si>
  <si>
    <t>CS1</t>
  </si>
  <si>
    <t xml:space="preserve">HENDERSON </t>
  </si>
  <si>
    <t>R2B5HE</t>
  </si>
  <si>
    <t>CS2</t>
  </si>
  <si>
    <t>RIO CORONDA - SANTO TOME</t>
  </si>
  <si>
    <t>A</t>
  </si>
  <si>
    <t>EL BRACHO - COBOS</t>
  </si>
  <si>
    <t>M. BELGRANO</t>
  </si>
  <si>
    <t>SALIDA TRAFO TG1</t>
  </si>
  <si>
    <t>SALIDA TRAFO TG2</t>
  </si>
  <si>
    <t>SALIDA TRAFO TV1</t>
  </si>
  <si>
    <t>RECREO</t>
  </si>
  <si>
    <t>SALIDA A LA PAZ</t>
  </si>
  <si>
    <t>HENDERSON</t>
  </si>
  <si>
    <t>TRAFO 1 (RESERVA)</t>
  </si>
  <si>
    <t>500/220/33</t>
  </si>
  <si>
    <t>500/132/13,2</t>
  </si>
  <si>
    <t>GRAN FORMOSA</t>
  </si>
  <si>
    <t>SALIDA PIRANE  1</t>
  </si>
  <si>
    <t>SALIDA CLORINDA  1</t>
  </si>
  <si>
    <t>Transportista Independiene L.I.N.S.A.</t>
  </si>
  <si>
    <t xml:space="preserve">RESISTENCIA </t>
  </si>
  <si>
    <t>R6L5RS</t>
  </si>
  <si>
    <t>ROMANG</t>
  </si>
  <si>
    <t>R4L5RM</t>
  </si>
  <si>
    <t>R3L5PU</t>
  </si>
  <si>
    <t>R1L5RM</t>
  </si>
  <si>
    <t>R2L5RO</t>
  </si>
  <si>
    <t>1.2.- Transportista Independiente INTESAR S.A.</t>
  </si>
  <si>
    <t>2.1.2.- Transportista Independiente ENECOR S.A.</t>
  </si>
  <si>
    <t xml:space="preserve"> 2.2.3.- Transportista Independiente LINSA</t>
  </si>
  <si>
    <t>4.5.- Transportista Independiente YACYLEC S.A.</t>
  </si>
  <si>
    <t>4.1.- Transportista Independiente INTESAR S.A.</t>
  </si>
  <si>
    <t>Transportista Independiente LINSA</t>
  </si>
  <si>
    <t>Remuneración SALIDA 132 kV             =</t>
  </si>
  <si>
    <t>$/hora</t>
  </si>
  <si>
    <t>SALIDA</t>
  </si>
  <si>
    <t>TOTAL A PENALIZAR A TRANSENER S.A POR SUPERVISIÓN A L.I.T.S.A.</t>
  </si>
  <si>
    <r>
      <t>RM</t>
    </r>
    <r>
      <rPr>
        <sz val="12"/>
        <rFont val="Times New Roman"/>
        <family val="1"/>
      </rPr>
      <t xml:space="preserve"> por Conexión</t>
    </r>
  </si>
  <si>
    <t>Valores remuneratorios según  "Acuerdo Instrumental del Acta Acuerdo  UNIREN  -  TRANSENER S.A."   (Dec. PEN Nº 1462/05)  ,</t>
  </si>
  <si>
    <t>RM: Por Capacitores ET  B. Blanca:</t>
  </si>
  <si>
    <t>100 MVAr</t>
  </si>
  <si>
    <t>RM *  =</t>
  </si>
  <si>
    <t>RM *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</si>
  <si>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</si>
  <si>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Remuneración CONEXIÓN de 500 kV      =</t>
  </si>
  <si>
    <t>Coef.penalización por salida forzada   =</t>
  </si>
  <si>
    <t>Remuneración CONEXIÓN de 132 kV      =</t>
  </si>
  <si>
    <t>EL BRACHO - COBOS 1</t>
  </si>
  <si>
    <t>PENALIZACIÓN FORZADA
Por Salida     hs. Restantes</t>
  </si>
  <si>
    <t>Cobos - Bracho</t>
  </si>
  <si>
    <t>Cobos</t>
  </si>
  <si>
    <r>
      <t>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</si>
  <si>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</si>
  <si>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RM*  =</t>
  </si>
  <si>
    <t>Gran Formosa - T1GFO</t>
  </si>
  <si>
    <t xml:space="preserve"> Resistencia - Villa Angela</t>
  </si>
  <si>
    <t>Gran Formosa</t>
  </si>
  <si>
    <t>Pirane</t>
  </si>
  <si>
    <t>Clorinda 1 y 2</t>
  </si>
  <si>
    <t>Formosa 1 y 2</t>
  </si>
  <si>
    <t xml:space="preserve"> Gran Formosa - Resistencia</t>
  </si>
  <si>
    <r>
      <t>RM *</t>
    </r>
    <r>
      <rPr>
        <sz val="14"/>
        <rFont val="Times New Roman"/>
        <family val="1"/>
      </rPr>
      <t xml:space="preserve"> =   VALOR  EMPLEADO  PARA  CALCULAR    </t>
    </r>
    <r>
      <rPr>
        <b/>
        <sz val="14"/>
        <rFont val="Times New Roman"/>
        <family val="1"/>
      </rPr>
      <t>CS</t>
    </r>
  </si>
  <si>
    <t>4.2.- Transportista Independiente LINSA.</t>
  </si>
  <si>
    <t>SISTEMA DE TRANSPORTE DE ENERGÍA ELÉCTRICA EN ALTA TENSION</t>
  </si>
  <si>
    <t>INDISPONIBILIDADES FORZADAS DE LÍNEAS - TASA DE FALLA</t>
  </si>
  <si>
    <t>Correspondiente al mes de febrero de 2011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</si>
  <si>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</si>
  <si>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</si>
  <si>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</si>
  <si>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</si>
  <si>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</si>
  <si>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</si>
  <si>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</si>
  <si>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TOTAL DE PENALIZACIONES A APLICAR</t>
  </si>
  <si>
    <t>Nota ENRE N° 102539</t>
  </si>
  <si>
    <t>RM: Por Capacitores ET Paso de la Patria:</t>
  </si>
  <si>
    <t>75 MVAr</t>
  </si>
  <si>
    <t>(*)</t>
  </si>
  <si>
    <t>Según Resolución ENRE N° 735/07</t>
  </si>
  <si>
    <t>(*):</t>
  </si>
  <si>
    <t>Cobos T1CB</t>
  </si>
  <si>
    <t>500/345/34,5</t>
  </si>
  <si>
    <t>Resistencia</t>
  </si>
  <si>
    <t>Yacyretá</t>
  </si>
  <si>
    <t>Resistencia 1</t>
  </si>
  <si>
    <t>Resistencia 2</t>
  </si>
  <si>
    <t>Línea 5RIYA1</t>
  </si>
  <si>
    <t>Línea 5RIYA2</t>
  </si>
  <si>
    <t>Línea 5RIYA3</t>
  </si>
  <si>
    <t>Remuneración SALIDA 500 kV              =</t>
  </si>
  <si>
    <t>"Acuerdo Instrumental del Acta Acuerdo UNIREN - TRANSBA" (Dec PEN Nº 1460/05); Res. ENRE N° 328/08, N° 523/09 Nº 355/2010</t>
  </si>
  <si>
    <t>ANEXO III al Memorándum D.T.E.E. N°  1088 /2012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</si>
</sst>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1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b/>
      <sz val="12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9" fillId="20" borderId="0" applyNumberFormat="0" applyBorder="0" applyAlignment="0" applyProtection="0"/>
    <xf numFmtId="0" fontId="140" fillId="21" borderId="1" applyNumberFormat="0" applyAlignment="0" applyProtection="0"/>
    <xf numFmtId="0" fontId="141" fillId="22" borderId="2" applyNumberFormat="0" applyAlignment="0" applyProtection="0"/>
    <xf numFmtId="0" fontId="142" fillId="0" borderId="3" applyNumberFormat="0" applyFill="0" applyAlignment="0" applyProtection="0"/>
    <xf numFmtId="0" fontId="143" fillId="0" borderId="0" applyNumberFormat="0" applyFill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8" fillId="26" borderId="0" applyNumberFormat="0" applyBorder="0" applyAlignment="0" applyProtection="0"/>
    <xf numFmtId="0" fontId="138" fillId="27" borderId="0" applyNumberFormat="0" applyBorder="0" applyAlignment="0" applyProtection="0"/>
    <xf numFmtId="0" fontId="138" fillId="28" borderId="0" applyNumberFormat="0" applyBorder="0" applyAlignment="0" applyProtection="0"/>
    <xf numFmtId="0" fontId="144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47" fillId="21" borderId="5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6" applyNumberFormat="0" applyFill="0" applyAlignment="0" applyProtection="0"/>
    <xf numFmtId="0" fontId="152" fillId="0" borderId="7" applyNumberFormat="0" applyFill="0" applyAlignment="0" applyProtection="0"/>
    <xf numFmtId="0" fontId="143" fillId="0" borderId="8" applyNumberFormat="0" applyFill="0" applyAlignment="0" applyProtection="0"/>
    <xf numFmtId="0" fontId="153" fillId="0" borderId="9" applyNumberFormat="0" applyFill="0" applyAlignment="0" applyProtection="0"/>
  </cellStyleXfs>
  <cellXfs count="1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0" xfId="0" applyFont="1" applyAlignment="1">
      <alignment/>
    </xf>
    <xf numFmtId="0" fontId="24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7" fontId="25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>
      <alignment horizont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25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33" borderId="23" xfId="0" applyFont="1" applyFill="1" applyBorder="1" applyAlignment="1" applyProtection="1">
      <alignment horizontal="center" vertical="center"/>
      <protection/>
    </xf>
    <xf numFmtId="168" fontId="36" fillId="33" borderId="11" xfId="0" applyNumberFormat="1" applyFont="1" applyFill="1" applyBorder="1" applyAlignment="1" applyProtection="1">
      <alignment horizontal="center"/>
      <protection/>
    </xf>
    <xf numFmtId="168" fontId="36" fillId="33" borderId="12" xfId="0" applyNumberFormat="1" applyFont="1" applyFill="1" applyBorder="1" applyAlignment="1" applyProtection="1">
      <alignment horizontal="center"/>
      <protection/>
    </xf>
    <xf numFmtId="0" fontId="27" fillId="0" borderId="23" xfId="0" applyFont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/>
    </xf>
    <xf numFmtId="0" fontId="7" fillId="0" borderId="11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68" fontId="7" fillId="0" borderId="28" xfId="0" applyNumberFormat="1" applyFont="1" applyFill="1" applyBorder="1" applyAlignment="1" applyProtection="1">
      <alignment horizontal="center"/>
      <protection locked="0"/>
    </xf>
    <xf numFmtId="168" fontId="44" fillId="34" borderId="12" xfId="0" applyNumberFormat="1" applyFont="1" applyFill="1" applyBorder="1" applyAlignment="1" applyProtection="1" quotePrefix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164" fontId="27" fillId="0" borderId="18" xfId="0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63" fillId="37" borderId="17" xfId="0" applyFont="1" applyFill="1" applyBorder="1" applyAlignment="1" applyProtection="1">
      <alignment horizontal="centerContinuous" vertical="center" wrapText="1"/>
      <protection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22" fontId="7" fillId="0" borderId="29" xfId="0" applyNumberFormat="1" applyFont="1" applyBorder="1" applyAlignment="1" applyProtection="1">
      <alignment horizontal="center"/>
      <protection locked="0"/>
    </xf>
    <xf numFmtId="4" fontId="7" fillId="38" borderId="11" xfId="0" applyNumberFormat="1" applyFont="1" applyFill="1" applyBorder="1" applyAlignment="1" applyProtection="1" quotePrefix="1">
      <alignment horizontal="center"/>
      <protection/>
    </xf>
    <xf numFmtId="164" fontId="7" fillId="38" borderId="11" xfId="0" applyNumberFormat="1" applyFont="1" applyFill="1" applyBorder="1" applyAlignment="1" applyProtection="1" quotePrefix="1">
      <alignment horizontal="center"/>
      <protection/>
    </xf>
    <xf numFmtId="168" fontId="65" fillId="37" borderId="30" xfId="0" applyNumberFormat="1" applyFont="1" applyFill="1" applyBorder="1" applyAlignment="1" applyProtection="1" quotePrefix="1">
      <alignment horizontal="center"/>
      <protection/>
    </xf>
    <xf numFmtId="173" fontId="7" fillId="0" borderId="12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7" fillId="0" borderId="23" xfId="55" applyFont="1" applyBorder="1" applyAlignment="1">
      <alignment horizontal="center" vertical="center"/>
      <protection/>
    </xf>
    <xf numFmtId="168" fontId="27" fillId="0" borderId="23" xfId="0" applyNumberFormat="1" applyFont="1" applyBorder="1" applyAlignment="1" applyProtection="1">
      <alignment horizontal="center" vertical="center"/>
      <protection/>
    </xf>
    <xf numFmtId="168" fontId="35" fillId="33" borderId="23" xfId="0" applyNumberFormat="1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Continuous" vertical="center" wrapText="1"/>
      <protection/>
    </xf>
    <xf numFmtId="0" fontId="39" fillId="33" borderId="24" xfId="0" applyFont="1" applyFill="1" applyBorder="1" applyAlignment="1">
      <alignment horizontal="centerContinuous"/>
    </xf>
    <xf numFmtId="0" fontId="38" fillId="33" borderId="18" xfId="0" applyFont="1" applyFill="1" applyBorder="1" applyAlignment="1">
      <alignment horizontal="centerContinuous" vertical="center"/>
    </xf>
    <xf numFmtId="0" fontId="67" fillId="39" borderId="23" xfId="0" applyFont="1" applyFill="1" applyBorder="1" applyAlignment="1">
      <alignment horizontal="center" vertical="center" wrapText="1"/>
    </xf>
    <xf numFmtId="0" fontId="68" fillId="4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22" fontId="7" fillId="0" borderId="13" xfId="0" applyNumberFormat="1" applyFont="1" applyBorder="1" applyAlignment="1">
      <alignment horizontal="center"/>
    </xf>
    <xf numFmtId="168" fontId="37" fillId="33" borderId="30" xfId="0" applyNumberFormat="1" applyFont="1" applyFill="1" applyBorder="1" applyAlignment="1" applyProtection="1" quotePrefix="1">
      <alignment horizontal="center"/>
      <protection/>
    </xf>
    <xf numFmtId="168" fontId="37" fillId="33" borderId="31" xfId="0" applyNumberFormat="1" applyFont="1" applyFill="1" applyBorder="1" applyAlignment="1" applyProtection="1" quotePrefix="1">
      <alignment horizontal="center"/>
      <protection/>
    </xf>
    <xf numFmtId="4" fontId="37" fillId="33" borderId="13" xfId="0" applyNumberFormat="1" applyFont="1" applyFill="1" applyBorder="1" applyAlignment="1" applyProtection="1">
      <alignment horizontal="center"/>
      <protection/>
    </xf>
    <xf numFmtId="4" fontId="69" fillId="39" borderId="11" xfId="0" applyNumberFormat="1" applyFont="1" applyFill="1" applyBorder="1" applyAlignment="1" applyProtection="1">
      <alignment horizontal="center"/>
      <protection/>
    </xf>
    <xf numFmtId="4" fontId="70" fillId="40" borderId="1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0" fontId="36" fillId="33" borderId="11" xfId="0" applyFont="1" applyFill="1" applyBorder="1" applyAlignment="1" applyProtection="1">
      <alignment horizontal="center"/>
      <protection/>
    </xf>
    <xf numFmtId="22" fontId="7" fillId="0" borderId="3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/>
    </xf>
    <xf numFmtId="168" fontId="37" fillId="33" borderId="30" xfId="0" applyNumberFormat="1" applyFont="1" applyFill="1" applyBorder="1" applyAlignment="1" applyProtection="1" quotePrefix="1">
      <alignment horizontal="center"/>
      <protection locked="0"/>
    </xf>
    <xf numFmtId="168" fontId="37" fillId="33" borderId="31" xfId="0" applyNumberFormat="1" applyFont="1" applyFill="1" applyBorder="1" applyAlignment="1" applyProtection="1" quotePrefix="1">
      <alignment horizontal="center"/>
      <protection locked="0"/>
    </xf>
    <xf numFmtId="4" fontId="37" fillId="33" borderId="13" xfId="0" applyNumberFormat="1" applyFont="1" applyFill="1" applyBorder="1" applyAlignment="1" applyProtection="1">
      <alignment horizontal="center"/>
      <protection locked="0"/>
    </xf>
    <xf numFmtId="4" fontId="71" fillId="39" borderId="11" xfId="0" applyNumberFormat="1" applyFont="1" applyFill="1" applyBorder="1" applyAlignment="1" applyProtection="1">
      <alignment horizontal="center"/>
      <protection locked="0"/>
    </xf>
    <xf numFmtId="4" fontId="72" fillId="40" borderId="11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65" fontId="7" fillId="0" borderId="12" xfId="0" applyNumberFormat="1" applyFont="1" applyBorder="1" applyAlignment="1" applyProtection="1">
      <alignment horizontal="center"/>
      <protection locked="0"/>
    </xf>
    <xf numFmtId="168" fontId="37" fillId="33" borderId="33" xfId="0" applyNumberFormat="1" applyFont="1" applyFill="1" applyBorder="1" applyAlignment="1" applyProtection="1" quotePrefix="1">
      <alignment horizontal="center"/>
      <protection locked="0"/>
    </xf>
    <xf numFmtId="168" fontId="37" fillId="33" borderId="34" xfId="0" applyNumberFormat="1" applyFont="1" applyFill="1" applyBorder="1" applyAlignment="1" applyProtection="1" quotePrefix="1">
      <alignment horizontal="center"/>
      <protection locked="0"/>
    </xf>
    <xf numFmtId="4" fontId="37" fillId="33" borderId="35" xfId="0" applyNumberFormat="1" applyFont="1" applyFill="1" applyBorder="1" applyAlignment="1" applyProtection="1">
      <alignment horizontal="center"/>
      <protection locked="0"/>
    </xf>
    <xf numFmtId="4" fontId="71" fillId="39" borderId="12" xfId="0" applyNumberFormat="1" applyFont="1" applyFill="1" applyBorder="1" applyAlignment="1" applyProtection="1">
      <alignment horizontal="center"/>
      <protection locked="0"/>
    </xf>
    <xf numFmtId="4" fontId="72" fillId="40" borderId="12" xfId="0" applyNumberFormat="1" applyFont="1" applyFill="1" applyBorder="1" applyAlignment="1" applyProtection="1">
      <alignment horizontal="center"/>
      <protection locked="0"/>
    </xf>
    <xf numFmtId="2" fontId="10" fillId="0" borderId="36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1" fillId="39" borderId="23" xfId="0" applyNumberFormat="1" applyFont="1" applyFill="1" applyBorder="1" applyAlignment="1" applyProtection="1">
      <alignment horizontal="center"/>
      <protection/>
    </xf>
    <xf numFmtId="2" fontId="72" fillId="40" borderId="23" xfId="0" applyNumberFormat="1" applyFont="1" applyFill="1" applyBorder="1" applyAlignment="1" applyProtection="1">
      <alignment horizontal="center"/>
      <protection/>
    </xf>
    <xf numFmtId="2" fontId="61" fillId="0" borderId="37" xfId="0" applyNumberFormat="1" applyFont="1" applyBorder="1" applyAlignment="1" applyProtection="1">
      <alignment horizontal="center"/>
      <protection/>
    </xf>
    <xf numFmtId="7" fontId="13" fillId="0" borderId="23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3" fillId="0" borderId="10" xfId="0" applyFont="1" applyFill="1" applyBorder="1" applyAlignment="1">
      <alignment horizontal="centerContinuous"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>
      <alignment horizontal="center"/>
    </xf>
    <xf numFmtId="0" fontId="42" fillId="36" borderId="23" xfId="0" applyFont="1" applyFill="1" applyBorder="1" applyAlignment="1" applyProtection="1">
      <alignment horizontal="center" vertical="center"/>
      <protection/>
    </xf>
    <xf numFmtId="0" fontId="74" fillId="39" borderId="23" xfId="0" applyFont="1" applyFill="1" applyBorder="1" applyAlignment="1">
      <alignment horizontal="center" vertical="center" wrapText="1"/>
    </xf>
    <xf numFmtId="0" fontId="75" fillId="37" borderId="23" xfId="0" applyFont="1" applyFill="1" applyBorder="1" applyAlignment="1">
      <alignment horizontal="center" vertical="center" wrapText="1"/>
    </xf>
    <xf numFmtId="0" fontId="40" fillId="41" borderId="17" xfId="0" applyFont="1" applyFill="1" applyBorder="1" applyAlignment="1" applyProtection="1">
      <alignment horizontal="centerContinuous" vertical="center" wrapText="1"/>
      <protection/>
    </xf>
    <xf numFmtId="0" fontId="40" fillId="41" borderId="18" xfId="0" applyFont="1" applyFill="1" applyBorder="1" applyAlignment="1">
      <alignment horizontal="centerContinuous" vertical="center"/>
    </xf>
    <xf numFmtId="0" fontId="46" fillId="42" borderId="23" xfId="0" applyFont="1" applyFill="1" applyBorder="1" applyAlignment="1">
      <alignment horizontal="center" vertical="center" wrapText="1"/>
    </xf>
    <xf numFmtId="0" fontId="41" fillId="39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164" fontId="7" fillId="0" borderId="38" xfId="0" applyNumberFormat="1" applyFont="1" applyFill="1" applyBorder="1" applyAlignment="1" applyProtection="1">
      <alignment horizontal="center"/>
      <protection/>
    </xf>
    <xf numFmtId="0" fontId="36" fillId="33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45" fillId="36" borderId="38" xfId="0" applyFont="1" applyFill="1" applyBorder="1" applyAlignment="1">
      <alignment horizontal="center"/>
    </xf>
    <xf numFmtId="0" fontId="76" fillId="39" borderId="38" xfId="0" applyFont="1" applyFill="1" applyBorder="1" applyAlignment="1">
      <alignment horizontal="center"/>
    </xf>
    <xf numFmtId="0" fontId="77" fillId="37" borderId="38" xfId="0" applyFont="1" applyFill="1" applyBorder="1" applyAlignment="1">
      <alignment horizontal="center"/>
    </xf>
    <xf numFmtId="0" fontId="37" fillId="33" borderId="40" xfId="0" applyFont="1" applyFill="1" applyBorder="1" applyAlignment="1">
      <alignment horizontal="center"/>
    </xf>
    <xf numFmtId="0" fontId="37" fillId="33" borderId="41" xfId="0" applyFont="1" applyFill="1" applyBorder="1" applyAlignment="1">
      <alignment horizontal="center"/>
    </xf>
    <xf numFmtId="0" fontId="78" fillId="41" borderId="42" xfId="0" applyFont="1" applyFill="1" applyBorder="1" applyAlignment="1">
      <alignment horizontal="center"/>
    </xf>
    <xf numFmtId="0" fontId="78" fillId="41" borderId="43" xfId="0" applyFont="1" applyFill="1" applyBorder="1" applyAlignment="1">
      <alignment horizontal="center"/>
    </xf>
    <xf numFmtId="0" fontId="47" fillId="42" borderId="38" xfId="0" applyFont="1" applyFill="1" applyBorder="1" applyAlignment="1">
      <alignment horizontal="center"/>
    </xf>
    <xf numFmtId="0" fontId="79" fillId="39" borderId="38" xfId="0" applyFont="1" applyFill="1" applyBorder="1" applyAlignment="1">
      <alignment horizontal="center"/>
    </xf>
    <xf numFmtId="7" fontId="10" fillId="0" borderId="39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164" fontId="7" fillId="0" borderId="27" xfId="0" applyNumberFormat="1" applyFont="1" applyFill="1" applyBorder="1" applyAlignment="1" applyProtection="1">
      <alignment horizontal="center"/>
      <protection/>
    </xf>
    <xf numFmtId="0" fontId="36" fillId="33" borderId="2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/>
    </xf>
    <xf numFmtId="0" fontId="76" fillId="39" borderId="27" xfId="0" applyFont="1" applyFill="1" applyBorder="1" applyAlignment="1">
      <alignment horizontal="center"/>
    </xf>
    <xf numFmtId="0" fontId="77" fillId="37" borderId="27" xfId="0" applyFont="1" applyFill="1" applyBorder="1" applyAlignment="1">
      <alignment horizontal="center"/>
    </xf>
    <xf numFmtId="0" fontId="37" fillId="33" borderId="45" xfId="0" applyFont="1" applyFill="1" applyBorder="1" applyAlignment="1">
      <alignment horizontal="center"/>
    </xf>
    <xf numFmtId="0" fontId="37" fillId="33" borderId="46" xfId="0" applyFont="1" applyFill="1" applyBorder="1" applyAlignment="1">
      <alignment horizontal="center"/>
    </xf>
    <xf numFmtId="0" fontId="78" fillId="41" borderId="45" xfId="0" applyFont="1" applyFill="1" applyBorder="1" applyAlignment="1">
      <alignment horizontal="center"/>
    </xf>
    <xf numFmtId="0" fontId="78" fillId="41" borderId="46" xfId="0" applyFont="1" applyFill="1" applyBorder="1" applyAlignment="1">
      <alignment horizontal="center"/>
    </xf>
    <xf numFmtId="0" fontId="47" fillId="42" borderId="27" xfId="0" applyFont="1" applyFill="1" applyBorder="1" applyAlignment="1">
      <alignment horizontal="center"/>
    </xf>
    <xf numFmtId="0" fontId="79" fillId="39" borderId="2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0" borderId="32" xfId="0" applyFont="1" applyBorder="1" applyAlignment="1" applyProtection="1">
      <alignment horizontal="center"/>
      <protection locked="0"/>
    </xf>
    <xf numFmtId="164" fontId="7" fillId="0" borderId="27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 quotePrefix="1">
      <alignment horizontal="center"/>
      <protection locked="0"/>
    </xf>
    <xf numFmtId="174" fontId="36" fillId="33" borderId="11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164" fontId="45" fillId="36" borderId="11" xfId="0" applyNumberFormat="1" applyFont="1" applyFill="1" applyBorder="1" applyAlignment="1" applyProtection="1">
      <alignment horizontal="center"/>
      <protection/>
    </xf>
    <xf numFmtId="2" fontId="76" fillId="39" borderId="11" xfId="0" applyNumberFormat="1" applyFont="1" applyFill="1" applyBorder="1" applyAlignment="1">
      <alignment horizontal="center"/>
    </xf>
    <xf numFmtId="2" fontId="77" fillId="37" borderId="11" xfId="0" applyNumberFormat="1" applyFont="1" applyFill="1" applyBorder="1" applyAlignment="1">
      <alignment horizontal="center"/>
    </xf>
    <xf numFmtId="168" fontId="37" fillId="33" borderId="45" xfId="0" applyNumberFormat="1" applyFont="1" applyFill="1" applyBorder="1" applyAlignment="1" applyProtection="1" quotePrefix="1">
      <alignment horizontal="center"/>
      <protection/>
    </xf>
    <xf numFmtId="168" fontId="37" fillId="33" borderId="46" xfId="0" applyNumberFormat="1" applyFont="1" applyFill="1" applyBorder="1" applyAlignment="1" applyProtection="1" quotePrefix="1">
      <alignment horizontal="center"/>
      <protection/>
    </xf>
    <xf numFmtId="168" fontId="78" fillId="41" borderId="45" xfId="0" applyNumberFormat="1" applyFont="1" applyFill="1" applyBorder="1" applyAlignment="1" applyProtection="1" quotePrefix="1">
      <alignment horizontal="center"/>
      <protection/>
    </xf>
    <xf numFmtId="168" fontId="78" fillId="41" borderId="46" xfId="0" applyNumberFormat="1" applyFont="1" applyFill="1" applyBorder="1" applyAlignment="1" applyProtection="1" quotePrefix="1">
      <alignment horizontal="center"/>
      <protection/>
    </xf>
    <xf numFmtId="168" fontId="47" fillId="42" borderId="11" xfId="0" applyNumberFormat="1" applyFont="1" applyFill="1" applyBorder="1" applyAlignment="1" applyProtection="1" quotePrefix="1">
      <alignment horizontal="center"/>
      <protection/>
    </xf>
    <xf numFmtId="168" fontId="79" fillId="39" borderId="27" xfId="0" applyNumberFormat="1" applyFont="1" applyFill="1" applyBorder="1" applyAlignment="1" applyProtection="1" quotePrefix="1">
      <alignment horizontal="center"/>
      <protection/>
    </xf>
    <xf numFmtId="168" fontId="7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right"/>
    </xf>
    <xf numFmtId="0" fontId="7" fillId="0" borderId="44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 quotePrefix="1">
      <alignment horizontal="center"/>
      <protection locked="0"/>
    </xf>
    <xf numFmtId="164" fontId="9" fillId="0" borderId="47" xfId="0" applyNumberFormat="1" applyFont="1" applyFill="1" applyBorder="1" applyAlignment="1" applyProtection="1">
      <alignment horizontal="center"/>
      <protection locked="0"/>
    </xf>
    <xf numFmtId="38" fontId="7" fillId="0" borderId="12" xfId="0" applyNumberFormat="1" applyFont="1" applyFill="1" applyBorder="1" applyAlignment="1" applyProtection="1">
      <alignment horizontal="center"/>
      <protection locked="0"/>
    </xf>
    <xf numFmtId="38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4" fontId="45" fillId="36" borderId="12" xfId="0" applyNumberFormat="1" applyFont="1" applyFill="1" applyBorder="1" applyAlignment="1" applyProtection="1">
      <alignment horizontal="center"/>
      <protection/>
    </xf>
    <xf numFmtId="2" fontId="76" fillId="39" borderId="12" xfId="0" applyNumberFormat="1" applyFont="1" applyFill="1" applyBorder="1" applyAlignment="1">
      <alignment horizontal="center"/>
    </xf>
    <xf numFmtId="2" fontId="77" fillId="37" borderId="12" xfId="0" applyNumberFormat="1" applyFont="1" applyFill="1" applyBorder="1" applyAlignment="1">
      <alignment horizontal="center"/>
    </xf>
    <xf numFmtId="168" fontId="37" fillId="33" borderId="48" xfId="0" applyNumberFormat="1" applyFont="1" applyFill="1" applyBorder="1" applyAlignment="1" applyProtection="1" quotePrefix="1">
      <alignment horizontal="center"/>
      <protection/>
    </xf>
    <xf numFmtId="168" fontId="37" fillId="33" borderId="49" xfId="0" applyNumberFormat="1" applyFont="1" applyFill="1" applyBorder="1" applyAlignment="1" applyProtection="1" quotePrefix="1">
      <alignment horizontal="center"/>
      <protection/>
    </xf>
    <xf numFmtId="168" fontId="78" fillId="41" borderId="33" xfId="0" applyNumberFormat="1" applyFont="1" applyFill="1" applyBorder="1" applyAlignment="1" applyProtection="1" quotePrefix="1">
      <alignment horizontal="center"/>
      <protection/>
    </xf>
    <xf numFmtId="168" fontId="78" fillId="41" borderId="35" xfId="0" applyNumberFormat="1" applyFont="1" applyFill="1" applyBorder="1" applyAlignment="1" applyProtection="1" quotePrefix="1">
      <alignment horizontal="center"/>
      <protection/>
    </xf>
    <xf numFmtId="168" fontId="47" fillId="42" borderId="12" xfId="0" applyNumberFormat="1" applyFont="1" applyFill="1" applyBorder="1" applyAlignment="1" applyProtection="1" quotePrefix="1">
      <alignment horizontal="center"/>
      <protection/>
    </xf>
    <xf numFmtId="168" fontId="79" fillId="39" borderId="12" xfId="0" applyNumberFormat="1" applyFont="1" applyFill="1" applyBorder="1" applyAlignment="1" applyProtection="1" quotePrefix="1">
      <alignment horizontal="center"/>
      <protection/>
    </xf>
    <xf numFmtId="168" fontId="66" fillId="0" borderId="28" xfId="0" applyNumberFormat="1" applyFont="1" applyFill="1" applyBorder="1" applyAlignment="1">
      <alignment horizontal="center"/>
    </xf>
    <xf numFmtId="168" fontId="28" fillId="0" borderId="50" xfId="0" applyNumberFormat="1" applyFont="1" applyFill="1" applyBorder="1" applyAlignment="1">
      <alignment horizontal="center"/>
    </xf>
    <xf numFmtId="4" fontId="76" fillId="39" borderId="23" xfId="0" applyNumberFormat="1" applyFont="1" applyFill="1" applyBorder="1" applyAlignment="1">
      <alignment horizontal="center"/>
    </xf>
    <xf numFmtId="4" fontId="77" fillId="37" borderId="23" xfId="0" applyNumberFormat="1" applyFont="1" applyFill="1" applyBorder="1" applyAlignment="1">
      <alignment horizontal="center"/>
    </xf>
    <xf numFmtId="4" fontId="37" fillId="33" borderId="51" xfId="0" applyNumberFormat="1" applyFont="1" applyFill="1" applyBorder="1" applyAlignment="1">
      <alignment horizontal="center"/>
    </xf>
    <xf numFmtId="4" fontId="37" fillId="33" borderId="18" xfId="0" applyNumberFormat="1" applyFont="1" applyFill="1" applyBorder="1" applyAlignment="1">
      <alignment horizontal="center"/>
    </xf>
    <xf numFmtId="4" fontId="78" fillId="41" borderId="51" xfId="0" applyNumberFormat="1" applyFont="1" applyFill="1" applyBorder="1" applyAlignment="1">
      <alignment horizontal="center"/>
    </xf>
    <xf numFmtId="4" fontId="78" fillId="41" borderId="52" xfId="0" applyNumberFormat="1" applyFont="1" applyFill="1" applyBorder="1" applyAlignment="1">
      <alignment horizontal="center"/>
    </xf>
    <xf numFmtId="4" fontId="47" fillId="42" borderId="23" xfId="0" applyNumberFormat="1" applyFont="1" applyFill="1" applyBorder="1" applyAlignment="1">
      <alignment horizontal="center"/>
    </xf>
    <xf numFmtId="4" fontId="79" fillId="39" borderId="23" xfId="0" applyNumberFormat="1" applyFont="1" applyFill="1" applyBorder="1" applyAlignment="1">
      <alignment horizontal="center"/>
    </xf>
    <xf numFmtId="7" fontId="80" fillId="0" borderId="23" xfId="0" applyNumberFormat="1" applyFont="1" applyFill="1" applyBorder="1" applyAlignment="1">
      <alignment horizontal="right"/>
    </xf>
    <xf numFmtId="0" fontId="36" fillId="33" borderId="53" xfId="0" applyFont="1" applyFill="1" applyBorder="1" applyAlignment="1">
      <alignment horizontal="center"/>
    </xf>
    <xf numFmtId="2" fontId="76" fillId="39" borderId="12" xfId="0" applyNumberFormat="1" applyFont="1" applyFill="1" applyBorder="1" applyAlignment="1" applyProtection="1">
      <alignment horizontal="center"/>
      <protection locked="0"/>
    </xf>
    <xf numFmtId="2" fontId="77" fillId="37" borderId="12" xfId="0" applyNumberFormat="1" applyFont="1" applyFill="1" applyBorder="1" applyAlignment="1" applyProtection="1">
      <alignment horizontal="center"/>
      <protection locked="0"/>
    </xf>
    <xf numFmtId="168" fontId="37" fillId="33" borderId="48" xfId="0" applyNumberFormat="1" applyFont="1" applyFill="1" applyBorder="1" applyAlignment="1" applyProtection="1" quotePrefix="1">
      <alignment horizontal="center"/>
      <protection locked="0"/>
    </xf>
    <xf numFmtId="168" fontId="37" fillId="33" borderId="49" xfId="0" applyNumberFormat="1" applyFont="1" applyFill="1" applyBorder="1" applyAlignment="1" applyProtection="1" quotePrefix="1">
      <alignment horizontal="center"/>
      <protection locked="0"/>
    </xf>
    <xf numFmtId="168" fontId="78" fillId="41" borderId="33" xfId="0" applyNumberFormat="1" applyFont="1" applyFill="1" applyBorder="1" applyAlignment="1" applyProtection="1" quotePrefix="1">
      <alignment horizontal="center"/>
      <protection locked="0"/>
    </xf>
    <xf numFmtId="168" fontId="78" fillId="41" borderId="35" xfId="0" applyNumberFormat="1" applyFont="1" applyFill="1" applyBorder="1" applyAlignment="1" applyProtection="1" quotePrefix="1">
      <alignment horizontal="center"/>
      <protection locked="0"/>
    </xf>
    <xf numFmtId="168" fontId="47" fillId="42" borderId="12" xfId="0" applyNumberFormat="1" applyFont="1" applyFill="1" applyBorder="1" applyAlignment="1" applyProtection="1" quotePrefix="1">
      <alignment horizontal="center"/>
      <protection locked="0"/>
    </xf>
    <xf numFmtId="168" fontId="79" fillId="39" borderId="12" xfId="0" applyNumberFormat="1" applyFont="1" applyFill="1" applyBorder="1" applyAlignment="1" applyProtection="1" quotePrefix="1">
      <alignment horizontal="center"/>
      <protection locked="0"/>
    </xf>
    <xf numFmtId="168" fontId="66" fillId="0" borderId="28" xfId="0" applyNumberFormat="1" applyFont="1" applyFill="1" applyBorder="1" applyAlignment="1" applyProtection="1">
      <alignment horizontal="center"/>
      <protection locked="0"/>
    </xf>
    <xf numFmtId="164" fontId="45" fillId="36" borderId="12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0" xfId="0" applyFont="1" applyBorder="1" applyAlignment="1">
      <alignment horizontal="centerContinuous"/>
    </xf>
    <xf numFmtId="0" fontId="26" fillId="0" borderId="16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7" xfId="0" applyFont="1" applyBorder="1" applyAlignment="1" applyProtection="1">
      <alignment horizontal="left" vertical="center"/>
      <protection/>
    </xf>
    <xf numFmtId="174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4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  <protection/>
    </xf>
    <xf numFmtId="0" fontId="40" fillId="41" borderId="23" xfId="0" applyFont="1" applyFill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Continuous" vertical="center"/>
    </xf>
    <xf numFmtId="0" fontId="12" fillId="0" borderId="11" xfId="0" applyFont="1" applyBorder="1" applyAlignment="1" applyProtection="1">
      <alignment horizontal="center"/>
      <protection/>
    </xf>
    <xf numFmtId="0" fontId="45" fillId="35" borderId="26" xfId="0" applyFont="1" applyFill="1" applyBorder="1" applyAlignment="1" applyProtection="1">
      <alignment horizontal="center"/>
      <protection/>
    </xf>
    <xf numFmtId="0" fontId="78" fillId="41" borderId="26" xfId="0" applyFont="1" applyFill="1" applyBorder="1" applyAlignment="1" applyProtection="1">
      <alignment horizontal="center"/>
      <protection/>
    </xf>
    <xf numFmtId="168" fontId="65" fillId="37" borderId="40" xfId="0" applyNumberFormat="1" applyFont="1" applyFill="1" applyBorder="1" applyAlignment="1" applyProtection="1" quotePrefix="1">
      <alignment horizontal="center"/>
      <protection/>
    </xf>
    <xf numFmtId="168" fontId="65" fillId="37" borderId="41" xfId="0" applyNumberFormat="1" applyFont="1" applyFill="1" applyBorder="1" applyAlignment="1" applyProtection="1" quotePrefix="1">
      <alignment horizontal="center"/>
      <protection/>
    </xf>
    <xf numFmtId="168" fontId="44" fillId="34" borderId="26" xfId="0" applyNumberFormat="1" applyFont="1" applyFill="1" applyBorder="1" applyAlignment="1" applyProtection="1" quotePrefix="1">
      <alignment horizontal="center"/>
      <protection/>
    </xf>
    <xf numFmtId="7" fontId="81" fillId="0" borderId="11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36" fillId="33" borderId="29" xfId="0" applyFont="1" applyFill="1" applyBorder="1" applyAlignment="1" applyProtection="1">
      <alignment horizontal="center"/>
      <protection/>
    </xf>
    <xf numFmtId="0" fontId="45" fillId="35" borderId="11" xfId="0" applyFont="1" applyFill="1" applyBorder="1" applyAlignment="1" applyProtection="1">
      <alignment horizontal="center"/>
      <protection/>
    </xf>
    <xf numFmtId="0" fontId="78" fillId="41" borderId="11" xfId="0" applyFont="1" applyFill="1" applyBorder="1" applyAlignment="1" applyProtection="1">
      <alignment horizontal="center"/>
      <protection/>
    </xf>
    <xf numFmtId="168" fontId="65" fillId="37" borderId="54" xfId="0" applyNumberFormat="1" applyFont="1" applyFill="1" applyBorder="1" applyAlignment="1" applyProtection="1" quotePrefix="1">
      <alignment horizontal="center"/>
      <protection/>
    </xf>
    <xf numFmtId="168" fontId="44" fillId="34" borderId="11" xfId="0" applyNumberFormat="1" applyFont="1" applyFill="1" applyBorder="1" applyAlignment="1" applyProtection="1" quotePrefix="1">
      <alignment horizontal="center"/>
      <protection/>
    </xf>
    <xf numFmtId="168" fontId="29" fillId="0" borderId="11" xfId="0" applyNumberFormat="1" applyFont="1" applyFill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 quotePrefix="1">
      <alignment horizontal="center"/>
      <protection locked="0"/>
    </xf>
    <xf numFmtId="22" fontId="7" fillId="0" borderId="3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 quotePrefix="1">
      <alignment horizontal="center"/>
      <protection/>
    </xf>
    <xf numFmtId="164" fontId="7" fillId="0" borderId="11" xfId="0" applyNumberFormat="1" applyFont="1" applyFill="1" applyBorder="1" applyAlignment="1" applyProtection="1" quotePrefix="1">
      <alignment horizontal="center"/>
      <protection/>
    </xf>
    <xf numFmtId="4" fontId="29" fillId="0" borderId="11" xfId="0" applyNumberFormat="1" applyFont="1" applyFill="1" applyBorder="1" applyAlignment="1">
      <alignment horizontal="right"/>
    </xf>
    <xf numFmtId="168" fontId="7" fillId="0" borderId="28" xfId="0" applyNumberFormat="1" applyFont="1" applyBorder="1" applyAlignment="1" applyProtection="1">
      <alignment horizontal="center"/>
      <protection locked="0"/>
    </xf>
    <xf numFmtId="168" fontId="7" fillId="0" borderId="28" xfId="0" applyNumberFormat="1" applyFont="1" applyBorder="1" applyAlignment="1" applyProtection="1">
      <alignment horizontal="center"/>
      <protection/>
    </xf>
    <xf numFmtId="164" fontId="45" fillId="35" borderId="12" xfId="0" applyNumberFormat="1" applyFont="1" applyFill="1" applyBorder="1" applyAlignment="1" applyProtection="1">
      <alignment horizontal="center"/>
      <protection locked="0"/>
    </xf>
    <xf numFmtId="2" fontId="78" fillId="41" borderId="12" xfId="0" applyNumberFormat="1" applyFont="1" applyFill="1" applyBorder="1" applyAlignment="1" applyProtection="1">
      <alignment horizontal="center"/>
      <protection locked="0"/>
    </xf>
    <xf numFmtId="168" fontId="65" fillId="37" borderId="33" xfId="0" applyNumberFormat="1" applyFont="1" applyFill="1" applyBorder="1" applyAlignment="1" applyProtection="1" quotePrefix="1">
      <alignment horizontal="center"/>
      <protection locked="0"/>
    </xf>
    <xf numFmtId="168" fontId="65" fillId="37" borderId="35" xfId="0" applyNumberFormat="1" applyFont="1" applyFill="1" applyBorder="1" applyAlignment="1" applyProtection="1" quotePrefix="1">
      <alignment horizontal="center"/>
      <protection locked="0"/>
    </xf>
    <xf numFmtId="7" fontId="28" fillId="0" borderId="36" xfId="0" applyNumberFormat="1" applyFont="1" applyFill="1" applyBorder="1" applyAlignment="1">
      <alignment horizontal="right"/>
    </xf>
    <xf numFmtId="4" fontId="78" fillId="41" borderId="23" xfId="0" applyNumberFormat="1" applyFont="1" applyFill="1" applyBorder="1" applyAlignment="1">
      <alignment horizontal="center"/>
    </xf>
    <xf numFmtId="4" fontId="65" fillId="37" borderId="51" xfId="0" applyNumberFormat="1" applyFont="1" applyFill="1" applyBorder="1" applyAlignment="1">
      <alignment horizontal="center"/>
    </xf>
    <xf numFmtId="4" fontId="65" fillId="37" borderId="52" xfId="0" applyNumberFormat="1" applyFont="1" applyFill="1" applyBorder="1" applyAlignment="1">
      <alignment horizontal="center"/>
    </xf>
    <xf numFmtId="4" fontId="44" fillId="34" borderId="23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0" xfId="0" applyFont="1" applyBorder="1" applyAlignment="1">
      <alignment horizontal="centerContinuous"/>
    </xf>
    <xf numFmtId="0" fontId="0" fillId="0" borderId="2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23" xfId="0" applyFont="1" applyBorder="1" applyAlignment="1" applyProtection="1" quotePrefix="1">
      <alignment horizontal="center" vertical="center" wrapText="1"/>
      <protection/>
    </xf>
    <xf numFmtId="0" fontId="48" fillId="39" borderId="23" xfId="0" applyFont="1" applyFill="1" applyBorder="1" applyAlignment="1">
      <alignment horizontal="center" vertical="center" wrapText="1"/>
    </xf>
    <xf numFmtId="0" fontId="46" fillId="43" borderId="17" xfId="0" applyFont="1" applyFill="1" applyBorder="1" applyAlignment="1" applyProtection="1">
      <alignment horizontal="centerContinuous" vertical="center" wrapText="1"/>
      <protection/>
    </xf>
    <xf numFmtId="0" fontId="46" fillId="43" borderId="18" xfId="0" applyFont="1" applyFill="1" applyBorder="1" applyAlignment="1">
      <alignment horizontal="centerContinuous" vertical="center"/>
    </xf>
    <xf numFmtId="0" fontId="49" fillId="37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82" fillId="39" borderId="38" xfId="0" applyFont="1" applyFill="1" applyBorder="1" applyAlignment="1">
      <alignment horizontal="center"/>
    </xf>
    <xf numFmtId="0" fontId="47" fillId="43" borderId="40" xfId="0" applyFont="1" applyFill="1" applyBorder="1" applyAlignment="1">
      <alignment horizontal="center"/>
    </xf>
    <xf numFmtId="0" fontId="47" fillId="43" borderId="41" xfId="0" applyFont="1" applyFill="1" applyBorder="1" applyAlignment="1">
      <alignment horizontal="center"/>
    </xf>
    <xf numFmtId="0" fontId="50" fillId="37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7" fontId="29" fillId="0" borderId="38" xfId="0" applyNumberFormat="1" applyFont="1" applyFill="1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8" fontId="36" fillId="33" borderId="27" xfId="0" applyNumberFormat="1" applyFont="1" applyFill="1" applyBorder="1" applyAlignment="1" applyProtection="1">
      <alignment horizontal="center"/>
      <protection/>
    </xf>
    <xf numFmtId="22" fontId="7" fillId="0" borderId="45" xfId="0" applyNumberFormat="1" applyFont="1" applyBorder="1" applyAlignment="1">
      <alignment horizontal="center"/>
    </xf>
    <xf numFmtId="22" fontId="7" fillId="0" borderId="57" xfId="0" applyNumberFormat="1" applyFont="1" applyBorder="1" applyAlignment="1" applyProtection="1">
      <alignment horizontal="center"/>
      <protection/>
    </xf>
    <xf numFmtId="2" fontId="7" fillId="0" borderId="27" xfId="0" applyNumberFormat="1" applyFont="1" applyFill="1" applyBorder="1" applyAlignment="1" applyProtection="1" quotePrefix="1">
      <alignment horizontal="center"/>
      <protection/>
    </xf>
    <xf numFmtId="164" fontId="7" fillId="0" borderId="27" xfId="0" applyNumberFormat="1" applyFont="1" applyFill="1" applyBorder="1" applyAlignment="1" applyProtection="1" quotePrefix="1">
      <alignment horizontal="center"/>
      <protection/>
    </xf>
    <xf numFmtId="168" fontId="7" fillId="0" borderId="44" xfId="0" applyNumberFormat="1" applyFont="1" applyBorder="1" applyAlignment="1" applyProtection="1">
      <alignment horizontal="center"/>
      <protection/>
    </xf>
    <xf numFmtId="168" fontId="7" fillId="0" borderId="27" xfId="0" applyNumberFormat="1" applyFont="1" applyBorder="1" applyAlignment="1" applyProtection="1">
      <alignment horizontal="center"/>
      <protection/>
    </xf>
    <xf numFmtId="164" fontId="36" fillId="33" borderId="32" xfId="0" applyNumberFormat="1" applyFont="1" applyFill="1" applyBorder="1" applyAlignment="1" applyProtection="1">
      <alignment horizontal="center"/>
      <protection/>
    </xf>
    <xf numFmtId="2" fontId="82" fillId="39" borderId="27" xfId="0" applyNumberFormat="1" applyFont="1" applyFill="1" applyBorder="1" applyAlignment="1">
      <alignment horizontal="center"/>
    </xf>
    <xf numFmtId="168" fontId="47" fillId="43" borderId="45" xfId="0" applyNumberFormat="1" applyFont="1" applyFill="1" applyBorder="1" applyAlignment="1" applyProtection="1" quotePrefix="1">
      <alignment horizontal="center"/>
      <protection/>
    </xf>
    <xf numFmtId="168" fontId="47" fillId="43" borderId="46" xfId="0" applyNumberFormat="1" applyFont="1" applyFill="1" applyBorder="1" applyAlignment="1" applyProtection="1" quotePrefix="1">
      <alignment horizontal="center"/>
      <protection/>
    </xf>
    <xf numFmtId="168" fontId="50" fillId="37" borderId="27" xfId="0" applyNumberFormat="1" applyFont="1" applyFill="1" applyBorder="1" applyAlignment="1" applyProtection="1" quotePrefix="1">
      <alignment horizontal="center"/>
      <protection/>
    </xf>
    <xf numFmtId="168" fontId="29" fillId="0" borderId="27" xfId="0" applyNumberFormat="1" applyFont="1" applyFill="1" applyBorder="1" applyAlignment="1">
      <alignment horizontal="center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164" fontId="36" fillId="33" borderId="58" xfId="0" applyNumberFormat="1" applyFont="1" applyFill="1" applyBorder="1" applyAlignment="1" applyProtection="1">
      <alignment horizontal="center"/>
      <protection locked="0"/>
    </xf>
    <xf numFmtId="2" fontId="7" fillId="0" borderId="59" xfId="0" applyNumberFormat="1" applyFont="1" applyFill="1" applyBorder="1" applyAlignment="1" applyProtection="1" quotePrefix="1">
      <alignment horizontal="center"/>
      <protection/>
    </xf>
    <xf numFmtId="0" fontId="12" fillId="0" borderId="12" xfId="0" applyFont="1" applyBorder="1" applyAlignment="1" applyProtection="1">
      <alignment horizontal="center"/>
      <protection locked="0"/>
    </xf>
    <xf numFmtId="164" fontId="36" fillId="33" borderId="60" xfId="0" applyNumberFormat="1" applyFont="1" applyFill="1" applyBorder="1" applyAlignment="1" applyProtection="1">
      <alignment horizontal="center"/>
      <protection locked="0"/>
    </xf>
    <xf numFmtId="2" fontId="82" fillId="39" borderId="12" xfId="0" applyNumberFormat="1" applyFont="1" applyFill="1" applyBorder="1" applyAlignment="1" applyProtection="1">
      <alignment horizontal="center"/>
      <protection locked="0"/>
    </xf>
    <xf numFmtId="168" fontId="47" fillId="43" borderId="48" xfId="0" applyNumberFormat="1" applyFont="1" applyFill="1" applyBorder="1" applyAlignment="1" applyProtection="1" quotePrefix="1">
      <alignment horizontal="center"/>
      <protection locked="0"/>
    </xf>
    <xf numFmtId="168" fontId="47" fillId="43" borderId="49" xfId="0" applyNumberFormat="1" applyFont="1" applyFill="1" applyBorder="1" applyAlignment="1" applyProtection="1" quotePrefix="1">
      <alignment horizontal="center"/>
      <protection locked="0"/>
    </xf>
    <xf numFmtId="168" fontId="50" fillId="37" borderId="12" xfId="0" applyNumberFormat="1" applyFont="1" applyFill="1" applyBorder="1" applyAlignment="1" applyProtection="1" quotePrefix="1">
      <alignment horizontal="center"/>
      <protection locked="0"/>
    </xf>
    <xf numFmtId="168" fontId="29" fillId="0" borderId="36" xfId="0" applyNumberFormat="1" applyFont="1" applyFill="1" applyBorder="1" applyAlignment="1">
      <alignment horizontal="center"/>
    </xf>
    <xf numFmtId="4" fontId="82" fillId="39" borderId="23" xfId="0" applyNumberFormat="1" applyFont="1" applyFill="1" applyBorder="1" applyAlignment="1">
      <alignment horizontal="center"/>
    </xf>
    <xf numFmtId="4" fontId="47" fillId="43" borderId="51" xfId="0" applyNumberFormat="1" applyFont="1" applyFill="1" applyBorder="1" applyAlignment="1">
      <alignment horizontal="center"/>
    </xf>
    <xf numFmtId="4" fontId="47" fillId="43" borderId="18" xfId="0" applyNumberFormat="1" applyFont="1" applyFill="1" applyBorder="1" applyAlignment="1">
      <alignment horizontal="center"/>
    </xf>
    <xf numFmtId="4" fontId="50" fillId="37" borderId="23" xfId="0" applyNumberFormat="1" applyFont="1" applyFill="1" applyBorder="1" applyAlignment="1">
      <alignment horizontal="center"/>
    </xf>
    <xf numFmtId="0" fontId="7" fillId="0" borderId="61" xfId="0" applyFont="1" applyBorder="1" applyAlignment="1">
      <alignment/>
    </xf>
    <xf numFmtId="168" fontId="7" fillId="0" borderId="57" xfId="0" applyNumberFormat="1" applyFont="1" applyBorder="1" applyAlignment="1" applyProtection="1">
      <alignment horizontal="center"/>
      <protection/>
    </xf>
    <xf numFmtId="0" fontId="83" fillId="0" borderId="0" xfId="0" applyFont="1" applyAlignment="1">
      <alignment/>
    </xf>
    <xf numFmtId="164" fontId="7" fillId="0" borderId="13" xfId="0" applyNumberFormat="1" applyFont="1" applyBorder="1" applyAlignment="1" applyProtection="1">
      <alignment horizontal="center"/>
      <protection/>
    </xf>
    <xf numFmtId="22" fontId="7" fillId="0" borderId="32" xfId="0" applyNumberFormat="1" applyFont="1" applyBorder="1" applyAlignment="1">
      <alignment horizontal="center"/>
    </xf>
    <xf numFmtId="0" fontId="86" fillId="0" borderId="0" xfId="0" applyFont="1" applyFill="1" applyAlignment="1">
      <alignment/>
    </xf>
    <xf numFmtId="0" fontId="87" fillId="0" borderId="0" xfId="0" applyFont="1" applyAlignment="1">
      <alignment horizontal="centerContinuous"/>
    </xf>
    <xf numFmtId="0" fontId="86" fillId="0" borderId="0" xfId="0" applyFont="1" applyAlignment="1">
      <alignment horizontal="centerContinuous"/>
    </xf>
    <xf numFmtId="0" fontId="86" fillId="0" borderId="0" xfId="0" applyFont="1" applyAlignment="1">
      <alignment/>
    </xf>
    <xf numFmtId="0" fontId="23" fillId="0" borderId="0" xfId="0" applyFont="1" applyAlignment="1">
      <alignment/>
    </xf>
    <xf numFmtId="0" fontId="88" fillId="0" borderId="0" xfId="0" applyFont="1" applyBorder="1" applyAlignment="1" quotePrefix="1">
      <alignment horizontal="left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9" fillId="0" borderId="0" xfId="0" applyFont="1" applyBorder="1" applyAlignment="1" quotePrefix="1">
      <alignment horizontal="left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17" xfId="0" applyNumberFormat="1" applyFont="1" applyBorder="1" applyAlignment="1" applyProtection="1">
      <alignment horizontal="center"/>
      <protection/>
    </xf>
    <xf numFmtId="183" fontId="22" fillId="0" borderId="18" xfId="0" applyNumberFormat="1" applyFont="1" applyBorder="1" applyAlignment="1" applyProtection="1">
      <alignment horizontal="centerContinuous"/>
      <protection/>
    </xf>
    <xf numFmtId="0" fontId="48" fillId="44" borderId="23" xfId="0" applyFont="1" applyFill="1" applyBorder="1" applyAlignment="1">
      <alignment horizontal="center" vertical="center" wrapText="1"/>
    </xf>
    <xf numFmtId="0" fontId="90" fillId="34" borderId="17" xfId="0" applyFont="1" applyFill="1" applyBorder="1" applyAlignment="1" applyProtection="1">
      <alignment horizontal="centerContinuous" vertical="center" wrapText="1"/>
      <protection/>
    </xf>
    <xf numFmtId="0" fontId="91" fillId="34" borderId="24" xfId="0" applyFont="1" applyFill="1" applyBorder="1" applyAlignment="1">
      <alignment horizontal="centerContinuous"/>
    </xf>
    <xf numFmtId="0" fontId="90" fillId="34" borderId="18" xfId="0" applyFont="1" applyFill="1" applyBorder="1" applyAlignment="1">
      <alignment horizontal="centerContinuous" vertical="center"/>
    </xf>
    <xf numFmtId="0" fontId="42" fillId="45" borderId="17" xfId="0" applyFont="1" applyFill="1" applyBorder="1" applyAlignment="1">
      <alignment horizontal="centerContinuous" vertical="center" wrapText="1"/>
    </xf>
    <xf numFmtId="0" fontId="43" fillId="45" borderId="24" xfId="0" applyFont="1" applyFill="1" applyBorder="1" applyAlignment="1">
      <alignment horizontal="centerContinuous"/>
    </xf>
    <xf numFmtId="0" fontId="42" fillId="45" borderId="18" xfId="0" applyFont="1" applyFill="1" applyBorder="1" applyAlignment="1">
      <alignment horizontal="centerContinuous" vertical="center"/>
    </xf>
    <xf numFmtId="0" fontId="42" fillId="39" borderId="23" xfId="0" applyFont="1" applyFill="1" applyBorder="1" applyAlignment="1">
      <alignment horizontal="centerContinuous" vertical="center" wrapText="1"/>
    </xf>
    <xf numFmtId="0" fontId="42" fillId="46" borderId="23" xfId="0" applyFont="1" applyFill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164" fontId="22" fillId="0" borderId="13" xfId="0" applyNumberFormat="1" applyFont="1" applyBorder="1" applyAlignment="1" applyProtection="1">
      <alignment/>
      <protection/>
    </xf>
    <xf numFmtId="164" fontId="22" fillId="0" borderId="11" xfId="0" applyNumberFormat="1" applyFont="1" applyBorder="1" applyAlignment="1" applyProtection="1">
      <alignment horizontal="center"/>
      <protection/>
    </xf>
    <xf numFmtId="164" fontId="22" fillId="0" borderId="26" xfId="0" applyNumberFormat="1" applyFont="1" applyBorder="1" applyAlignment="1" applyProtection="1">
      <alignment horizontal="center"/>
      <protection/>
    </xf>
    <xf numFmtId="164" fontId="92" fillId="33" borderId="26" xfId="0" applyNumberFormat="1" applyFont="1" applyFill="1" applyBorder="1" applyAlignment="1" applyProtection="1">
      <alignment horizontal="center"/>
      <protection/>
    </xf>
    <xf numFmtId="0" fontId="93" fillId="35" borderId="26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0" fontId="82" fillId="44" borderId="26" xfId="0" applyFont="1" applyFill="1" applyBorder="1" applyAlignment="1">
      <alignment horizontal="center"/>
    </xf>
    <xf numFmtId="168" fontId="94" fillId="34" borderId="40" xfId="0" applyNumberFormat="1" applyFont="1" applyFill="1" applyBorder="1" applyAlignment="1" applyProtection="1" quotePrefix="1">
      <alignment horizontal="center"/>
      <protection/>
    </xf>
    <xf numFmtId="168" fontId="94" fillId="34" borderId="63" xfId="0" applyNumberFormat="1" applyFont="1" applyFill="1" applyBorder="1" applyAlignment="1" applyProtection="1" quotePrefix="1">
      <alignment horizontal="center"/>
      <protection/>
    </xf>
    <xf numFmtId="4" fontId="94" fillId="34" borderId="64" xfId="0" applyNumberFormat="1" applyFont="1" applyFill="1" applyBorder="1" applyAlignment="1" applyProtection="1">
      <alignment horizontal="center"/>
      <protection/>
    </xf>
    <xf numFmtId="168" fontId="44" fillId="45" borderId="40" xfId="0" applyNumberFormat="1" applyFont="1" applyFill="1" applyBorder="1" applyAlignment="1" applyProtection="1" quotePrefix="1">
      <alignment horizontal="center"/>
      <protection/>
    </xf>
    <xf numFmtId="168" fontId="44" fillId="45" borderId="63" xfId="0" applyNumberFormat="1" applyFont="1" applyFill="1" applyBorder="1" applyAlignment="1" applyProtection="1" quotePrefix="1">
      <alignment horizontal="center"/>
      <protection/>
    </xf>
    <xf numFmtId="4" fontId="44" fillId="45" borderId="64" xfId="0" applyNumberFormat="1" applyFont="1" applyFill="1" applyBorder="1" applyAlignment="1" applyProtection="1">
      <alignment horizontal="center"/>
      <protection/>
    </xf>
    <xf numFmtId="4" fontId="44" fillId="39" borderId="26" xfId="0" applyNumberFormat="1" applyFont="1" applyFill="1" applyBorder="1" applyAlignment="1" applyProtection="1">
      <alignment horizontal="center"/>
      <protection/>
    </xf>
    <xf numFmtId="4" fontId="44" fillId="46" borderId="26" xfId="0" applyNumberFormat="1" applyFont="1" applyFill="1" applyBorder="1" applyAlignment="1" applyProtection="1">
      <alignment horizontal="center"/>
      <protection/>
    </xf>
    <xf numFmtId="0" fontId="7" fillId="0" borderId="64" xfId="0" applyFont="1" applyBorder="1" applyAlignment="1">
      <alignment horizontal="left"/>
    </xf>
    <xf numFmtId="0" fontId="10" fillId="0" borderId="64" xfId="0" applyFont="1" applyBorder="1" applyAlignment="1">
      <alignment horizontal="center"/>
    </xf>
    <xf numFmtId="165" fontId="7" fillId="0" borderId="11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0" fontId="92" fillId="33" borderId="11" xfId="0" applyFont="1" applyFill="1" applyBorder="1" applyAlignment="1" applyProtection="1">
      <alignment horizontal="center"/>
      <protection/>
    </xf>
    <xf numFmtId="168" fontId="93" fillId="35" borderId="11" xfId="0" applyNumberFormat="1" applyFont="1" applyFill="1" applyBorder="1" applyAlignment="1" applyProtection="1">
      <alignment horizontal="center"/>
      <protection/>
    </xf>
    <xf numFmtId="22" fontId="7" fillId="0" borderId="11" xfId="0" applyNumberFormat="1" applyFont="1" applyBorder="1" applyAlignment="1">
      <alignment horizontal="center"/>
    </xf>
    <xf numFmtId="4" fontId="7" fillId="0" borderId="11" xfId="0" applyNumberFormat="1" applyFont="1" applyFill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173" fontId="7" fillId="0" borderId="13" xfId="0" applyNumberFormat="1" applyFont="1" applyBorder="1" applyAlignment="1" applyProtection="1" quotePrefix="1">
      <alignment horizontal="center"/>
      <protection/>
    </xf>
    <xf numFmtId="2" fontId="44" fillId="36" borderId="11" xfId="0" applyNumberFormat="1" applyFont="1" applyFill="1" applyBorder="1" applyAlignment="1" applyProtection="1">
      <alignment horizontal="center"/>
      <protection/>
    </xf>
    <xf numFmtId="2" fontId="82" fillId="44" borderId="11" xfId="0" applyNumberFormat="1" applyFont="1" applyFill="1" applyBorder="1" applyAlignment="1" applyProtection="1">
      <alignment horizontal="center"/>
      <protection/>
    </xf>
    <xf numFmtId="168" fontId="94" fillId="34" borderId="30" xfId="0" applyNumberFormat="1" applyFont="1" applyFill="1" applyBorder="1" applyAlignment="1" applyProtection="1" quotePrefix="1">
      <alignment horizontal="center"/>
      <protection/>
    </xf>
    <xf numFmtId="168" fontId="94" fillId="34" borderId="31" xfId="0" applyNumberFormat="1" applyFont="1" applyFill="1" applyBorder="1" applyAlignment="1" applyProtection="1" quotePrefix="1">
      <alignment horizontal="center"/>
      <protection/>
    </xf>
    <xf numFmtId="4" fontId="94" fillId="34" borderId="13" xfId="0" applyNumberFormat="1" applyFont="1" applyFill="1" applyBorder="1" applyAlignment="1" applyProtection="1">
      <alignment horizontal="center"/>
      <protection/>
    </xf>
    <xf numFmtId="168" fontId="44" fillId="45" borderId="30" xfId="0" applyNumberFormat="1" applyFont="1" applyFill="1" applyBorder="1" applyAlignment="1" applyProtection="1" quotePrefix="1">
      <alignment horizontal="center"/>
      <protection/>
    </xf>
    <xf numFmtId="168" fontId="44" fillId="45" borderId="31" xfId="0" applyNumberFormat="1" applyFont="1" applyFill="1" applyBorder="1" applyAlignment="1" applyProtection="1" quotePrefix="1">
      <alignment horizontal="center"/>
      <protection/>
    </xf>
    <xf numFmtId="4" fontId="44" fillId="45" borderId="13" xfId="0" applyNumberFormat="1" applyFont="1" applyFill="1" applyBorder="1" applyAlignment="1" applyProtection="1">
      <alignment horizontal="center"/>
      <protection/>
    </xf>
    <xf numFmtId="4" fontId="44" fillId="39" borderId="11" xfId="0" applyNumberFormat="1" applyFont="1" applyFill="1" applyBorder="1" applyAlignment="1" applyProtection="1">
      <alignment horizontal="center"/>
      <protection/>
    </xf>
    <xf numFmtId="4" fontId="44" fillId="46" borderId="11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164" fontId="95" fillId="0" borderId="12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165" fontId="22" fillId="0" borderId="12" xfId="0" applyNumberFormat="1" applyFont="1" applyBorder="1" applyAlignment="1" applyProtection="1">
      <alignment horizontal="center"/>
      <protection/>
    </xf>
    <xf numFmtId="165" fontId="92" fillId="33" borderId="12" xfId="0" applyNumberFormat="1" applyFont="1" applyFill="1" applyBorder="1" applyAlignment="1" applyProtection="1">
      <alignment horizontal="center"/>
      <protection/>
    </xf>
    <xf numFmtId="168" fontId="93" fillId="35" borderId="12" xfId="0" applyNumberFormat="1" applyFont="1" applyFill="1" applyBorder="1" applyAlignment="1" applyProtection="1">
      <alignment horizontal="center"/>
      <protection/>
    </xf>
    <xf numFmtId="168" fontId="22" fillId="0" borderId="12" xfId="0" applyNumberFormat="1" applyFont="1" applyBorder="1" applyAlignment="1" applyProtection="1">
      <alignment horizontal="center"/>
      <protection/>
    </xf>
    <xf numFmtId="173" fontId="7" fillId="0" borderId="12" xfId="0" applyNumberFormat="1" applyFont="1" applyBorder="1" applyAlignment="1" applyProtection="1" quotePrefix="1">
      <alignment horizontal="center"/>
      <protection/>
    </xf>
    <xf numFmtId="2" fontId="44" fillId="36" borderId="12" xfId="0" applyNumberFormat="1" applyFont="1" applyFill="1" applyBorder="1" applyAlignment="1" applyProtection="1">
      <alignment horizontal="center"/>
      <protection/>
    </xf>
    <xf numFmtId="2" fontId="82" fillId="44" borderId="12" xfId="0" applyNumberFormat="1" applyFont="1" applyFill="1" applyBorder="1" applyAlignment="1" applyProtection="1">
      <alignment horizontal="center"/>
      <protection/>
    </xf>
    <xf numFmtId="168" fontId="94" fillId="34" borderId="33" xfId="0" applyNumberFormat="1" applyFont="1" applyFill="1" applyBorder="1" applyAlignment="1" applyProtection="1" quotePrefix="1">
      <alignment horizontal="center"/>
      <protection/>
    </xf>
    <xf numFmtId="168" fontId="94" fillId="34" borderId="65" xfId="0" applyNumberFormat="1" applyFont="1" applyFill="1" applyBorder="1" applyAlignment="1" applyProtection="1" quotePrefix="1">
      <alignment horizontal="center"/>
      <protection/>
    </xf>
    <xf numFmtId="4" fontId="94" fillId="34" borderId="28" xfId="0" applyNumberFormat="1" applyFont="1" applyFill="1" applyBorder="1" applyAlignment="1" applyProtection="1">
      <alignment horizontal="center"/>
      <protection/>
    </xf>
    <xf numFmtId="168" fontId="44" fillId="45" borderId="33" xfId="0" applyNumberFormat="1" applyFont="1" applyFill="1" applyBorder="1" applyAlignment="1" applyProtection="1" quotePrefix="1">
      <alignment horizontal="center"/>
      <protection/>
    </xf>
    <xf numFmtId="168" fontId="44" fillId="45" borderId="65" xfId="0" applyNumberFormat="1" applyFont="1" applyFill="1" applyBorder="1" applyAlignment="1" applyProtection="1" quotePrefix="1">
      <alignment horizontal="center"/>
      <protection/>
    </xf>
    <xf numFmtId="4" fontId="44" fillId="45" borderId="28" xfId="0" applyNumberFormat="1" applyFont="1" applyFill="1" applyBorder="1" applyAlignment="1" applyProtection="1">
      <alignment horizontal="center"/>
      <protection/>
    </xf>
    <xf numFmtId="4" fontId="44" fillId="39" borderId="12" xfId="0" applyNumberFormat="1" applyFont="1" applyFill="1" applyBorder="1" applyAlignment="1" applyProtection="1">
      <alignment horizontal="center"/>
      <protection/>
    </xf>
    <xf numFmtId="4" fontId="44" fillId="46" borderId="12" xfId="0" applyNumberFormat="1" applyFont="1" applyFill="1" applyBorder="1" applyAlignment="1" applyProtection="1">
      <alignment horizontal="center"/>
      <protection/>
    </xf>
    <xf numFmtId="4" fontId="9" fillId="0" borderId="12" xfId="0" applyNumberFormat="1" applyFont="1" applyBorder="1" applyAlignment="1" applyProtection="1">
      <alignment horizontal="center"/>
      <protection/>
    </xf>
    <xf numFmtId="168" fontId="28" fillId="0" borderId="12" xfId="0" applyNumberFormat="1" applyFont="1" applyFill="1" applyBorder="1" applyAlignment="1">
      <alignment horizontal="center"/>
    </xf>
    <xf numFmtId="164" fontId="95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3" fillId="36" borderId="23" xfId="0" applyNumberFormat="1" applyFont="1" applyFill="1" applyBorder="1" applyAlignment="1" applyProtection="1">
      <alignment horizontal="center"/>
      <protection/>
    </xf>
    <xf numFmtId="2" fontId="80" fillId="44" borderId="23" xfId="0" applyNumberFormat="1" applyFont="1" applyFill="1" applyBorder="1" applyAlignment="1" applyProtection="1">
      <alignment horizontal="center"/>
      <protection/>
    </xf>
    <xf numFmtId="2" fontId="96" fillId="34" borderId="23" xfId="0" applyNumberFormat="1" applyFont="1" applyFill="1" applyBorder="1" applyAlignment="1" applyProtection="1">
      <alignment horizontal="center"/>
      <protection/>
    </xf>
    <xf numFmtId="2" fontId="93" fillId="45" borderId="23" xfId="0" applyNumberFormat="1" applyFont="1" applyFill="1" applyBorder="1" applyAlignment="1" applyProtection="1">
      <alignment horizontal="center"/>
      <protection/>
    </xf>
    <xf numFmtId="2" fontId="93" fillId="39" borderId="23" xfId="0" applyNumberFormat="1" applyFont="1" applyFill="1" applyBorder="1" applyAlignment="1" applyProtection="1">
      <alignment horizontal="center"/>
      <protection/>
    </xf>
    <xf numFmtId="2" fontId="93" fillId="46" borderId="23" xfId="0" applyNumberFormat="1" applyFont="1" applyFill="1" applyBorder="1" applyAlignment="1" applyProtection="1">
      <alignment horizontal="center"/>
      <protection/>
    </xf>
    <xf numFmtId="2" fontId="22" fillId="0" borderId="39" xfId="0" applyNumberFormat="1" applyFont="1" applyBorder="1" applyAlignment="1" applyProtection="1">
      <alignment horizontal="center"/>
      <protection/>
    </xf>
    <xf numFmtId="7" fontId="10" fillId="0" borderId="23" xfId="0" applyNumberFormat="1" applyFont="1" applyBorder="1" applyAlignment="1" applyProtection="1">
      <alignment horizontal="right"/>
      <protection/>
    </xf>
    <xf numFmtId="2" fontId="93" fillId="0" borderId="24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96" fillId="0" borderId="24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47" borderId="23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Continuous" vertical="center"/>
      <protection/>
    </xf>
    <xf numFmtId="0" fontId="27" fillId="0" borderId="24" xfId="0" applyFont="1" applyFill="1" applyBorder="1" applyAlignment="1" applyProtection="1">
      <alignment horizontal="centerContinuous" vertical="center"/>
      <protection/>
    </xf>
    <xf numFmtId="0" fontId="42" fillId="48" borderId="23" xfId="0" applyFont="1" applyFill="1" applyBorder="1" applyAlignment="1">
      <alignment horizontal="center" vertical="center" wrapText="1"/>
    </xf>
    <xf numFmtId="0" fontId="42" fillId="49" borderId="17" xfId="0" applyFont="1" applyFill="1" applyBorder="1" applyAlignment="1" applyProtection="1">
      <alignment horizontal="centerContinuous" vertical="center" wrapText="1"/>
      <protection/>
    </xf>
    <xf numFmtId="0" fontId="42" fillId="49" borderId="18" xfId="0" applyFont="1" applyFill="1" applyBorder="1" applyAlignment="1">
      <alignment horizontal="centerContinuous" vertical="center"/>
    </xf>
    <xf numFmtId="0" fontId="42" fillId="34" borderId="23" xfId="0" applyFont="1" applyFill="1" applyBorder="1" applyAlignment="1">
      <alignment horizontal="centerContinuous" vertical="center" wrapText="1"/>
    </xf>
    <xf numFmtId="0" fontId="42" fillId="47" borderId="66" xfId="0" applyFont="1" applyFill="1" applyBorder="1" applyAlignment="1">
      <alignment vertical="center" wrapText="1"/>
    </xf>
    <xf numFmtId="0" fontId="42" fillId="47" borderId="25" xfId="0" applyFont="1" applyFill="1" applyBorder="1" applyAlignment="1">
      <alignment vertical="center" wrapText="1"/>
    </xf>
    <xf numFmtId="0" fontId="42" fillId="47" borderId="39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 applyProtection="1">
      <alignment horizontal="center"/>
      <protection/>
    </xf>
    <xf numFmtId="0" fontId="97" fillId="33" borderId="11" xfId="0" applyFont="1" applyFill="1" applyBorder="1" applyAlignment="1">
      <alignment horizontal="center"/>
    </xf>
    <xf numFmtId="0" fontId="97" fillId="47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5" fillId="48" borderId="26" xfId="0" applyFont="1" applyFill="1" applyBorder="1" applyAlignment="1">
      <alignment horizontal="center"/>
    </xf>
    <xf numFmtId="0" fontId="45" fillId="49" borderId="40" xfId="0" applyFont="1" applyFill="1" applyBorder="1" applyAlignment="1">
      <alignment horizontal="center"/>
    </xf>
    <xf numFmtId="0" fontId="45" fillId="49" borderId="41" xfId="0" applyFont="1" applyFill="1" applyBorder="1" applyAlignment="1">
      <alignment horizontal="left"/>
    </xf>
    <xf numFmtId="0" fontId="45" fillId="34" borderId="26" xfId="0" applyFont="1" applyFill="1" applyBorder="1" applyAlignment="1">
      <alignment horizontal="left"/>
    </xf>
    <xf numFmtId="0" fontId="45" fillId="47" borderId="56" xfId="0" applyFont="1" applyFill="1" applyBorder="1" applyAlignment="1">
      <alignment horizontal="left"/>
    </xf>
    <xf numFmtId="0" fontId="45" fillId="47" borderId="0" xfId="0" applyFont="1" applyFill="1" applyBorder="1" applyAlignment="1">
      <alignment horizontal="left"/>
    </xf>
    <xf numFmtId="0" fontId="45" fillId="47" borderId="5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 horizontal="center"/>
      <protection/>
    </xf>
    <xf numFmtId="1" fontId="7" fillId="0" borderId="46" xfId="0" applyNumberFormat="1" applyFont="1" applyBorder="1" applyAlignment="1" applyProtection="1" quotePrefix="1">
      <alignment horizontal="center"/>
      <protection/>
    </xf>
    <xf numFmtId="168" fontId="97" fillId="33" borderId="11" xfId="0" applyNumberFormat="1" applyFont="1" applyFill="1" applyBorder="1" applyAlignment="1" applyProtection="1">
      <alignment horizontal="center"/>
      <protection/>
    </xf>
    <xf numFmtId="168" fontId="97" fillId="47" borderId="11" xfId="0" applyNumberFormat="1" applyFont="1" applyFill="1" applyBorder="1" applyAlignment="1" applyProtection="1">
      <alignment horizontal="center"/>
      <protection/>
    </xf>
    <xf numFmtId="22" fontId="7" fillId="0" borderId="11" xfId="0" applyNumberFormat="1" applyFont="1" applyFill="1" applyBorder="1" applyAlignment="1" applyProtection="1">
      <alignment horizontal="center"/>
      <protection/>
    </xf>
    <xf numFmtId="168" fontId="7" fillId="0" borderId="29" xfId="0" applyNumberFormat="1" applyFont="1" applyBorder="1" applyAlignment="1" applyProtection="1">
      <alignment horizontal="centerContinuous"/>
      <protection/>
    </xf>
    <xf numFmtId="168" fontId="7" fillId="0" borderId="13" xfId="0" applyNumberFormat="1" applyFont="1" applyBorder="1" applyAlignment="1" applyProtection="1">
      <alignment horizontal="centerContinuous"/>
      <protection/>
    </xf>
    <xf numFmtId="164" fontId="36" fillId="33" borderId="11" xfId="0" applyNumberFormat="1" applyFont="1" applyFill="1" applyBorder="1" applyAlignment="1" applyProtection="1">
      <alignment horizontal="center"/>
      <protection/>
    </xf>
    <xf numFmtId="2" fontId="44" fillId="48" borderId="11" xfId="0" applyNumberFormat="1" applyFont="1" applyFill="1" applyBorder="1" applyAlignment="1">
      <alignment horizontal="center"/>
    </xf>
    <xf numFmtId="168" fontId="44" fillId="49" borderId="45" xfId="0" applyNumberFormat="1" applyFont="1" applyFill="1" applyBorder="1" applyAlignment="1" applyProtection="1" quotePrefix="1">
      <alignment horizontal="center"/>
      <protection/>
    </xf>
    <xf numFmtId="168" fontId="44" fillId="49" borderId="46" xfId="0" applyNumberFormat="1" applyFont="1" applyFill="1" applyBorder="1" applyAlignment="1" applyProtection="1" quotePrefix="1">
      <alignment horizontal="center"/>
      <protection/>
    </xf>
    <xf numFmtId="168" fontId="44" fillId="47" borderId="56" xfId="0" applyNumberFormat="1" applyFont="1" applyFill="1" applyBorder="1" applyAlignment="1" applyProtection="1" quotePrefix="1">
      <alignment horizontal="center"/>
      <protection/>
    </xf>
    <xf numFmtId="168" fontId="44" fillId="47" borderId="0" xfId="0" applyNumberFormat="1" applyFont="1" applyFill="1" applyBorder="1" applyAlignment="1" applyProtection="1" quotePrefix="1">
      <alignment horizontal="center"/>
      <protection/>
    </xf>
    <xf numFmtId="168" fontId="44" fillId="47" borderId="55" xfId="0" applyNumberFormat="1" applyFont="1" applyFill="1" applyBorder="1" applyAlignment="1" applyProtection="1" quotePrefix="1">
      <alignment horizontal="center"/>
      <protection/>
    </xf>
    <xf numFmtId="22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 quotePrefix="1">
      <alignment horizontal="center"/>
      <protection/>
    </xf>
    <xf numFmtId="168" fontId="97" fillId="33" borderId="12" xfId="0" applyNumberFormat="1" applyFont="1" applyFill="1" applyBorder="1" applyAlignment="1" applyProtection="1">
      <alignment horizontal="center"/>
      <protection/>
    </xf>
    <xf numFmtId="168" fontId="97" fillId="47" borderId="12" xfId="0" applyNumberFormat="1" applyFont="1" applyFill="1" applyBorder="1" applyAlignment="1" applyProtection="1">
      <alignment horizontal="center"/>
      <protection/>
    </xf>
    <xf numFmtId="22" fontId="7" fillId="0" borderId="12" xfId="0" applyNumberFormat="1" applyFont="1" applyFill="1" applyBorder="1" applyAlignment="1">
      <alignment horizontal="center"/>
    </xf>
    <xf numFmtId="22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168" fontId="7" fillId="0" borderId="68" xfId="0" applyNumberFormat="1" applyFont="1" applyBorder="1" applyAlignment="1" applyProtection="1">
      <alignment horizontal="centerContinuous"/>
      <protection/>
    </xf>
    <xf numFmtId="168" fontId="7" fillId="0" borderId="28" xfId="0" applyNumberFormat="1" applyFont="1" applyBorder="1" applyAlignment="1" applyProtection="1">
      <alignment horizontal="centerContinuous"/>
      <protection/>
    </xf>
    <xf numFmtId="164" fontId="36" fillId="33" borderId="12" xfId="0" applyNumberFormat="1" applyFont="1" applyFill="1" applyBorder="1" applyAlignment="1" applyProtection="1">
      <alignment horizontal="center"/>
      <protection/>
    </xf>
    <xf numFmtId="2" fontId="45" fillId="48" borderId="12" xfId="0" applyNumberFormat="1" applyFont="1" applyFill="1" applyBorder="1" applyAlignment="1">
      <alignment horizontal="center"/>
    </xf>
    <xf numFmtId="168" fontId="45" fillId="49" borderId="48" xfId="0" applyNumberFormat="1" applyFont="1" applyFill="1" applyBorder="1" applyAlignment="1" applyProtection="1" quotePrefix="1">
      <alignment horizontal="center"/>
      <protection/>
    </xf>
    <xf numFmtId="168" fontId="45" fillId="49" borderId="49" xfId="0" applyNumberFormat="1" applyFont="1" applyFill="1" applyBorder="1" applyAlignment="1" applyProtection="1" quotePrefix="1">
      <alignment horizontal="center"/>
      <protection/>
    </xf>
    <xf numFmtId="168" fontId="45" fillId="34" borderId="12" xfId="0" applyNumberFormat="1" applyFont="1" applyFill="1" applyBorder="1" applyAlignment="1" applyProtection="1" quotePrefix="1">
      <alignment horizontal="center"/>
      <protection/>
    </xf>
    <xf numFmtId="168" fontId="45" fillId="47" borderId="68" xfId="0" applyNumberFormat="1" applyFont="1" applyFill="1" applyBorder="1" applyAlignment="1" applyProtection="1" quotePrefix="1">
      <alignment horizontal="center"/>
      <protection/>
    </xf>
    <xf numFmtId="168" fontId="45" fillId="47" borderId="60" xfId="0" applyNumberFormat="1" applyFont="1" applyFill="1" applyBorder="1" applyAlignment="1" applyProtection="1" quotePrefix="1">
      <alignment horizontal="center"/>
      <protection/>
    </xf>
    <xf numFmtId="168" fontId="45" fillId="47" borderId="28" xfId="0" applyNumberFormat="1" applyFont="1" applyFill="1" applyBorder="1" applyAlignment="1" applyProtection="1" quotePrefix="1">
      <alignment horizontal="center"/>
      <protection/>
    </xf>
    <xf numFmtId="168" fontId="7" fillId="0" borderId="28" xfId="0" applyNumberFormat="1" applyFont="1" applyFill="1" applyBorder="1" applyAlignment="1">
      <alignment horizontal="center"/>
    </xf>
    <xf numFmtId="4" fontId="29" fillId="0" borderId="28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23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3" fillId="0" borderId="0" xfId="0" applyNumberFormat="1" applyFont="1" applyBorder="1" applyAlignment="1" applyProtection="1">
      <alignment horizontal="left"/>
      <protection/>
    </xf>
    <xf numFmtId="168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65" fontId="53" fillId="0" borderId="0" xfId="0" applyNumberFormat="1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Border="1" applyAlignment="1" applyProtection="1" quotePrefix="1">
      <alignment horizontal="center"/>
      <protection/>
    </xf>
    <xf numFmtId="4" fontId="2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8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9" fillId="0" borderId="0" xfId="0" applyNumberFormat="1" applyFont="1" applyBorder="1" applyAlignment="1" applyProtection="1">
      <alignment horizontal="center"/>
      <protection/>
    </xf>
    <xf numFmtId="168" fontId="95" fillId="0" borderId="0" xfId="0" applyNumberFormat="1" applyFont="1" applyBorder="1" applyAlignment="1" applyProtection="1" quotePrefix="1">
      <alignment horizontal="center"/>
      <protection/>
    </xf>
    <xf numFmtId="4" fontId="95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3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right"/>
      <protection/>
    </xf>
    <xf numFmtId="7" fontId="22" fillId="0" borderId="58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3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horizontal="center" vertical="center"/>
      <protection/>
    </xf>
    <xf numFmtId="7" fontId="100" fillId="0" borderId="18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1" fillId="0" borderId="0" xfId="0" applyNumberFormat="1" applyFont="1" applyBorder="1" applyAlignment="1" applyProtection="1">
      <alignment horizontal="center" vertical="center"/>
      <protection/>
    </xf>
    <xf numFmtId="168" fontId="102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3" fillId="0" borderId="0" xfId="0" applyNumberFormat="1" applyFont="1" applyBorder="1" applyAlignment="1" applyProtection="1">
      <alignment horizontal="center"/>
      <protection/>
    </xf>
    <xf numFmtId="7" fontId="53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3" fillId="0" borderId="58" xfId="0" applyNumberFormat="1" applyFont="1" applyFill="1" applyBorder="1" applyAlignment="1">
      <alignment horizontal="center"/>
    </xf>
    <xf numFmtId="0" fontId="54" fillId="0" borderId="0" xfId="0" applyFont="1" applyAlignment="1">
      <alignment horizontal="right" vertical="top"/>
    </xf>
    <xf numFmtId="1" fontId="0" fillId="0" borderId="69" xfId="0" applyNumberFormat="1" applyBorder="1" applyAlignment="1">
      <alignment horizontal="center"/>
    </xf>
    <xf numFmtId="0" fontId="10" fillId="0" borderId="70" xfId="0" applyFont="1" applyBorder="1" applyAlignment="1">
      <alignment horizontal="centerContinuous"/>
    </xf>
    <xf numFmtId="0" fontId="10" fillId="0" borderId="71" xfId="0" applyFont="1" applyBorder="1" applyAlignment="1">
      <alignment horizontal="centerContinuous"/>
    </xf>
    <xf numFmtId="174" fontId="10" fillId="0" borderId="72" xfId="0" applyNumberFormat="1" applyFont="1" applyBorder="1" applyAlignment="1">
      <alignment horizontal="center"/>
    </xf>
    <xf numFmtId="1" fontId="10" fillId="0" borderId="72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Continuous"/>
    </xf>
    <xf numFmtId="0" fontId="10" fillId="0" borderId="74" xfId="0" applyFont="1" applyBorder="1" applyAlignment="1">
      <alignment horizontal="centerContinuous"/>
    </xf>
    <xf numFmtId="174" fontId="10" fillId="0" borderId="75" xfId="0" applyNumberFormat="1" applyFont="1" applyBorder="1" applyAlignment="1">
      <alignment horizontal="center"/>
    </xf>
    <xf numFmtId="1" fontId="10" fillId="0" borderId="75" xfId="0" applyNumberFormat="1" applyFont="1" applyBorder="1" applyAlignment="1">
      <alignment horizontal="center"/>
    </xf>
    <xf numFmtId="0" fontId="10" fillId="0" borderId="76" xfId="0" applyFont="1" applyBorder="1" applyAlignment="1">
      <alignment horizontal="centerContinuous"/>
    </xf>
    <xf numFmtId="0" fontId="10" fillId="0" borderId="77" xfId="0" applyFont="1" applyBorder="1" applyAlignment="1">
      <alignment horizontal="centerContinuous"/>
    </xf>
    <xf numFmtId="174" fontId="10" fillId="0" borderId="78" xfId="0" applyNumberFormat="1" applyFont="1" applyFill="1" applyBorder="1" applyAlignment="1">
      <alignment horizontal="center"/>
    </xf>
    <xf numFmtId="1" fontId="10" fillId="0" borderId="78" xfId="0" applyNumberFormat="1" applyFont="1" applyFill="1" applyBorder="1" applyAlignment="1">
      <alignment horizontal="center"/>
    </xf>
    <xf numFmtId="183" fontId="13" fillId="0" borderId="18" xfId="0" applyNumberFormat="1" applyFont="1" applyBorder="1" applyAlignment="1" applyProtection="1">
      <alignment horizontal="centerContinuous"/>
      <protection/>
    </xf>
    <xf numFmtId="2" fontId="93" fillId="0" borderId="60" xfId="0" applyNumberFormat="1" applyFont="1" applyFill="1" applyBorder="1" applyAlignment="1" applyProtection="1">
      <alignment horizontal="center"/>
      <protection/>
    </xf>
    <xf numFmtId="2" fontId="80" fillId="0" borderId="60" xfId="0" applyNumberFormat="1" applyFont="1" applyFill="1" applyBorder="1" applyAlignment="1" applyProtection="1">
      <alignment horizontal="center"/>
      <protection/>
    </xf>
    <xf numFmtId="2" fontId="96" fillId="0" borderId="60" xfId="0" applyNumberFormat="1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>
      <alignment horizontal="centerContinuous"/>
    </xf>
    <xf numFmtId="168" fontId="7" fillId="0" borderId="11" xfId="0" applyNumberFormat="1" applyFont="1" applyBorder="1" applyAlignment="1" applyProtection="1">
      <alignment horizontal="centerContinuous"/>
      <protection/>
    </xf>
    <xf numFmtId="168" fontId="7" fillId="0" borderId="12" xfId="0" applyNumberFormat="1" applyFont="1" applyBorder="1" applyAlignment="1" applyProtection="1">
      <alignment horizontal="centerContinuous"/>
      <protection/>
    </xf>
    <xf numFmtId="0" fontId="12" fillId="0" borderId="64" xfId="0" applyFont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 quotePrefix="1">
      <alignment horizontal="center"/>
      <protection/>
    </xf>
    <xf numFmtId="22" fontId="7" fillId="0" borderId="30" xfId="0" applyNumberFormat="1" applyFont="1" applyBorder="1" applyAlignment="1">
      <alignment horizontal="center"/>
    </xf>
    <xf numFmtId="22" fontId="7" fillId="0" borderId="11" xfId="0" applyNumberFormat="1" applyFont="1" applyBorder="1" applyAlignment="1" applyProtection="1">
      <alignment horizontal="center"/>
      <protection/>
    </xf>
    <xf numFmtId="164" fontId="45" fillId="35" borderId="11" xfId="0" applyNumberFormat="1" applyFont="1" applyFill="1" applyBorder="1" applyAlignment="1" applyProtection="1">
      <alignment horizontal="center"/>
      <protection/>
    </xf>
    <xf numFmtId="2" fontId="78" fillId="41" borderId="11" xfId="0" applyNumberFormat="1" applyFont="1" applyFill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79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 quotePrefix="1">
      <alignment horizontal="center"/>
      <protection/>
    </xf>
    <xf numFmtId="168" fontId="36" fillId="33" borderId="47" xfId="0" applyNumberFormat="1" applyFont="1" applyFill="1" applyBorder="1" applyAlignment="1" applyProtection="1">
      <alignment horizontal="center"/>
      <protection/>
    </xf>
    <xf numFmtId="22" fontId="7" fillId="0" borderId="48" xfId="0" applyNumberFormat="1" applyFont="1" applyBorder="1" applyAlignment="1">
      <alignment horizontal="center"/>
    </xf>
    <xf numFmtId="22" fontId="7" fillId="0" borderId="47" xfId="0" applyNumberFormat="1" applyFont="1" applyBorder="1" applyAlignment="1" applyProtection="1">
      <alignment horizontal="center"/>
      <protection/>
    </xf>
    <xf numFmtId="2" fontId="7" fillId="0" borderId="47" xfId="0" applyNumberFormat="1" applyFont="1" applyFill="1" applyBorder="1" applyAlignment="1" applyProtection="1" quotePrefix="1">
      <alignment horizontal="center"/>
      <protection/>
    </xf>
    <xf numFmtId="164" fontId="7" fillId="0" borderId="47" xfId="0" applyNumberFormat="1" applyFont="1" applyFill="1" applyBorder="1" applyAlignment="1" applyProtection="1" quotePrefix="1">
      <alignment horizontal="center"/>
      <protection/>
    </xf>
    <xf numFmtId="168" fontId="7" fillId="0" borderId="80" xfId="0" applyNumberFormat="1" applyFont="1" applyBorder="1" applyAlignment="1" applyProtection="1">
      <alignment horizontal="center"/>
      <protection/>
    </xf>
    <xf numFmtId="168" fontId="7" fillId="0" borderId="79" xfId="0" applyNumberFormat="1" applyFont="1" applyBorder="1" applyAlignment="1" applyProtection="1">
      <alignment horizontal="center"/>
      <protection/>
    </xf>
    <xf numFmtId="164" fontId="45" fillId="35" borderId="47" xfId="0" applyNumberFormat="1" applyFont="1" applyFill="1" applyBorder="1" applyAlignment="1" applyProtection="1">
      <alignment horizontal="center"/>
      <protection/>
    </xf>
    <xf numFmtId="2" fontId="78" fillId="41" borderId="47" xfId="0" applyNumberFormat="1" applyFont="1" applyFill="1" applyBorder="1" applyAlignment="1">
      <alignment horizontal="center"/>
    </xf>
    <xf numFmtId="168" fontId="65" fillId="37" borderId="48" xfId="0" applyNumberFormat="1" applyFont="1" applyFill="1" applyBorder="1" applyAlignment="1" applyProtection="1" quotePrefix="1">
      <alignment horizontal="center"/>
      <protection/>
    </xf>
    <xf numFmtId="168" fontId="65" fillId="37" borderId="49" xfId="0" applyNumberFormat="1" applyFont="1" applyFill="1" applyBorder="1" applyAlignment="1" applyProtection="1" quotePrefix="1">
      <alignment horizontal="center"/>
      <protection/>
    </xf>
    <xf numFmtId="168" fontId="44" fillId="34" borderId="47" xfId="0" applyNumberFormat="1" applyFont="1" applyFill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4" fontId="29" fillId="0" borderId="47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23" xfId="0" applyNumberFormat="1" applyFont="1" applyBorder="1" applyAlignment="1" applyProtection="1">
      <alignment horizontal="center" vertical="center" wrapText="1"/>
      <protection/>
    </xf>
    <xf numFmtId="168" fontId="84" fillId="50" borderId="23" xfId="0" applyNumberFormat="1" applyFont="1" applyFill="1" applyBorder="1" applyAlignment="1" applyProtection="1">
      <alignment horizontal="center" vertical="center"/>
      <protection/>
    </xf>
    <xf numFmtId="0" fontId="59" fillId="35" borderId="23" xfId="0" applyFont="1" applyFill="1" applyBorder="1" applyAlignment="1" applyProtection="1">
      <alignment horizontal="center" vertical="center"/>
      <protection/>
    </xf>
    <xf numFmtId="0" fontId="63" fillId="37" borderId="23" xfId="0" applyFont="1" applyFill="1" applyBorder="1" applyAlignment="1">
      <alignment horizontal="center" vertical="center" wrapText="1"/>
    </xf>
    <xf numFmtId="0" fontId="49" fillId="51" borderId="17" xfId="0" applyFont="1" applyFill="1" applyBorder="1" applyAlignment="1">
      <alignment horizontal="centerContinuous" vertical="center" wrapText="1"/>
    </xf>
    <xf numFmtId="0" fontId="103" fillId="51" borderId="24" xfId="0" applyFont="1" applyFill="1" applyBorder="1" applyAlignment="1">
      <alignment horizontal="centerContinuous"/>
    </xf>
    <xf numFmtId="0" fontId="49" fillId="51" borderId="18" xfId="0" applyFont="1" applyFill="1" applyBorder="1" applyAlignment="1">
      <alignment horizontal="centerContinuous" vertical="center"/>
    </xf>
    <xf numFmtId="7" fontId="10" fillId="0" borderId="26" xfId="0" applyNumberFormat="1" applyFont="1" applyBorder="1" applyAlignment="1">
      <alignment/>
    </xf>
    <xf numFmtId="0" fontId="85" fillId="50" borderId="11" xfId="0" applyFont="1" applyFill="1" applyBorder="1" applyAlignment="1">
      <alignment/>
    </xf>
    <xf numFmtId="0" fontId="60" fillId="35" borderId="11" xfId="0" applyFont="1" applyFill="1" applyBorder="1" applyAlignment="1">
      <alignment/>
    </xf>
    <xf numFmtId="0" fontId="104" fillId="34" borderId="11" xfId="0" applyFont="1" applyFill="1" applyBorder="1" applyAlignment="1">
      <alignment/>
    </xf>
    <xf numFmtId="0" fontId="64" fillId="37" borderId="13" xfId="0" applyFont="1" applyFill="1" applyBorder="1" applyAlignment="1">
      <alignment/>
    </xf>
    <xf numFmtId="168" fontId="9" fillId="33" borderId="30" xfId="0" applyNumberFormat="1" applyFont="1" applyFill="1" applyBorder="1" applyAlignment="1" applyProtection="1" quotePrefix="1">
      <alignment horizontal="center"/>
      <protection/>
    </xf>
    <xf numFmtId="168" fontId="9" fillId="33" borderId="31" xfId="0" applyNumberFormat="1" applyFont="1" applyFill="1" applyBorder="1" applyAlignment="1" applyProtection="1" quotePrefix="1">
      <alignment horizontal="center"/>
      <protection/>
    </xf>
    <xf numFmtId="4" fontId="9" fillId="33" borderId="13" xfId="0" applyNumberFormat="1" applyFont="1" applyFill="1" applyBorder="1" applyAlignment="1" applyProtection="1">
      <alignment horizontal="center"/>
      <protection/>
    </xf>
    <xf numFmtId="168" fontId="105" fillId="51" borderId="30" xfId="0" applyNumberFormat="1" applyFont="1" applyFill="1" applyBorder="1" applyAlignment="1" applyProtection="1" quotePrefix="1">
      <alignment horizontal="center"/>
      <protection/>
    </xf>
    <xf numFmtId="168" fontId="105" fillId="51" borderId="31" xfId="0" applyNumberFormat="1" applyFont="1" applyFill="1" applyBorder="1" applyAlignment="1" applyProtection="1" quotePrefix="1">
      <alignment horizontal="center"/>
      <protection/>
    </xf>
    <xf numFmtId="4" fontId="105" fillId="51" borderId="13" xfId="0" applyNumberFormat="1" applyFont="1" applyFill="1" applyBorder="1" applyAlignment="1" applyProtection="1">
      <alignment horizontal="center"/>
      <protection/>
    </xf>
    <xf numFmtId="0" fontId="85" fillId="50" borderId="11" xfId="0" applyFont="1" applyFill="1" applyBorder="1" applyAlignment="1" applyProtection="1">
      <alignment horizontal="center"/>
      <protection/>
    </xf>
    <xf numFmtId="174" fontId="60" fillId="35" borderId="11" xfId="0" applyNumberFormat="1" applyFont="1" applyFill="1" applyBorder="1" applyAlignment="1" applyProtection="1">
      <alignment horizontal="center"/>
      <protection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32" xfId="0" applyNumberFormat="1" applyFont="1" applyFill="1" applyBorder="1" applyAlignment="1" applyProtection="1">
      <alignment horizontal="center"/>
      <protection locked="0"/>
    </xf>
    <xf numFmtId="2" fontId="47" fillId="34" borderId="11" xfId="0" applyNumberFormat="1" applyFont="1" applyFill="1" applyBorder="1" applyAlignment="1" applyProtection="1">
      <alignment horizontal="center"/>
      <protection locked="0"/>
    </xf>
    <xf numFmtId="2" fontId="65" fillId="37" borderId="13" xfId="0" applyNumberFormat="1" applyFont="1" applyFill="1" applyBorder="1" applyAlignment="1" applyProtection="1">
      <alignment horizontal="center"/>
      <protection locked="0"/>
    </xf>
    <xf numFmtId="168" fontId="50" fillId="51" borderId="30" xfId="0" applyNumberFormat="1" applyFont="1" applyFill="1" applyBorder="1" applyAlignment="1" applyProtection="1" quotePrefix="1">
      <alignment horizontal="center"/>
      <protection locked="0"/>
    </xf>
    <xf numFmtId="168" fontId="50" fillId="51" borderId="31" xfId="0" applyNumberFormat="1" applyFont="1" applyFill="1" applyBorder="1" applyAlignment="1" applyProtection="1" quotePrefix="1">
      <alignment horizontal="center"/>
      <protection locked="0"/>
    </xf>
    <xf numFmtId="4" fontId="50" fillId="51" borderId="13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>
      <alignment horizontal="center"/>
    </xf>
    <xf numFmtId="0" fontId="7" fillId="0" borderId="11" xfId="58" applyFont="1" applyFill="1" applyBorder="1" applyAlignment="1" applyProtection="1">
      <alignment horizontal="center"/>
      <protection locked="0"/>
    </xf>
    <xf numFmtId="164" fontId="7" fillId="0" borderId="11" xfId="58" applyNumberFormat="1" applyFont="1" applyFill="1" applyBorder="1" applyAlignment="1" applyProtection="1">
      <alignment horizontal="center"/>
      <protection locked="0"/>
    </xf>
    <xf numFmtId="22" fontId="7" fillId="0" borderId="13" xfId="58" applyNumberFormat="1" applyFont="1" applyFill="1" applyBorder="1" applyAlignment="1" applyProtection="1">
      <alignment horizontal="center"/>
      <protection locked="0"/>
    </xf>
    <xf numFmtId="22" fontId="7" fillId="0" borderId="29" xfId="58" applyNumberFormat="1" applyFont="1" applyFill="1" applyBorder="1" applyAlignment="1" applyProtection="1">
      <alignment horizontal="center"/>
      <protection locked="0"/>
    </xf>
    <xf numFmtId="0" fontId="85" fillId="50" borderId="12" xfId="0" applyFont="1" applyFill="1" applyBorder="1" applyAlignment="1" applyProtection="1">
      <alignment horizontal="center"/>
      <protection/>
    </xf>
    <xf numFmtId="174" fontId="60" fillId="35" borderId="12" xfId="0" applyNumberFormat="1" applyFont="1" applyFill="1" applyBorder="1" applyAlignment="1" applyProtection="1">
      <alignment horizontal="center"/>
      <protection/>
    </xf>
    <xf numFmtId="2" fontId="104" fillId="34" borderId="12" xfId="0" applyNumberFormat="1" applyFont="1" applyFill="1" applyBorder="1" applyAlignment="1" applyProtection="1">
      <alignment horizontal="center"/>
      <protection locked="0"/>
    </xf>
    <xf numFmtId="2" fontId="65" fillId="37" borderId="12" xfId="0" applyNumberFormat="1" applyFont="1" applyFill="1" applyBorder="1" applyAlignment="1" applyProtection="1">
      <alignment horizontal="center"/>
      <protection locked="0"/>
    </xf>
    <xf numFmtId="168" fontId="50" fillId="51" borderId="33" xfId="0" applyNumberFormat="1" applyFont="1" applyFill="1" applyBorder="1" applyAlignment="1" applyProtection="1" quotePrefix="1">
      <alignment horizontal="center"/>
      <protection locked="0"/>
    </xf>
    <xf numFmtId="168" fontId="50" fillId="51" borderId="34" xfId="0" applyNumberFormat="1" applyFont="1" applyFill="1" applyBorder="1" applyAlignment="1" applyProtection="1" quotePrefix="1">
      <alignment horizontal="center"/>
      <protection locked="0"/>
    </xf>
    <xf numFmtId="4" fontId="50" fillId="51" borderId="35" xfId="0" applyNumberFormat="1" applyFont="1" applyFill="1" applyBorder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2" fontId="47" fillId="34" borderId="23" xfId="0" applyNumberFormat="1" applyFont="1" applyFill="1" applyBorder="1" applyAlignment="1" applyProtection="1">
      <alignment horizontal="center"/>
      <protection/>
    </xf>
    <xf numFmtId="2" fontId="65" fillId="37" borderId="23" xfId="0" applyNumberFormat="1" applyFont="1" applyFill="1" applyBorder="1" applyAlignment="1" applyProtection="1">
      <alignment horizontal="center"/>
      <protection/>
    </xf>
    <xf numFmtId="2" fontId="37" fillId="33" borderId="23" xfId="0" applyNumberFormat="1" applyFont="1" applyFill="1" applyBorder="1" applyAlignment="1" applyProtection="1">
      <alignment horizontal="center"/>
      <protection/>
    </xf>
    <xf numFmtId="2" fontId="50" fillId="51" borderId="23" xfId="0" applyNumberFormat="1" applyFont="1" applyFill="1" applyBorder="1" applyAlignment="1" applyProtection="1">
      <alignment horizontal="center"/>
      <protection/>
    </xf>
    <xf numFmtId="0" fontId="22" fillId="0" borderId="22" xfId="0" applyFont="1" applyBorder="1" applyAlignment="1">
      <alignment/>
    </xf>
    <xf numFmtId="182" fontId="22" fillId="0" borderId="14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85" fillId="0" borderId="26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104" fillId="0" borderId="26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5" fillId="0" borderId="40" xfId="0" applyFont="1" applyFill="1" applyBorder="1" applyAlignment="1">
      <alignment/>
    </xf>
    <xf numFmtId="0" fontId="105" fillId="0" borderId="81" xfId="0" applyFont="1" applyFill="1" applyBorder="1" applyAlignment="1">
      <alignment/>
    </xf>
    <xf numFmtId="0" fontId="105" fillId="0" borderId="41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22" fontId="7" fillId="0" borderId="26" xfId="0" applyNumberFormat="1" applyFont="1" applyFill="1" applyBorder="1" applyAlignment="1">
      <alignment/>
    </xf>
    <xf numFmtId="22" fontId="7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12" xfId="0" applyNumberFormat="1" applyFont="1" applyBorder="1" applyAlignment="1" applyProtection="1">
      <alignment horizontal="center"/>
      <protection locked="0"/>
    </xf>
    <xf numFmtId="174" fontId="4" fillId="0" borderId="17" xfId="0" applyNumberFormat="1" applyFont="1" applyBorder="1" applyAlignment="1">
      <alignment horizontal="centerContinuous"/>
    </xf>
    <xf numFmtId="170" fontId="7" fillId="0" borderId="26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170" fontId="7" fillId="0" borderId="11" xfId="0" applyNumberFormat="1" applyFont="1" applyFill="1" applyBorder="1" applyAlignment="1" applyProtection="1">
      <alignment horizontal="center"/>
      <protection locked="0"/>
    </xf>
    <xf numFmtId="170" fontId="7" fillId="0" borderId="11" xfId="58" applyNumberFormat="1" applyFont="1" applyFill="1" applyBorder="1" applyAlignment="1" applyProtection="1">
      <alignment horizontal="center"/>
      <protection locked="0"/>
    </xf>
    <xf numFmtId="17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53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0" fontId="106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108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6" xfId="0" applyFont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10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20" fillId="0" borderId="16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 applyProtection="1">
      <alignment horizontal="center"/>
      <protection/>
    </xf>
    <xf numFmtId="168" fontId="9" fillId="0" borderId="25" xfId="0" applyNumberFormat="1" applyFont="1" applyFill="1" applyBorder="1" applyAlignment="1" applyProtection="1" quotePrefix="1">
      <alignment horizontal="center"/>
      <protection/>
    </xf>
    <xf numFmtId="168" fontId="7" fillId="0" borderId="25" xfId="0" applyNumberFormat="1" applyFont="1" applyFill="1" applyBorder="1" applyAlignment="1">
      <alignment horizontal="center"/>
    </xf>
    <xf numFmtId="0" fontId="42" fillId="52" borderId="23" xfId="0" applyFont="1" applyFill="1" applyBorder="1" applyAlignment="1">
      <alignment vertical="center" wrapText="1"/>
    </xf>
    <xf numFmtId="2" fontId="44" fillId="52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65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2" fontId="61" fillId="0" borderId="25" xfId="0" applyNumberFormat="1" applyFont="1" applyFill="1" applyBorder="1" applyAlignment="1">
      <alignment horizontal="center"/>
    </xf>
    <xf numFmtId="0" fontId="7" fillId="0" borderId="47" xfId="0" applyFont="1" applyFill="1" applyBorder="1" applyAlignment="1" applyProtection="1">
      <alignment horizontal="center"/>
      <protection locked="0"/>
    </xf>
    <xf numFmtId="173" fontId="7" fillId="0" borderId="11" xfId="0" applyNumberFormat="1" applyFont="1" applyBorder="1" applyAlignment="1" applyProtection="1" quotePrefix="1">
      <alignment horizontal="center"/>
      <protection/>
    </xf>
    <xf numFmtId="4" fontId="9" fillId="0" borderId="11" xfId="0" applyNumberFormat="1" applyFont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/>
    </xf>
    <xf numFmtId="2" fontId="47" fillId="34" borderId="11" xfId="0" applyNumberFormat="1" applyFont="1" applyFill="1" applyBorder="1" applyAlignment="1" applyProtection="1">
      <alignment horizontal="center"/>
      <protection/>
    </xf>
    <xf numFmtId="2" fontId="65" fillId="37" borderId="13" xfId="0" applyNumberFormat="1" applyFont="1" applyFill="1" applyBorder="1" applyAlignment="1" applyProtection="1">
      <alignment horizontal="center"/>
      <protection/>
    </xf>
    <xf numFmtId="168" fontId="50" fillId="51" borderId="30" xfId="0" applyNumberFormat="1" applyFont="1" applyFill="1" applyBorder="1" applyAlignment="1" applyProtection="1" quotePrefix="1">
      <alignment horizontal="center"/>
      <protection/>
    </xf>
    <xf numFmtId="168" fontId="50" fillId="51" borderId="31" xfId="0" applyNumberFormat="1" applyFont="1" applyFill="1" applyBorder="1" applyAlignment="1" applyProtection="1" quotePrefix="1">
      <alignment horizontal="center"/>
      <protection/>
    </xf>
    <xf numFmtId="4" fontId="50" fillId="51" borderId="13" xfId="0" applyNumberFormat="1" applyFont="1" applyFill="1" applyBorder="1" applyAlignment="1" applyProtection="1">
      <alignment horizontal="center"/>
      <protection/>
    </xf>
    <xf numFmtId="4" fontId="71" fillId="39" borderId="11" xfId="0" applyNumberFormat="1" applyFont="1" applyFill="1" applyBorder="1" applyAlignment="1" applyProtection="1">
      <alignment horizontal="center"/>
      <protection/>
    </xf>
    <xf numFmtId="4" fontId="72" fillId="40" borderId="11" xfId="0" applyNumberFormat="1" applyFont="1" applyFill="1" applyBorder="1" applyAlignment="1" applyProtection="1">
      <alignment horizontal="center"/>
      <protection/>
    </xf>
    <xf numFmtId="2" fontId="76" fillId="39" borderId="11" xfId="0" applyNumberFormat="1" applyFont="1" applyFill="1" applyBorder="1" applyAlignment="1" applyProtection="1">
      <alignment horizontal="center"/>
      <protection/>
    </xf>
    <xf numFmtId="2" fontId="77" fillId="37" borderId="11" xfId="0" applyNumberFormat="1" applyFont="1" applyFill="1" applyBorder="1" applyAlignment="1" applyProtection="1">
      <alignment horizontal="center"/>
      <protection/>
    </xf>
    <xf numFmtId="168" fontId="7" fillId="0" borderId="13" xfId="0" applyNumberFormat="1" applyFont="1" applyFill="1" applyBorder="1" applyAlignment="1" applyProtection="1">
      <alignment horizontal="center"/>
      <protection/>
    </xf>
    <xf numFmtId="2" fontId="78" fillId="41" borderId="11" xfId="0" applyNumberFormat="1" applyFont="1" applyFill="1" applyBorder="1" applyAlignment="1" applyProtection="1">
      <alignment horizontal="center"/>
      <protection/>
    </xf>
    <xf numFmtId="164" fontId="36" fillId="33" borderId="58" xfId="0" applyNumberFormat="1" applyFont="1" applyFill="1" applyBorder="1" applyAlignment="1" applyProtection="1">
      <alignment horizontal="center"/>
      <protection/>
    </xf>
    <xf numFmtId="2" fontId="82" fillId="39" borderId="11" xfId="0" applyNumberFormat="1" applyFont="1" applyFill="1" applyBorder="1" applyAlignment="1" applyProtection="1">
      <alignment horizontal="center"/>
      <protection/>
    </xf>
    <xf numFmtId="0" fontId="32" fillId="0" borderId="25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45" fillId="47" borderId="0" xfId="0" applyNumberFormat="1" applyFont="1" applyFill="1" applyBorder="1" applyAlignment="1" applyProtection="1" quotePrefix="1">
      <alignment horizontal="center"/>
      <protection/>
    </xf>
    <xf numFmtId="0" fontId="109" fillId="0" borderId="74" xfId="0" applyFont="1" applyBorder="1" applyAlignment="1">
      <alignment/>
    </xf>
    <xf numFmtId="0" fontId="109" fillId="0" borderId="74" xfId="0" applyFont="1" applyFill="1" applyBorder="1" applyAlignment="1">
      <alignment/>
    </xf>
    <xf numFmtId="0" fontId="110" fillId="0" borderId="0" xfId="0" applyFont="1" applyFill="1" applyAlignment="1">
      <alignment/>
    </xf>
    <xf numFmtId="0" fontId="109" fillId="0" borderId="82" xfId="0" applyFont="1" applyBorder="1" applyAlignment="1">
      <alignment/>
    </xf>
    <xf numFmtId="0" fontId="109" fillId="0" borderId="82" xfId="0" applyFont="1" applyFill="1" applyBorder="1" applyAlignment="1">
      <alignment/>
    </xf>
    <xf numFmtId="0" fontId="111" fillId="0" borderId="74" xfId="0" applyFont="1" applyBorder="1" applyAlignment="1">
      <alignment/>
    </xf>
    <xf numFmtId="0" fontId="111" fillId="0" borderId="82" xfId="0" applyFont="1" applyBorder="1" applyAlignment="1">
      <alignment/>
    </xf>
    <xf numFmtId="0" fontId="111" fillId="0" borderId="74" xfId="0" applyFont="1" applyFill="1" applyBorder="1" applyAlignment="1">
      <alignment/>
    </xf>
    <xf numFmtId="0" fontId="111" fillId="0" borderId="82" xfId="0" applyFont="1" applyFill="1" applyBorder="1" applyAlignment="1">
      <alignment/>
    </xf>
    <xf numFmtId="0" fontId="112" fillId="0" borderId="74" xfId="0" applyFont="1" applyFill="1" applyBorder="1" applyAlignment="1">
      <alignment/>
    </xf>
    <xf numFmtId="0" fontId="112" fillId="0" borderId="82" xfId="0" applyFont="1" applyFill="1" applyBorder="1" applyAlignment="1">
      <alignment/>
    </xf>
    <xf numFmtId="0" fontId="112" fillId="53" borderId="74" xfId="0" applyFont="1" applyFill="1" applyBorder="1" applyAlignment="1">
      <alignment/>
    </xf>
    <xf numFmtId="0" fontId="110" fillId="33" borderId="74" xfId="0" applyFont="1" applyFill="1" applyBorder="1" applyAlignment="1">
      <alignment/>
    </xf>
    <xf numFmtId="0" fontId="110" fillId="0" borderId="0" xfId="0" applyFont="1" applyAlignment="1">
      <alignment/>
    </xf>
    <xf numFmtId="0" fontId="110" fillId="0" borderId="74" xfId="0" applyFont="1" applyBorder="1" applyAlignment="1">
      <alignment/>
    </xf>
    <xf numFmtId="0" fontId="110" fillId="0" borderId="74" xfId="0" applyFont="1" applyBorder="1" applyAlignment="1" quotePrefix="1">
      <alignment/>
    </xf>
    <xf numFmtId="0" fontId="113" fillId="0" borderId="0" xfId="54" applyFont="1" applyFill="1" applyAlignment="1">
      <alignment/>
      <protection/>
    </xf>
    <xf numFmtId="0" fontId="110" fillId="33" borderId="74" xfId="0" applyFont="1" applyFill="1" applyBorder="1" applyAlignment="1">
      <alignment horizontal="center"/>
    </xf>
    <xf numFmtId="0" fontId="110" fillId="54" borderId="0" xfId="0" applyFont="1" applyFill="1" applyAlignment="1">
      <alignment/>
    </xf>
    <xf numFmtId="0" fontId="110" fillId="54" borderId="0" xfId="0" applyNumberFormat="1" applyFont="1" applyFill="1" applyAlignment="1">
      <alignment/>
    </xf>
    <xf numFmtId="0" fontId="110" fillId="0" borderId="74" xfId="0" applyFont="1" applyFill="1" applyBorder="1" applyAlignment="1">
      <alignment horizontal="center"/>
    </xf>
    <xf numFmtId="0" fontId="110" fillId="54" borderId="0" xfId="54" applyFont="1" applyFill="1" applyAlignment="1">
      <alignment/>
      <protection/>
    </xf>
    <xf numFmtId="0" fontId="0" fillId="0" borderId="0" xfId="0" applyAlignment="1" quotePrefix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82" fontId="25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7" fontId="25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182" fontId="23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35" fillId="33" borderId="18" xfId="0" applyFont="1" applyFill="1" applyBorder="1" applyAlignment="1" applyProtection="1">
      <alignment horizontal="center" vertical="center"/>
      <protection/>
    </xf>
    <xf numFmtId="0" fontId="109" fillId="0" borderId="0" xfId="0" applyFont="1" applyFill="1" applyAlignment="1">
      <alignment/>
    </xf>
    <xf numFmtId="1" fontId="7" fillId="0" borderId="46" xfId="0" applyNumberFormat="1" applyFont="1" applyBorder="1" applyAlignment="1" applyProtection="1">
      <alignment horizontal="center"/>
      <protection locked="0"/>
    </xf>
    <xf numFmtId="173" fontId="7" fillId="0" borderId="13" xfId="0" applyNumberFormat="1" applyFont="1" applyBorder="1" applyAlignment="1" applyProtection="1">
      <alignment horizontal="center"/>
      <protection/>
    </xf>
    <xf numFmtId="1" fontId="7" fillId="0" borderId="4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7" fontId="25" fillId="0" borderId="0" xfId="0" applyNumberFormat="1" applyFont="1" applyBorder="1" applyAlignment="1">
      <alignment horizontal="left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 quotePrefix="1">
      <alignment horizontal="center"/>
      <protection locked="0"/>
    </xf>
    <xf numFmtId="164" fontId="36" fillId="33" borderId="0" xfId="0" applyNumberFormat="1" applyFont="1" applyFill="1" applyBorder="1" applyAlignment="1" applyProtection="1">
      <alignment horizontal="center"/>
      <protection/>
    </xf>
    <xf numFmtId="2" fontId="45" fillId="48" borderId="0" xfId="0" applyNumberFormat="1" applyFont="1" applyFill="1" applyBorder="1" applyAlignment="1">
      <alignment horizontal="center"/>
    </xf>
    <xf numFmtId="168" fontId="45" fillId="49" borderId="0" xfId="0" applyNumberFormat="1" applyFont="1" applyFill="1" applyBorder="1" applyAlignment="1" applyProtection="1" quotePrefix="1">
      <alignment horizontal="center"/>
      <protection/>
    </xf>
    <xf numFmtId="168" fontId="45" fillId="34" borderId="0" xfId="0" applyNumberFormat="1" applyFont="1" applyFill="1" applyBorder="1" applyAlignment="1" applyProtection="1" quotePrefix="1">
      <alignment horizontal="center"/>
      <protection/>
    </xf>
    <xf numFmtId="1" fontId="7" fillId="0" borderId="11" xfId="0" applyNumberFormat="1" applyFont="1" applyFill="1" applyBorder="1" applyAlignment="1" applyProtection="1" quotePrefix="1">
      <alignment horizontal="center"/>
      <protection/>
    </xf>
    <xf numFmtId="22" fontId="7" fillId="0" borderId="27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/>
    </xf>
    <xf numFmtId="8" fontId="29" fillId="0" borderId="23" xfId="50" applyNumberFormat="1" applyFont="1" applyFill="1" applyBorder="1" applyAlignment="1">
      <alignment horizontal="right"/>
    </xf>
    <xf numFmtId="1" fontId="22" fillId="0" borderId="0" xfId="0" applyNumberFormat="1" applyFont="1" applyBorder="1" applyAlignment="1" applyProtection="1">
      <alignment horizontal="left"/>
      <protection/>
    </xf>
    <xf numFmtId="0" fontId="62" fillId="0" borderId="0" xfId="57" applyNumberFormat="1" applyFont="1" applyBorder="1" applyAlignment="1">
      <alignment horizontal="left"/>
      <protection/>
    </xf>
    <xf numFmtId="0" fontId="7" fillId="0" borderId="57" xfId="0" applyFont="1" applyBorder="1" applyAlignment="1" applyProtection="1">
      <alignment horizontal="center"/>
      <protection locked="0"/>
    </xf>
    <xf numFmtId="6" fontId="10" fillId="0" borderId="0" xfId="50" applyFont="1" applyBorder="1" applyAlignment="1">
      <alignment horizontal="center"/>
    </xf>
    <xf numFmtId="221" fontId="22" fillId="0" borderId="0" xfId="0" applyNumberFormat="1" applyFont="1" applyBorder="1" applyAlignment="1">
      <alignment horizontal="center"/>
    </xf>
    <xf numFmtId="168" fontId="25" fillId="0" borderId="0" xfId="0" applyNumberFormat="1" applyFont="1" applyBorder="1" applyAlignment="1" applyProtection="1">
      <alignment horizontal="left" vertical="center"/>
      <protection/>
    </xf>
    <xf numFmtId="1" fontId="22" fillId="0" borderId="0" xfId="0" applyNumberFormat="1" applyFont="1" applyBorder="1" applyAlignment="1">
      <alignment horizontal="center"/>
    </xf>
    <xf numFmtId="168" fontId="94" fillId="34" borderId="81" xfId="0" applyNumberFormat="1" applyFont="1" applyFill="1" applyBorder="1" applyAlignment="1" applyProtection="1" quotePrefix="1">
      <alignment horizontal="center"/>
      <protection/>
    </xf>
    <xf numFmtId="4" fontId="94" fillId="34" borderId="41" xfId="0" applyNumberFormat="1" applyFont="1" applyFill="1" applyBorder="1" applyAlignment="1" applyProtection="1">
      <alignment horizontal="center"/>
      <protection/>
    </xf>
    <xf numFmtId="168" fontId="44" fillId="45" borderId="81" xfId="0" applyNumberFormat="1" applyFont="1" applyFill="1" applyBorder="1" applyAlignment="1" applyProtection="1" quotePrefix="1">
      <alignment horizontal="center"/>
      <protection/>
    </xf>
    <xf numFmtId="4" fontId="44" fillId="45" borderId="41" xfId="0" applyNumberFormat="1" applyFont="1" applyFill="1" applyBorder="1" applyAlignment="1" applyProtection="1">
      <alignment horizontal="center"/>
      <protection/>
    </xf>
    <xf numFmtId="4" fontId="7" fillId="0" borderId="27" xfId="0" applyNumberFormat="1" applyFont="1" applyFill="1" applyBorder="1" applyAlignment="1" applyProtection="1" quotePrefix="1">
      <alignment horizontal="center"/>
      <protection/>
    </xf>
    <xf numFmtId="173" fontId="7" fillId="0" borderId="27" xfId="0" applyNumberFormat="1" applyFont="1" applyBorder="1" applyAlignment="1" applyProtection="1" quotePrefix="1">
      <alignment horizontal="center"/>
      <protection/>
    </xf>
    <xf numFmtId="2" fontId="44" fillId="36" borderId="27" xfId="0" applyNumberFormat="1" applyFont="1" applyFill="1" applyBorder="1" applyAlignment="1" applyProtection="1">
      <alignment horizontal="center"/>
      <protection/>
    </xf>
    <xf numFmtId="2" fontId="82" fillId="44" borderId="27" xfId="0" applyNumberFormat="1" applyFont="1" applyFill="1" applyBorder="1" applyAlignment="1" applyProtection="1">
      <alignment horizontal="center"/>
      <protection/>
    </xf>
    <xf numFmtId="168" fontId="94" fillId="34" borderId="45" xfId="0" applyNumberFormat="1" applyFont="1" applyFill="1" applyBorder="1" applyAlignment="1" applyProtection="1" quotePrefix="1">
      <alignment horizontal="center"/>
      <protection/>
    </xf>
    <xf numFmtId="168" fontId="94" fillId="34" borderId="74" xfId="0" applyNumberFormat="1" applyFont="1" applyFill="1" applyBorder="1" applyAlignment="1" applyProtection="1" quotePrefix="1">
      <alignment horizontal="center"/>
      <protection/>
    </xf>
    <xf numFmtId="4" fontId="94" fillId="34" borderId="46" xfId="0" applyNumberFormat="1" applyFont="1" applyFill="1" applyBorder="1" applyAlignment="1" applyProtection="1">
      <alignment horizontal="center"/>
      <protection/>
    </xf>
    <xf numFmtId="168" fontId="44" fillId="45" borderId="45" xfId="0" applyNumberFormat="1" applyFont="1" applyFill="1" applyBorder="1" applyAlignment="1" applyProtection="1" quotePrefix="1">
      <alignment horizontal="center"/>
      <protection/>
    </xf>
    <xf numFmtId="168" fontId="44" fillId="45" borderId="74" xfId="0" applyNumberFormat="1" applyFont="1" applyFill="1" applyBorder="1" applyAlignment="1" applyProtection="1" quotePrefix="1">
      <alignment horizontal="center"/>
      <protection/>
    </xf>
    <xf numFmtId="4" fontId="44" fillId="45" borderId="46" xfId="0" applyNumberFormat="1" applyFont="1" applyFill="1" applyBorder="1" applyAlignment="1" applyProtection="1">
      <alignment horizontal="center"/>
      <protection/>
    </xf>
    <xf numFmtId="4" fontId="44" fillId="39" borderId="27" xfId="0" applyNumberFormat="1" applyFont="1" applyFill="1" applyBorder="1" applyAlignment="1" applyProtection="1">
      <alignment horizontal="center"/>
      <protection/>
    </xf>
    <xf numFmtId="4" fontId="44" fillId="46" borderId="27" xfId="0" applyNumberFormat="1" applyFont="1" applyFill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center"/>
      <protection/>
    </xf>
    <xf numFmtId="168" fontId="94" fillId="34" borderId="82" xfId="0" applyNumberFormat="1" applyFont="1" applyFill="1" applyBorder="1" applyAlignment="1" applyProtection="1" quotePrefix="1">
      <alignment horizontal="center"/>
      <protection/>
    </xf>
    <xf numFmtId="4" fontId="94" fillId="34" borderId="54" xfId="0" applyNumberFormat="1" applyFont="1" applyFill="1" applyBorder="1" applyAlignment="1" applyProtection="1">
      <alignment horizontal="center"/>
      <protection/>
    </xf>
    <xf numFmtId="168" fontId="44" fillId="45" borderId="82" xfId="0" applyNumberFormat="1" applyFont="1" applyFill="1" applyBorder="1" applyAlignment="1" applyProtection="1" quotePrefix="1">
      <alignment horizontal="center"/>
      <protection/>
    </xf>
    <xf numFmtId="4" fontId="44" fillId="45" borderId="54" xfId="0" applyNumberFormat="1" applyFont="1" applyFill="1" applyBorder="1" applyAlignment="1" applyProtection="1">
      <alignment horizontal="center"/>
      <protection/>
    </xf>
    <xf numFmtId="168" fontId="94" fillId="34" borderId="34" xfId="0" applyNumberFormat="1" applyFont="1" applyFill="1" applyBorder="1" applyAlignment="1" applyProtection="1" quotePrefix="1">
      <alignment horizontal="center"/>
      <protection/>
    </xf>
    <xf numFmtId="4" fontId="94" fillId="34" borderId="35" xfId="0" applyNumberFormat="1" applyFont="1" applyFill="1" applyBorder="1" applyAlignment="1" applyProtection="1">
      <alignment horizontal="center"/>
      <protection/>
    </xf>
    <xf numFmtId="168" fontId="44" fillId="45" borderId="34" xfId="0" applyNumberFormat="1" applyFont="1" applyFill="1" applyBorder="1" applyAlignment="1" applyProtection="1" quotePrefix="1">
      <alignment horizontal="center"/>
      <protection/>
    </xf>
    <xf numFmtId="4" fontId="44" fillId="45" borderId="35" xfId="0" applyNumberFormat="1" applyFont="1" applyFill="1" applyBorder="1" applyAlignment="1" applyProtection="1">
      <alignment horizontal="center"/>
      <protection/>
    </xf>
    <xf numFmtId="22" fontId="7" fillId="0" borderId="25" xfId="0" applyNumberFormat="1" applyFont="1" applyFill="1" applyBorder="1" applyAlignment="1">
      <alignment horizontal="center"/>
    </xf>
    <xf numFmtId="22" fontId="7" fillId="0" borderId="25" xfId="0" applyNumberFormat="1" applyFont="1" applyFill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right"/>
      <protection/>
    </xf>
    <xf numFmtId="0" fontId="0" fillId="47" borderId="38" xfId="0" applyFill="1" applyBorder="1" applyAlignment="1">
      <alignment/>
    </xf>
    <xf numFmtId="0" fontId="0" fillId="47" borderId="53" xfId="0" applyFill="1" applyBorder="1" applyAlignment="1">
      <alignment/>
    </xf>
    <xf numFmtId="0" fontId="7" fillId="0" borderId="53" xfId="0" applyFont="1" applyBorder="1" applyAlignment="1">
      <alignment/>
    </xf>
    <xf numFmtId="0" fontId="47" fillId="43" borderId="42" xfId="0" applyFont="1" applyFill="1" applyBorder="1" applyAlignment="1">
      <alignment horizontal="center"/>
    </xf>
    <xf numFmtId="0" fontId="47" fillId="43" borderId="43" xfId="0" applyFont="1" applyFill="1" applyBorder="1" applyAlignment="1">
      <alignment horizontal="center"/>
    </xf>
    <xf numFmtId="174" fontId="36" fillId="33" borderId="27" xfId="0" applyNumberFormat="1" applyFont="1" applyFill="1" applyBorder="1" applyAlignment="1" applyProtection="1">
      <alignment horizontal="center"/>
      <protection/>
    </xf>
    <xf numFmtId="0" fontId="0" fillId="47" borderId="27" xfId="0" applyFill="1" applyBorder="1" applyAlignment="1">
      <alignment/>
    </xf>
    <xf numFmtId="22" fontId="7" fillId="0" borderId="45" xfId="0" applyNumberFormat="1" applyFont="1" applyBorder="1" applyAlignment="1" applyProtection="1">
      <alignment horizontal="center"/>
      <protection locked="0"/>
    </xf>
    <xf numFmtId="22" fontId="7" fillId="0" borderId="57" xfId="0" applyNumberFormat="1" applyFont="1" applyBorder="1" applyAlignment="1" applyProtection="1">
      <alignment horizontal="center"/>
      <protection locked="0"/>
    </xf>
    <xf numFmtId="168" fontId="7" fillId="0" borderId="44" xfId="0" applyNumberFormat="1" applyFont="1" applyBorder="1" applyAlignment="1" applyProtection="1">
      <alignment horizontal="center"/>
      <protection locked="0"/>
    </xf>
    <xf numFmtId="173" fontId="7" fillId="0" borderId="44" xfId="0" applyNumberFormat="1" applyFont="1" applyBorder="1" applyAlignment="1" applyProtection="1" quotePrefix="1">
      <alignment horizontal="center"/>
      <protection/>
    </xf>
    <xf numFmtId="2" fontId="82" fillId="39" borderId="27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168" fontId="45" fillId="47" borderId="32" xfId="0" applyNumberFormat="1" applyFont="1" applyFill="1" applyBorder="1" applyAlignment="1" applyProtection="1" quotePrefix="1">
      <alignment horizontal="center"/>
      <protection/>
    </xf>
    <xf numFmtId="4" fontId="29" fillId="0" borderId="27" xfId="0" applyNumberFormat="1" applyFont="1" applyFill="1" applyBorder="1" applyAlignment="1">
      <alignment horizontal="right"/>
    </xf>
    <xf numFmtId="0" fontId="0" fillId="47" borderId="47" xfId="0" applyFill="1" applyBorder="1" applyAlignment="1">
      <alignment/>
    </xf>
    <xf numFmtId="0" fontId="0" fillId="0" borderId="83" xfId="0" applyBorder="1" applyAlignment="1">
      <alignment/>
    </xf>
    <xf numFmtId="168" fontId="45" fillId="47" borderId="83" xfId="0" applyNumberFormat="1" applyFont="1" applyFill="1" applyBorder="1" applyAlignment="1" applyProtection="1" quotePrefix="1">
      <alignment horizontal="center"/>
      <protection/>
    </xf>
    <xf numFmtId="0" fontId="12" fillId="0" borderId="68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174" fontId="36" fillId="33" borderId="12" xfId="0" applyNumberFormat="1" applyFont="1" applyFill="1" applyBorder="1" applyAlignment="1" applyProtection="1">
      <alignment horizontal="center"/>
      <protection/>
    </xf>
    <xf numFmtId="0" fontId="0" fillId="47" borderId="12" xfId="0" applyFill="1" applyBorder="1" applyAlignment="1">
      <alignment/>
    </xf>
    <xf numFmtId="22" fontId="7" fillId="0" borderId="33" xfId="0" applyNumberFormat="1" applyFont="1" applyBorder="1" applyAlignment="1" applyProtection="1">
      <alignment horizontal="center"/>
      <protection locked="0"/>
    </xf>
    <xf numFmtId="22" fontId="7" fillId="0" borderId="68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173" fontId="7" fillId="0" borderId="28" xfId="0" applyNumberFormat="1" applyFont="1" applyBorder="1" applyAlignment="1" applyProtection="1" quotePrefix="1">
      <alignment horizontal="center"/>
      <protection/>
    </xf>
    <xf numFmtId="164" fontId="36" fillId="33" borderId="60" xfId="0" applyNumberFormat="1" applyFont="1" applyFill="1" applyBorder="1" applyAlignment="1" applyProtection="1">
      <alignment horizontal="center"/>
      <protection/>
    </xf>
    <xf numFmtId="2" fontId="82" fillId="39" borderId="12" xfId="0" applyNumberFormat="1" applyFont="1" applyFill="1" applyBorder="1" applyAlignment="1" applyProtection="1">
      <alignment horizontal="center"/>
      <protection/>
    </xf>
    <xf numFmtId="168" fontId="47" fillId="43" borderId="48" xfId="0" applyNumberFormat="1" applyFont="1" applyFill="1" applyBorder="1" applyAlignment="1" applyProtection="1" quotePrefix="1">
      <alignment horizontal="center"/>
      <protection/>
    </xf>
    <xf numFmtId="168" fontId="47" fillId="43" borderId="49" xfId="0" applyNumberFormat="1" applyFont="1" applyFill="1" applyBorder="1" applyAlignment="1" applyProtection="1" quotePrefix="1">
      <alignment horizontal="center"/>
      <protection/>
    </xf>
    <xf numFmtId="168" fontId="50" fillId="37" borderId="47" xfId="0" applyNumberFormat="1" applyFont="1" applyFill="1" applyBorder="1" applyAlignment="1" applyProtection="1" quotePrefix="1">
      <alignment horizontal="center"/>
      <protection/>
    </xf>
    <xf numFmtId="0" fontId="0" fillId="0" borderId="60" xfId="0" applyBorder="1" applyAlignment="1">
      <alignment/>
    </xf>
    <xf numFmtId="4" fontId="29" fillId="0" borderId="12" xfId="0" applyNumberFormat="1" applyFont="1" applyFill="1" applyBorder="1" applyAlignment="1">
      <alignment horizontal="right"/>
    </xf>
    <xf numFmtId="0" fontId="114" fillId="0" borderId="17" xfId="0" applyFont="1" applyBorder="1" applyAlignment="1">
      <alignment horizontal="center"/>
    </xf>
    <xf numFmtId="7" fontId="13" fillId="0" borderId="18" xfId="0" applyNumberFormat="1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 applyProtection="1">
      <alignment horizontal="left"/>
      <protection/>
    </xf>
    <xf numFmtId="0" fontId="7" fillId="0" borderId="84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168" fontId="7" fillId="0" borderId="67" xfId="0" applyNumberFormat="1" applyFont="1" applyFill="1" applyBorder="1" applyAlignment="1" applyProtection="1">
      <alignment/>
      <protection/>
    </xf>
    <xf numFmtId="168" fontId="7" fillId="0" borderId="80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>
      <alignment/>
    </xf>
    <xf numFmtId="168" fontId="7" fillId="0" borderId="47" xfId="0" applyNumberFormat="1" applyFont="1" applyFill="1" applyBorder="1" applyAlignment="1" applyProtection="1">
      <alignment/>
      <protection/>
    </xf>
    <xf numFmtId="183" fontId="25" fillId="0" borderId="18" xfId="0" applyNumberFormat="1" applyFont="1" applyBorder="1" applyAlignment="1" applyProtection="1">
      <alignment horizontal="centerContinuous"/>
      <protection/>
    </xf>
    <xf numFmtId="168" fontId="25" fillId="0" borderId="17" xfId="0" applyNumberFormat="1" applyFont="1" applyBorder="1" applyAlignment="1" applyProtection="1">
      <alignment horizontal="center"/>
      <protection/>
    </xf>
    <xf numFmtId="0" fontId="7" fillId="0" borderId="27" xfId="53" applyFont="1" applyBorder="1" applyAlignment="1" applyProtection="1">
      <alignment horizontal="center"/>
      <protection locked="0"/>
    </xf>
    <xf numFmtId="7" fontId="25" fillId="0" borderId="17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15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Alignment="1">
      <alignment horizontal="centerContinuous"/>
    </xf>
    <xf numFmtId="0" fontId="117" fillId="0" borderId="0" xfId="0" applyFont="1" applyAlignment="1">
      <alignment horizontal="centerContinuous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22" fillId="0" borderId="22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7" fontId="27" fillId="0" borderId="23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118" fillId="0" borderId="16" xfId="0" applyFont="1" applyBorder="1" applyAlignment="1">
      <alignment vertical="center"/>
    </xf>
    <xf numFmtId="0" fontId="118" fillId="0" borderId="29" xfId="0" applyFont="1" applyBorder="1" applyAlignment="1">
      <alignment vertical="center"/>
    </xf>
    <xf numFmtId="0" fontId="118" fillId="0" borderId="11" xfId="0" applyFont="1" applyBorder="1" applyAlignment="1">
      <alignment vertical="center"/>
    </xf>
    <xf numFmtId="0" fontId="118" fillId="55" borderId="11" xfId="0" applyFont="1" applyFill="1" applyBorder="1" applyAlignment="1">
      <alignment vertical="center"/>
    </xf>
    <xf numFmtId="0" fontId="118" fillId="0" borderId="38" xfId="0" applyFont="1" applyBorder="1" applyAlignment="1">
      <alignment vertical="center"/>
    </xf>
    <xf numFmtId="0" fontId="118" fillId="0" borderId="10" xfId="0" applyFont="1" applyBorder="1" applyAlignment="1">
      <alignment vertical="center"/>
    </xf>
    <xf numFmtId="0" fontId="118" fillId="1" borderId="30" xfId="0" applyFont="1" applyFill="1" applyBorder="1" applyAlignment="1">
      <alignment horizontal="center" vertical="center"/>
    </xf>
    <xf numFmtId="0" fontId="118" fillId="1" borderId="11" xfId="0" applyFont="1" applyFill="1" applyBorder="1" applyAlignment="1">
      <alignment horizontal="center" vertical="center"/>
    </xf>
    <xf numFmtId="0" fontId="118" fillId="55" borderId="27" xfId="0" applyFont="1" applyFill="1" applyBorder="1" applyAlignment="1">
      <alignment horizontal="center" vertical="center"/>
    </xf>
    <xf numFmtId="0" fontId="118" fillId="0" borderId="53" xfId="0" applyFont="1" applyBorder="1" applyAlignment="1">
      <alignment vertical="center"/>
    </xf>
    <xf numFmtId="0" fontId="118" fillId="0" borderId="45" xfId="0" applyFont="1" applyBorder="1" applyAlignment="1">
      <alignment horizontal="center" vertical="center"/>
    </xf>
    <xf numFmtId="0" fontId="118" fillId="0" borderId="27" xfId="0" applyFont="1" applyBorder="1" applyAlignment="1">
      <alignment horizontal="center" vertical="center"/>
    </xf>
    <xf numFmtId="0" fontId="118" fillId="1" borderId="45" xfId="0" applyFont="1" applyFill="1" applyBorder="1" applyAlignment="1">
      <alignment horizontal="center" vertical="center"/>
    </xf>
    <xf numFmtId="0" fontId="118" fillId="1" borderId="27" xfId="0" applyFont="1" applyFill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0" borderId="47" xfId="0" applyFont="1" applyBorder="1" applyAlignment="1">
      <alignment horizontal="center" vertical="center"/>
    </xf>
    <xf numFmtId="0" fontId="118" fillId="55" borderId="47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right" vertical="center"/>
    </xf>
    <xf numFmtId="170" fontId="119" fillId="0" borderId="23" xfId="0" applyNumberFormat="1" applyFont="1" applyFill="1" applyBorder="1" applyAlignment="1">
      <alignment horizontal="center" vertical="center"/>
    </xf>
    <xf numFmtId="0" fontId="118" fillId="0" borderId="17" xfId="0" applyFont="1" applyFill="1" applyBorder="1" applyAlignment="1">
      <alignment horizontal="center" vertical="center"/>
    </xf>
    <xf numFmtId="0" fontId="118" fillId="0" borderId="24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vertical="center"/>
    </xf>
    <xf numFmtId="0" fontId="118" fillId="0" borderId="0" xfId="0" applyFont="1" applyBorder="1" applyAlignment="1">
      <alignment horizontal="right" vertical="center"/>
    </xf>
    <xf numFmtId="0" fontId="119" fillId="0" borderId="0" xfId="0" applyFont="1" applyBorder="1" applyAlignment="1">
      <alignment horizontal="right" vertical="center"/>
    </xf>
    <xf numFmtId="0" fontId="118" fillId="0" borderId="23" xfId="0" applyFont="1" applyBorder="1" applyAlignment="1">
      <alignment horizontal="center" vertical="center"/>
    </xf>
    <xf numFmtId="2" fontId="119" fillId="55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5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0" fillId="55" borderId="69" xfId="0" applyFont="1" applyFill="1" applyBorder="1" applyAlignment="1" applyProtection="1">
      <alignment horizontal="right"/>
      <protection/>
    </xf>
    <xf numFmtId="0" fontId="7" fillId="0" borderId="17" xfId="0" applyFont="1" applyBorder="1" applyAlignment="1">
      <alignment/>
    </xf>
    <xf numFmtId="0" fontId="7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8" xfId="0" applyBorder="1" applyAlignment="1">
      <alignment/>
    </xf>
    <xf numFmtId="0" fontId="2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108" fillId="0" borderId="0" xfId="0" applyFont="1" applyBorder="1" applyAlignment="1">
      <alignment horizontal="right"/>
    </xf>
    <xf numFmtId="7" fontId="10" fillId="0" borderId="0" xfId="0" applyNumberFormat="1" applyFont="1" applyFill="1" applyBorder="1" applyAlignment="1">
      <alignment horizontal="left"/>
    </xf>
    <xf numFmtId="0" fontId="118" fillId="1" borderId="85" xfId="0" applyFont="1" applyFill="1" applyBorder="1" applyAlignment="1">
      <alignment horizontal="center" vertical="center"/>
    </xf>
    <xf numFmtId="0" fontId="118" fillId="1" borderId="86" xfId="0" applyFont="1" applyFill="1" applyBorder="1" applyAlignment="1">
      <alignment horizontal="center" vertical="center"/>
    </xf>
    <xf numFmtId="0" fontId="118" fillId="55" borderId="86" xfId="0" applyFont="1" applyFill="1" applyBorder="1" applyAlignment="1">
      <alignment horizontal="center" vertical="center"/>
    </xf>
    <xf numFmtId="174" fontId="22" fillId="0" borderId="0" xfId="0" applyNumberFormat="1" applyFont="1" applyBorder="1" applyAlignment="1" applyProtection="1">
      <alignment horizontal="center"/>
      <protection/>
    </xf>
    <xf numFmtId="186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 quotePrefix="1">
      <alignment horizontal="center" vertical="center" wrapText="1"/>
      <protection/>
    </xf>
    <xf numFmtId="0" fontId="27" fillId="0" borderId="18" xfId="0" applyFont="1" applyBorder="1" applyAlignment="1" applyProtection="1" quotePrefix="1">
      <alignment horizontal="center" vertical="center" wrapText="1"/>
      <protection/>
    </xf>
    <xf numFmtId="0" fontId="7" fillId="0" borderId="6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8" fontId="107" fillId="0" borderId="0" xfId="0" applyNumberFormat="1" applyFont="1" applyBorder="1" applyAlignment="1" applyProtection="1">
      <alignment horizontal="left" vertical="center"/>
      <protection/>
    </xf>
    <xf numFmtId="0" fontId="7" fillId="0" borderId="79" xfId="0" applyFont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/>
    </xf>
    <xf numFmtId="168" fontId="7" fillId="0" borderId="79" xfId="0" applyNumberFormat="1" applyFont="1" applyBorder="1" applyAlignment="1" applyProtection="1">
      <alignment horizontal="center"/>
      <protection/>
    </xf>
    <xf numFmtId="168" fontId="7" fillId="0" borderId="80" xfId="0" applyNumberFormat="1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168" fontId="7" fillId="0" borderId="57" xfId="0" applyNumberFormat="1" applyFont="1" applyBorder="1" applyAlignment="1" applyProtection="1">
      <alignment horizontal="center"/>
      <protection/>
    </xf>
    <xf numFmtId="168" fontId="7" fillId="0" borderId="44" xfId="0" applyNumberFormat="1" applyFont="1" applyBorder="1" applyAlignment="1" applyProtection="1">
      <alignment horizontal="center"/>
      <protection/>
    </xf>
    <xf numFmtId="168" fontId="7" fillId="0" borderId="67" xfId="0" applyNumberFormat="1" applyFont="1" applyBorder="1" applyAlignment="1" applyProtection="1">
      <alignment horizontal="center"/>
      <protection/>
    </xf>
    <xf numFmtId="0" fontId="7" fillId="0" borderId="62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168" fontId="7" fillId="0" borderId="57" xfId="0" applyNumberFormat="1" applyFont="1" applyBorder="1" applyAlignment="1" applyProtection="1" quotePrefix="1">
      <alignment horizontal="center"/>
      <protection/>
    </xf>
    <xf numFmtId="168" fontId="7" fillId="0" borderId="32" xfId="0" applyNumberFormat="1" applyFont="1" applyBorder="1" applyAlignment="1" applyProtection="1" quotePrefix="1">
      <alignment horizontal="center"/>
      <protection/>
    </xf>
    <xf numFmtId="168" fontId="7" fillId="0" borderId="44" xfId="0" applyNumberFormat="1" applyFont="1" applyBorder="1" applyAlignment="1" applyProtection="1" quotePrefix="1">
      <alignment horizont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>
      <alignment horizontal="center"/>
    </xf>
    <xf numFmtId="164" fontId="7" fillId="0" borderId="79" xfId="0" applyNumberFormat="1" applyFont="1" applyBorder="1" applyAlignment="1" applyProtection="1">
      <alignment horizontal="center"/>
      <protection/>
    </xf>
    <xf numFmtId="164" fontId="7" fillId="0" borderId="80" xfId="0" applyNumberFormat="1" applyFont="1" applyBorder="1" applyAlignment="1" applyProtection="1">
      <alignment horizontal="center"/>
      <protection/>
    </xf>
    <xf numFmtId="164" fontId="7" fillId="0" borderId="57" xfId="0" applyNumberFormat="1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0" fontId="27" fillId="0" borderId="17" xfId="0" applyFont="1" applyFill="1" applyBorder="1" applyAlignment="1" applyProtection="1" quotePrefix="1">
      <alignment horizontal="center" vertical="center" wrapText="1"/>
      <protection/>
    </xf>
    <xf numFmtId="0" fontId="27" fillId="0" borderId="18" xfId="0" applyFont="1" applyFill="1" applyBorder="1" applyAlignment="1" applyProtection="1" quotePrefix="1">
      <alignment horizontal="center" vertical="center" wrapText="1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7" fontId="10" fillId="0" borderId="58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79" xfId="0" applyFont="1" applyBorder="1" applyAlignment="1" applyProtection="1">
      <alignment horizontal="center"/>
      <protection/>
    </xf>
    <xf numFmtId="0" fontId="12" fillId="0" borderId="80" xfId="0" applyFont="1" applyBorder="1" applyAlignment="1" applyProtection="1">
      <alignment horizont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64" xfId="0" applyFont="1" applyBorder="1" applyAlignment="1" applyProtection="1">
      <alignment horizontal="center"/>
      <protection/>
    </xf>
    <xf numFmtId="165" fontId="7" fillId="0" borderId="57" xfId="0" applyNumberFormat="1" applyFont="1" applyBorder="1" applyAlignment="1" applyProtection="1">
      <alignment horizontal="center"/>
      <protection/>
    </xf>
    <xf numFmtId="165" fontId="7" fillId="0" borderId="44" xfId="0" applyNumberFormat="1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0101 ANEXO I NEA" xfId="53"/>
    <cellStyle name="Normal_Comahue" xfId="54"/>
    <cellStyle name="Normal_EDENOR9604" xfId="55"/>
    <cellStyle name="Normal_líneas" xfId="56"/>
    <cellStyle name="Normal_PAFTT Anexo 28" xfId="57"/>
    <cellStyle name="Normal_TRAN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19050</xdr:rowOff>
    </xdr:from>
    <xdr:to>
      <xdr:col>0</xdr:col>
      <xdr:colOff>962025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19050</xdr:rowOff>
    </xdr:from>
    <xdr:to>
      <xdr:col>0</xdr:col>
      <xdr:colOff>1095375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1152525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590550</xdr:colOff>
      <xdr:row>0</xdr:row>
      <xdr:rowOff>19050</xdr:rowOff>
    </xdr:from>
    <xdr:to>
      <xdr:col>0</xdr:col>
      <xdr:colOff>1095375</xdr:colOff>
      <xdr:row>2</xdr:row>
      <xdr:rowOff>381000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905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9525</xdr:rowOff>
    </xdr:from>
    <xdr:to>
      <xdr:col>1</xdr:col>
      <xdr:colOff>285750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EXCEL\Transener_V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L RIOJ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T COBR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RE-Res.01_03"/>
      <sheetName val="MODELO R YACYLEC"/>
      <sheetName val="MODELO R LITSA"/>
      <sheetName val="MODELO R IV"/>
      <sheetName val="MODELO R LIMSA"/>
      <sheetName val="MODELO VST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SUP-RIOJA"/>
      <sheetName val="SUP-COBRA"/>
      <sheetName val="DAG"/>
      <sheetName val="DATO"/>
      <sheetName val="CONDICIONES CLIMATICAS 313"/>
      <sheetName val="RES 142-94 AISL"/>
      <sheetName val="TIEMPOS ET"/>
      <sheetName val="LI (C CLIMA EN ET)"/>
      <sheetName val="REACT (C CLIMA EN  ET)"/>
      <sheetName val="CONDICIONES CLIMATICAS 313-01"/>
      <sheetName val="ATENTADO 313-01 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T20">
            <v>1</v>
          </cell>
          <cell r="GZ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D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C27">
            <v>2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V28">
            <v>1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Z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T46" t="str">
            <v>XXXX</v>
          </cell>
          <cell r="GU46" t="str">
            <v>XXXX</v>
          </cell>
          <cell r="GV46" t="str">
            <v>XXXX</v>
          </cell>
          <cell r="GW46" t="str">
            <v>XXXX</v>
          </cell>
          <cell r="GX46" t="str">
            <v>XXXX</v>
          </cell>
          <cell r="GY46" t="str">
            <v>XXXX</v>
          </cell>
          <cell r="GZ46" t="str">
            <v>XXXX</v>
          </cell>
          <cell r="HA46" t="str">
            <v>XXXX</v>
          </cell>
          <cell r="HB46" t="str">
            <v>XXXX</v>
          </cell>
          <cell r="HC46" t="str">
            <v>XXXX</v>
          </cell>
          <cell r="HD46" t="str">
            <v>XXXX</v>
          </cell>
          <cell r="HE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Z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HD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B51">
            <v>1</v>
          </cell>
          <cell r="HD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Z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T54" t="str">
            <v>XXXX</v>
          </cell>
          <cell r="GU54" t="str">
            <v>XXXX</v>
          </cell>
          <cell r="GV54" t="str">
            <v>XXXX</v>
          </cell>
          <cell r="GW54" t="str">
            <v>XXXX</v>
          </cell>
          <cell r="GX54" t="str">
            <v>XXXX</v>
          </cell>
          <cell r="GY54" t="str">
            <v>XXXX</v>
          </cell>
          <cell r="GZ54" t="str">
            <v>XXXX</v>
          </cell>
          <cell r="HA54" t="str">
            <v>XXXX</v>
          </cell>
          <cell r="HB54" t="str">
            <v>XXXX</v>
          </cell>
          <cell r="HC54" t="str">
            <v>XXXX</v>
          </cell>
          <cell r="HD54" t="str">
            <v>XXXX</v>
          </cell>
          <cell r="HE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T57" t="str">
            <v>XXXX</v>
          </cell>
          <cell r="GU57" t="str">
            <v>XXXX</v>
          </cell>
          <cell r="GV57" t="str">
            <v>XXXX</v>
          </cell>
          <cell r="GW57" t="str">
            <v>XXXX</v>
          </cell>
          <cell r="GX57" t="str">
            <v>XXXX</v>
          </cell>
          <cell r="GY57" t="str">
            <v>XXXX</v>
          </cell>
          <cell r="GZ57" t="str">
            <v>XXXX</v>
          </cell>
          <cell r="HA57" t="str">
            <v>XXXX</v>
          </cell>
          <cell r="HB57" t="str">
            <v>XXXX</v>
          </cell>
          <cell r="HC57" t="str">
            <v>XXXX</v>
          </cell>
          <cell r="HD57" t="str">
            <v>XXXX</v>
          </cell>
          <cell r="HE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Z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T61" t="str">
            <v>XXXX</v>
          </cell>
          <cell r="GU61" t="str">
            <v>XXXX</v>
          </cell>
          <cell r="GV61" t="str">
            <v>XXXX</v>
          </cell>
          <cell r="GW61" t="str">
            <v>XXXX</v>
          </cell>
          <cell r="GX61" t="str">
            <v>XXXX</v>
          </cell>
          <cell r="GY61" t="str">
            <v>XXXX</v>
          </cell>
          <cell r="GZ61" t="str">
            <v>XXXX</v>
          </cell>
          <cell r="HA61" t="str">
            <v>XXXX</v>
          </cell>
          <cell r="HB61" t="str">
            <v>XXXX</v>
          </cell>
          <cell r="HC61" t="str">
            <v>XXXX</v>
          </cell>
          <cell r="HD61" t="str">
            <v>XXXX</v>
          </cell>
          <cell r="HE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GU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GU64">
            <v>1</v>
          </cell>
          <cell r="HB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GZ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GT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GT73">
            <v>1</v>
          </cell>
          <cell r="HC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HC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GX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GT89" t="str">
            <v>XXXX</v>
          </cell>
          <cell r="GU89" t="str">
            <v>XXXX</v>
          </cell>
          <cell r="GV89" t="str">
            <v>XXXX</v>
          </cell>
          <cell r="GW89" t="str">
            <v>XXXX</v>
          </cell>
          <cell r="GX89" t="str">
            <v>XXXX</v>
          </cell>
          <cell r="GY89" t="str">
            <v>XXXX</v>
          </cell>
          <cell r="GZ89" t="str">
            <v>XXXX</v>
          </cell>
          <cell r="HA89" t="str">
            <v>XXXX</v>
          </cell>
          <cell r="HB89" t="str">
            <v>XXXX</v>
          </cell>
          <cell r="HC89" t="str">
            <v>XXXX</v>
          </cell>
          <cell r="HD89" t="str">
            <v>XXXX</v>
          </cell>
          <cell r="HE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D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  <cell r="GW95">
            <v>1</v>
          </cell>
        </row>
        <row r="104">
          <cell r="GT104">
            <v>0.65</v>
          </cell>
          <cell r="GU104">
            <v>0.63</v>
          </cell>
          <cell r="GV104">
            <v>0.64</v>
          </cell>
          <cell r="GW104">
            <v>0.61</v>
          </cell>
          <cell r="GX104">
            <v>0.59</v>
          </cell>
          <cell r="GY104">
            <v>0.54</v>
          </cell>
          <cell r="GZ104">
            <v>0.44</v>
          </cell>
          <cell r="HA104">
            <v>0.45</v>
          </cell>
          <cell r="HB104">
            <v>0.43</v>
          </cell>
          <cell r="HC104">
            <v>0.38</v>
          </cell>
          <cell r="HD104">
            <v>0.28</v>
          </cell>
          <cell r="HE104">
            <v>0.32</v>
          </cell>
          <cell r="HF104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7"/>
  <sheetViews>
    <sheetView zoomScale="70" zoomScaleNormal="70" zoomScalePageLayoutView="0" workbookViewId="0" topLeftCell="A1">
      <selection activeCell="G9" sqref="G9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21.0039062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815"/>
      <c r="B1" s="19"/>
      <c r="E1" s="54"/>
      <c r="K1" s="144"/>
    </row>
    <row r="2" spans="2:10" s="18" customFormat="1" ht="26.25">
      <c r="B2" s="19" t="s">
        <v>421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62</v>
      </c>
      <c r="C7" s="166"/>
      <c r="D7" s="167"/>
      <c r="E7" s="167"/>
      <c r="F7" s="168"/>
      <c r="G7" s="168"/>
      <c r="H7" s="168"/>
      <c r="I7" s="168"/>
      <c r="J7" s="168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61</v>
      </c>
      <c r="C9" s="166"/>
      <c r="D9" s="167"/>
      <c r="E9" s="167"/>
      <c r="F9" s="167"/>
      <c r="G9" s="167"/>
      <c r="H9" s="167"/>
      <c r="I9" s="168"/>
      <c r="J9" s="168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403</v>
      </c>
      <c r="C11" s="169"/>
      <c r="D11" s="170"/>
      <c r="E11" s="170"/>
      <c r="F11" s="167"/>
      <c r="G11" s="167"/>
      <c r="H11" s="167"/>
      <c r="I11" s="168"/>
      <c r="J11" s="168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94"/>
      <c r="C13" s="34"/>
      <c r="D13" s="34"/>
      <c r="E13" s="795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283</v>
      </c>
      <c r="C14" s="38"/>
      <c r="D14" s="39"/>
      <c r="E14" s="796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0"/>
      <c r="E15" s="164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60" t="s">
        <v>0</v>
      </c>
      <c r="E16" s="164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0">
        <v>11</v>
      </c>
      <c r="E17" s="161" t="s">
        <v>4</v>
      </c>
      <c r="F17" s="46"/>
      <c r="G17" s="46"/>
      <c r="H17" s="46"/>
      <c r="I17" s="49">
        <f>'LI-02 (1)'!AE43</f>
        <v>19787.2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0">
        <v>12</v>
      </c>
      <c r="E18" s="161" t="s">
        <v>217</v>
      </c>
      <c r="F18" s="46"/>
      <c r="G18" s="46"/>
      <c r="H18" s="46"/>
      <c r="I18" s="49">
        <f>'LI-INTESAR-02 (1)'!AE41</f>
        <v>275.65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0"/>
      <c r="E19" s="932"/>
      <c r="F19" s="933"/>
      <c r="G19" s="933"/>
      <c r="H19" s="933"/>
      <c r="I19" s="934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5</v>
      </c>
      <c r="D20" s="163" t="s">
        <v>6</v>
      </c>
      <c r="E20" s="935"/>
      <c r="F20" s="930"/>
      <c r="G20" s="930"/>
      <c r="H20" s="930"/>
      <c r="I20" s="931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0">
        <v>21</v>
      </c>
      <c r="E21" s="929" t="s">
        <v>7</v>
      </c>
      <c r="F21" s="930"/>
      <c r="G21" s="930"/>
      <c r="H21" s="930"/>
      <c r="I21" s="931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0"/>
      <c r="E22" s="936">
        <v>211</v>
      </c>
      <c r="F22" s="937" t="s">
        <v>4</v>
      </c>
      <c r="G22" s="930"/>
      <c r="H22" s="930"/>
      <c r="I22" s="931">
        <f>'TR-02 (1)'!AC43</f>
        <v>11324.32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0"/>
      <c r="E23" s="936">
        <v>212</v>
      </c>
      <c r="F23" s="937" t="s">
        <v>64</v>
      </c>
      <c r="G23" s="930"/>
      <c r="H23" s="930"/>
      <c r="I23" s="931">
        <f>'TR-ENECOR-02 (1)'!AC41</f>
        <v>2759.99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0">
        <v>22</v>
      </c>
      <c r="E24" s="161" t="s">
        <v>8</v>
      </c>
      <c r="F24" s="46"/>
      <c r="G24" s="46"/>
      <c r="H24" s="46"/>
      <c r="I24" s="49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0"/>
      <c r="E25" s="162">
        <v>221</v>
      </c>
      <c r="F25" s="54" t="s">
        <v>4</v>
      </c>
      <c r="G25" s="46"/>
      <c r="H25" s="46"/>
      <c r="I25" s="49">
        <f>'SA-02 (1)'!V45</f>
        <v>7348.62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0"/>
      <c r="E26" s="162">
        <v>222</v>
      </c>
      <c r="F26" s="54" t="s">
        <v>68</v>
      </c>
      <c r="G26" s="46"/>
      <c r="H26" s="46"/>
      <c r="I26" s="49">
        <f>'SA-TIBA-02 (1)'!V43</f>
        <v>3601.76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0"/>
      <c r="E27" s="162">
        <v>223</v>
      </c>
      <c r="F27" s="54" t="s">
        <v>349</v>
      </c>
      <c r="G27" s="46"/>
      <c r="H27" s="46"/>
      <c r="I27" s="49">
        <f>'SA-LINSA (1)'!V45</f>
        <v>7808.35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ht="12.75" customHeight="1">
      <c r="B28" s="50"/>
      <c r="C28" s="51"/>
      <c r="D28" s="160"/>
      <c r="E28" s="797"/>
      <c r="F28" s="52"/>
      <c r="G28" s="52"/>
      <c r="H28" s="52"/>
      <c r="I28" s="53"/>
      <c r="J28" s="6"/>
      <c r="K28" s="43"/>
      <c r="L28" s="4"/>
      <c r="M28" s="4"/>
      <c r="N28" s="4"/>
      <c r="O28" s="4"/>
      <c r="P28" s="4"/>
      <c r="Q28" s="4"/>
      <c r="R28" s="4"/>
      <c r="S28" s="4"/>
    </row>
    <row r="29" spans="2:19" s="36" customFormat="1" ht="19.5">
      <c r="B29" s="44"/>
      <c r="C29" s="48" t="s">
        <v>9</v>
      </c>
      <c r="D29" s="163" t="s">
        <v>65</v>
      </c>
      <c r="E29" s="164"/>
      <c r="F29" s="46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60">
        <v>31</v>
      </c>
      <c r="E30" s="161" t="s">
        <v>4</v>
      </c>
      <c r="F30" s="46"/>
      <c r="G30" s="46"/>
      <c r="H30" s="46"/>
      <c r="I30" s="49">
        <f>'RE-02 (1)'!Z42</f>
        <v>136561.77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60">
        <v>32</v>
      </c>
      <c r="E31" s="161" t="s">
        <v>63</v>
      </c>
      <c r="F31" s="46"/>
      <c r="G31" s="46"/>
      <c r="H31" s="46"/>
      <c r="I31" s="49">
        <f>'RE-YACY-02 (1)'!Z43</f>
        <v>1190.76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2.75" customHeight="1">
      <c r="B32" s="44"/>
      <c r="C32" s="48"/>
      <c r="D32" s="160"/>
      <c r="E32" s="161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 t="s">
        <v>66</v>
      </c>
      <c r="D33" s="163" t="s">
        <v>67</v>
      </c>
      <c r="E33" s="164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60">
        <v>41</v>
      </c>
      <c r="E34" s="161" t="s">
        <v>217</v>
      </c>
      <c r="F34" s="46"/>
      <c r="G34" s="46"/>
      <c r="H34" s="46"/>
      <c r="I34" s="49">
        <f>'SUP-INTESAR'!K77</f>
        <v>195.0813705870353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160">
        <v>42</v>
      </c>
      <c r="E35" s="161" t="s">
        <v>362</v>
      </c>
      <c r="F35" s="46"/>
      <c r="G35" s="46"/>
      <c r="H35" s="46"/>
      <c r="I35" s="49">
        <f>'SUP-LINSA'!K78</f>
        <v>3120.88905408008</v>
      </c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60">
        <v>43</v>
      </c>
      <c r="E36" s="161" t="s">
        <v>68</v>
      </c>
      <c r="F36" s="46"/>
      <c r="G36" s="46"/>
      <c r="H36" s="46"/>
      <c r="I36" s="49">
        <f>'SUP-TIBA'!J67</f>
        <v>907.7756742666248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60">
        <v>44</v>
      </c>
      <c r="E37" s="161" t="s">
        <v>64</v>
      </c>
      <c r="F37" s="46"/>
      <c r="G37" s="46"/>
      <c r="H37" s="46"/>
      <c r="I37" s="49">
        <f>'SUP-ENECOR'!J63</f>
        <v>704.1655410091072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60">
        <v>45</v>
      </c>
      <c r="E38" s="161" t="s">
        <v>63</v>
      </c>
      <c r="F38" s="46"/>
      <c r="G38" s="46"/>
      <c r="H38" s="46"/>
      <c r="I38" s="49">
        <f>'SUP-YACYLEC'!K79</f>
        <v>4539.634995185964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1.25" customHeight="1">
      <c r="B39" s="44"/>
      <c r="C39" s="48"/>
      <c r="D39" s="160"/>
      <c r="E39" s="161"/>
      <c r="F39" s="46"/>
      <c r="G39" s="46"/>
      <c r="H39" s="828"/>
      <c r="I39" s="49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 customHeight="1" thickBot="1">
      <c r="B40" s="44"/>
      <c r="C40" s="45"/>
      <c r="D40" s="160"/>
      <c r="E40" s="164"/>
      <c r="F40" s="46"/>
      <c r="G40" s="46"/>
      <c r="H40" s="46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20.25" thickBot="1" thickTop="1">
      <c r="B41" s="44"/>
      <c r="C41" s="48"/>
      <c r="D41" s="48"/>
      <c r="F41" s="55" t="s">
        <v>10</v>
      </c>
      <c r="G41" s="56">
        <f>SUM(I17:I38)</f>
        <v>200125.96663512883</v>
      </c>
      <c r="H41" s="944"/>
      <c r="I41" s="829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9.75" customHeight="1" thickTop="1">
      <c r="B42" s="44"/>
      <c r="C42" s="48"/>
      <c r="D42" s="48"/>
      <c r="F42" s="159"/>
      <c r="G42" s="125"/>
      <c r="H42" s="125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8.75" customHeight="1">
      <c r="B43" s="44"/>
      <c r="C43" s="956" t="s">
        <v>368</v>
      </c>
      <c r="D43" s="48"/>
      <c r="F43" s="159"/>
      <c r="G43" s="125"/>
      <c r="H43" s="125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8.75">
      <c r="B44" s="44"/>
      <c r="C44" s="165" t="s">
        <v>420</v>
      </c>
      <c r="D44" s="48"/>
      <c r="F44" s="159"/>
      <c r="G44" s="125"/>
      <c r="H44" s="125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8.75">
      <c r="B45" s="44"/>
      <c r="C45" s="165" t="s">
        <v>404</v>
      </c>
      <c r="D45" s="48"/>
      <c r="F45" s="159"/>
      <c r="G45" s="125"/>
      <c r="H45" s="125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2" customFormat="1" ht="10.5" customHeight="1" thickBot="1">
      <c r="B46" s="57"/>
      <c r="C46" s="58"/>
      <c r="D46" s="58"/>
      <c r="E46" s="59"/>
      <c r="F46" s="59"/>
      <c r="G46" s="59"/>
      <c r="H46" s="59"/>
      <c r="I46" s="59"/>
      <c r="J46" s="60"/>
      <c r="K46" s="33"/>
      <c r="L46" s="33"/>
      <c r="M46" s="61"/>
      <c r="N46" s="62"/>
      <c r="O46" s="62"/>
      <c r="P46" s="63"/>
      <c r="Q46" s="64"/>
      <c r="R46" s="33"/>
      <c r="S46" s="33"/>
    </row>
    <row r="47" spans="4:19" ht="13.5" thickTop="1">
      <c r="D47" s="4"/>
      <c r="F47" s="4"/>
      <c r="G47" s="4"/>
      <c r="H47" s="4"/>
      <c r="I47" s="4"/>
      <c r="J47" s="4"/>
      <c r="K47" s="4"/>
      <c r="L47" s="4"/>
      <c r="M47" s="15"/>
      <c r="N47" s="65"/>
      <c r="O47" s="65"/>
      <c r="P47" s="4"/>
      <c r="Q47" s="66"/>
      <c r="R47" s="4"/>
      <c r="S47" s="4"/>
    </row>
    <row r="48" spans="4:19" ht="12.75">
      <c r="D48" s="4"/>
      <c r="F48" s="4"/>
      <c r="G48" s="4"/>
      <c r="H48" s="4"/>
      <c r="I48" s="4"/>
      <c r="J48" s="4"/>
      <c r="K48" s="4"/>
      <c r="L48" s="4"/>
      <c r="M48" s="4"/>
      <c r="N48" s="67"/>
      <c r="O48" s="67"/>
      <c r="P48" s="68"/>
      <c r="Q48" s="66"/>
      <c r="R48" s="4"/>
      <c r="S48" s="4"/>
    </row>
    <row r="49" spans="4:19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67"/>
      <c r="O49" s="67"/>
      <c r="P49" s="68"/>
      <c r="Q49" s="66"/>
      <c r="R49" s="4"/>
      <c r="S49" s="4"/>
    </row>
    <row r="50" spans="4:19" ht="12.75">
      <c r="D50" s="4"/>
      <c r="E50" s="4"/>
      <c r="L50" s="4"/>
      <c r="M50" s="4"/>
      <c r="N50" s="4"/>
      <c r="O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16:19" ht="12.75">
      <c r="P56" s="4"/>
      <c r="Q56" s="4"/>
      <c r="R56" s="4"/>
      <c r="S56" s="4"/>
    </row>
    <row r="57" spans="16:19" ht="12.75">
      <c r="P57" s="4"/>
      <c r="Q57" s="4"/>
      <c r="R57" s="4"/>
      <c r="S57" s="4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7" r:id="rId2"/>
  <headerFooter alignWithMargins="0">
    <oddFooter>&amp;L&amp;"Times New Roman,Normal"&amp;7&amp;F-&amp;A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AC157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7.2812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5" t="str">
        <f>+'TOT-0211'!B2</f>
        <v>ANEXO III al Memorándum D.T.E.E. N°  1088 /2012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84</v>
      </c>
      <c r="G8" s="396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7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85</v>
      </c>
      <c r="H10" s="398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87</v>
      </c>
      <c r="H12" s="398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'TOT-0211'!B14</f>
        <v>Desde el 01 al 28 de febrero de 2011</v>
      </c>
      <c r="C14" s="40"/>
      <c r="D14" s="40"/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399"/>
      <c r="S14" s="399"/>
      <c r="T14" s="399"/>
      <c r="U14" s="399"/>
      <c r="V14" s="399"/>
      <c r="W14" s="399"/>
      <c r="X14" s="399"/>
      <c r="Y14" s="399"/>
      <c r="Z14" s="399"/>
      <c r="AA14" s="401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76</v>
      </c>
      <c r="G16" s="402"/>
      <c r="H16" s="252">
        <v>0.319</v>
      </c>
      <c r="I16" s="350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3" t="s">
        <v>25</v>
      </c>
      <c r="G17" s="404"/>
      <c r="H17" s="826">
        <v>20</v>
      </c>
      <c r="I17" s="350"/>
      <c r="J17"/>
      <c r="K17" s="199"/>
      <c r="L17" s="200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27">
        <v>3</v>
      </c>
      <c r="D18" s="927">
        <v>4</v>
      </c>
      <c r="E18" s="927">
        <v>5</v>
      </c>
      <c r="F18" s="927">
        <v>6</v>
      </c>
      <c r="G18" s="927">
        <v>7</v>
      </c>
      <c r="H18" s="927">
        <v>8</v>
      </c>
      <c r="I18" s="927">
        <v>9</v>
      </c>
      <c r="J18" s="927">
        <v>10</v>
      </c>
      <c r="K18" s="927">
        <v>11</v>
      </c>
      <c r="L18" s="927">
        <v>12</v>
      </c>
      <c r="M18" s="927">
        <v>13</v>
      </c>
      <c r="N18" s="927">
        <v>14</v>
      </c>
      <c r="O18" s="927">
        <v>15</v>
      </c>
      <c r="P18" s="927">
        <v>16</v>
      </c>
      <c r="Q18" s="927">
        <v>17</v>
      </c>
      <c r="R18" s="927">
        <v>18</v>
      </c>
      <c r="S18" s="927">
        <v>19</v>
      </c>
      <c r="T18" s="927">
        <v>20</v>
      </c>
      <c r="U18" s="927">
        <v>21</v>
      </c>
      <c r="V18" s="927">
        <v>22</v>
      </c>
      <c r="W18" s="927">
        <v>23</v>
      </c>
      <c r="X18" s="927">
        <v>24</v>
      </c>
      <c r="Y18" s="927">
        <v>25</v>
      </c>
      <c r="Z18" s="927">
        <v>26</v>
      </c>
      <c r="AA18" s="6"/>
    </row>
    <row r="19" spans="2:27" s="5" customFormat="1" ht="33.75" customHeight="1" thickBot="1" thickTop="1">
      <c r="B19" s="50"/>
      <c r="C19" s="123" t="s">
        <v>12</v>
      </c>
      <c r="D19" s="84" t="s">
        <v>225</v>
      </c>
      <c r="E19" s="84" t="s">
        <v>226</v>
      </c>
      <c r="F19" s="86" t="s">
        <v>26</v>
      </c>
      <c r="G19" s="85" t="s">
        <v>27</v>
      </c>
      <c r="H19" s="406" t="s">
        <v>224</v>
      </c>
      <c r="I19" s="129" t="s">
        <v>15</v>
      </c>
      <c r="J19" s="85" t="s">
        <v>16</v>
      </c>
      <c r="K19" s="85" t="s">
        <v>17</v>
      </c>
      <c r="L19" s="86" t="s">
        <v>35</v>
      </c>
      <c r="M19" s="86" t="s">
        <v>30</v>
      </c>
      <c r="N19" s="88" t="s">
        <v>18</v>
      </c>
      <c r="O19" s="88" t="s">
        <v>57</v>
      </c>
      <c r="P19" s="85" t="s">
        <v>31</v>
      </c>
      <c r="Q19" s="129" t="s">
        <v>36</v>
      </c>
      <c r="R19" s="407" t="s">
        <v>70</v>
      </c>
      <c r="S19" s="408" t="s">
        <v>220</v>
      </c>
      <c r="T19" s="409"/>
      <c r="U19" s="256" t="s">
        <v>221</v>
      </c>
      <c r="V19" s="257"/>
      <c r="W19" s="410" t="s">
        <v>21</v>
      </c>
      <c r="X19" s="255" t="s">
        <v>20</v>
      </c>
      <c r="Y19" s="132" t="s">
        <v>74</v>
      </c>
      <c r="Z19" s="411" t="s">
        <v>23</v>
      </c>
      <c r="AA19" s="6"/>
    </row>
    <row r="20" spans="2:27" s="5" customFormat="1" ht="16.5" customHeight="1" thickTop="1">
      <c r="B20" s="50"/>
      <c r="C20" s="260"/>
      <c r="D20" s="260"/>
      <c r="E20" s="260"/>
      <c r="F20" s="413"/>
      <c r="G20" s="413"/>
      <c r="H20" s="413"/>
      <c r="I20" s="331"/>
      <c r="J20" s="414"/>
      <c r="K20" s="414"/>
      <c r="L20" s="412"/>
      <c r="M20" s="412"/>
      <c r="N20" s="413"/>
      <c r="O20" s="180"/>
      <c r="P20" s="412"/>
      <c r="Q20" s="415"/>
      <c r="R20" s="416"/>
      <c r="S20" s="417"/>
      <c r="T20" s="418"/>
      <c r="U20" s="269"/>
      <c r="V20" s="270"/>
      <c r="W20" s="419"/>
      <c r="X20" s="419"/>
      <c r="Y20" s="420"/>
      <c r="Z20" s="421"/>
      <c r="AA20" s="6"/>
    </row>
    <row r="21" spans="2:27" s="5" customFormat="1" ht="16.5" customHeight="1">
      <c r="B21" s="50"/>
      <c r="C21" s="274"/>
      <c r="D21" s="274"/>
      <c r="E21" s="274"/>
      <c r="F21" s="422"/>
      <c r="G21" s="423"/>
      <c r="H21" s="424"/>
      <c r="I21" s="425"/>
      <c r="J21" s="426"/>
      <c r="K21" s="427"/>
      <c r="L21" s="428"/>
      <c r="M21" s="429"/>
      <c r="N21" s="430"/>
      <c r="O21" s="181"/>
      <c r="P21" s="431"/>
      <c r="Q21" s="432"/>
      <c r="R21" s="433"/>
      <c r="S21" s="434"/>
      <c r="T21" s="435"/>
      <c r="U21" s="283"/>
      <c r="V21" s="284"/>
      <c r="W21" s="436"/>
      <c r="X21" s="436"/>
      <c r="Y21" s="431"/>
      <c r="Z21" s="437"/>
      <c r="AA21" s="6"/>
    </row>
    <row r="22" spans="2:27" s="5" customFormat="1" ht="16.5" customHeight="1">
      <c r="B22" s="50"/>
      <c r="C22" s="274">
        <v>47</v>
      </c>
      <c r="D22" s="274">
        <v>231565</v>
      </c>
      <c r="E22" s="152">
        <v>668</v>
      </c>
      <c r="F22" s="438" t="s">
        <v>350</v>
      </c>
      <c r="G22" s="376" t="s">
        <v>351</v>
      </c>
      <c r="H22" s="439">
        <v>80</v>
      </c>
      <c r="I22" s="291">
        <f aca="true" t="shared" si="0" ref="I22:I41">H22*$H$16</f>
        <v>25.52</v>
      </c>
      <c r="J22" s="378">
        <v>40589.32361111111</v>
      </c>
      <c r="K22" s="185">
        <v>40589.55625</v>
      </c>
      <c r="L22" s="379">
        <f aca="true" t="shared" si="1" ref="L22:L41">IF(F22="","",(K22-J22)*24)</f>
        <v>5.583333333372138</v>
      </c>
      <c r="M22" s="380">
        <f aca="true" t="shared" si="2" ref="M22:M41">IF(F22="","",ROUND((K22-J22)*24*60,0))</f>
        <v>335</v>
      </c>
      <c r="N22" s="220" t="s">
        <v>286</v>
      </c>
      <c r="O22" s="516" t="str">
        <f aca="true" t="shared" si="3" ref="O22:O41">IF(F22="","","--")</f>
        <v>--</v>
      </c>
      <c r="P22" s="221" t="str">
        <f aca="true" t="shared" si="4" ref="P22:P41">IF(F22="","",IF(OR(N22="P",N22="RP"),"--","NO"))</f>
        <v>--</v>
      </c>
      <c r="Q22" s="899">
        <f aca="true" t="shared" si="5" ref="Q22:Q41">IF(OR(N22="P",N22="RP"),$H$17/10,$H$17)</f>
        <v>2</v>
      </c>
      <c r="R22" s="900">
        <f aca="true" t="shared" si="6" ref="R22:R41">IF(N22="P",I22*Q22*ROUND(M22/60,2),"--")</f>
        <v>284.8032</v>
      </c>
      <c r="S22" s="434" t="str">
        <f aca="true" t="shared" si="7" ref="S22:S41">IF(AND(N22="F",P22="NO"),I22*Q22,"--")</f>
        <v>--</v>
      </c>
      <c r="T22" s="435" t="str">
        <f aca="true" t="shared" si="8" ref="T22:T41">IF(N22="F",I22*Q22*ROUND(M22/60,2),"--")</f>
        <v>--</v>
      </c>
      <c r="U22" s="298" t="str">
        <f aca="true" t="shared" si="9" ref="U22:U41">IF(AND(N22="R",P22="NO"),I22*Q22*O22/100,"--")</f>
        <v>--</v>
      </c>
      <c r="V22" s="299" t="str">
        <f aca="true" t="shared" si="10" ref="V22:V41">IF(N22="R",I22*Q22*O22/100*ROUND(M22/60,2),"--")</f>
        <v>--</v>
      </c>
      <c r="W22" s="436" t="str">
        <f aca="true" t="shared" si="11" ref="W22:W41">IF(N22="RF",I22*Q22*ROUND(M22/60,2),"--")</f>
        <v>--</v>
      </c>
      <c r="X22" s="896" t="str">
        <f aca="true" t="shared" si="12" ref="X22:X41">IF(N22="RP",I22*Q22*O22/100*ROUND(M22/60,2),"--")</f>
        <v>--</v>
      </c>
      <c r="Y22" s="221" t="str">
        <f aca="true" t="shared" si="13" ref="Y22:Y41">IF(F22="","","SI")</f>
        <v>SI</v>
      </c>
      <c r="Z22" s="381">
        <f aca="true" t="shared" si="14" ref="Z22:Z41">IF(F22="","",SUM(R22:X22)*IF(Y22="SI",1,2)*IF(AND(O22&lt;&gt;"--",N22="RF"),O22/100,1))</f>
        <v>284.8032</v>
      </c>
      <c r="AA22" s="6"/>
    </row>
    <row r="23" spans="2:27" s="5" customFormat="1" ht="16.5" customHeight="1">
      <c r="B23" s="50"/>
      <c r="C23" s="274">
        <v>48</v>
      </c>
      <c r="D23" s="274">
        <v>231566</v>
      </c>
      <c r="E23" s="152">
        <v>668</v>
      </c>
      <c r="F23" s="438" t="s">
        <v>350</v>
      </c>
      <c r="G23" s="376" t="s">
        <v>351</v>
      </c>
      <c r="H23" s="439">
        <v>80</v>
      </c>
      <c r="I23" s="291">
        <f t="shared" si="0"/>
        <v>25.52</v>
      </c>
      <c r="J23" s="378">
        <v>40590.319444444445</v>
      </c>
      <c r="K23" s="185">
        <v>40590.58888888889</v>
      </c>
      <c r="L23" s="379">
        <f t="shared" si="1"/>
        <v>6.46666666661622</v>
      </c>
      <c r="M23" s="380">
        <f t="shared" si="2"/>
        <v>388</v>
      </c>
      <c r="N23" s="220" t="s">
        <v>286</v>
      </c>
      <c r="O23" s="516" t="str">
        <f t="shared" si="3"/>
        <v>--</v>
      </c>
      <c r="P23" s="221" t="str">
        <f t="shared" si="4"/>
        <v>--</v>
      </c>
      <c r="Q23" s="899">
        <f t="shared" si="5"/>
        <v>2</v>
      </c>
      <c r="R23" s="900">
        <f t="shared" si="6"/>
        <v>330.2288</v>
      </c>
      <c r="S23" s="434" t="str">
        <f t="shared" si="7"/>
        <v>--</v>
      </c>
      <c r="T23" s="435" t="str">
        <f t="shared" si="8"/>
        <v>--</v>
      </c>
      <c r="U23" s="298" t="str">
        <f t="shared" si="9"/>
        <v>--</v>
      </c>
      <c r="V23" s="299" t="str">
        <f t="shared" si="10"/>
        <v>--</v>
      </c>
      <c r="W23" s="436" t="str">
        <f t="shared" si="11"/>
        <v>--</v>
      </c>
      <c r="X23" s="896" t="str">
        <f t="shared" si="12"/>
        <v>--</v>
      </c>
      <c r="Y23" s="221" t="str">
        <f t="shared" si="13"/>
        <v>SI</v>
      </c>
      <c r="Z23" s="381">
        <f t="shared" si="14"/>
        <v>330.2288</v>
      </c>
      <c r="AA23" s="6"/>
    </row>
    <row r="24" spans="2:27" s="5" customFormat="1" ht="16.5" customHeight="1">
      <c r="B24" s="50"/>
      <c r="C24" s="274">
        <v>49</v>
      </c>
      <c r="D24" s="274">
        <v>231567</v>
      </c>
      <c r="E24" s="152">
        <v>668</v>
      </c>
      <c r="F24" s="438" t="s">
        <v>350</v>
      </c>
      <c r="G24" s="376" t="s">
        <v>351</v>
      </c>
      <c r="H24" s="439">
        <v>80</v>
      </c>
      <c r="I24" s="291">
        <f t="shared" si="0"/>
        <v>25.52</v>
      </c>
      <c r="J24" s="378">
        <v>40591.30972222222</v>
      </c>
      <c r="K24" s="185">
        <v>40591.57777777778</v>
      </c>
      <c r="L24" s="379">
        <f t="shared" si="1"/>
        <v>6.433333333348855</v>
      </c>
      <c r="M24" s="380">
        <f t="shared" si="2"/>
        <v>386</v>
      </c>
      <c r="N24" s="220" t="s">
        <v>286</v>
      </c>
      <c r="O24" s="516" t="str">
        <f t="shared" si="3"/>
        <v>--</v>
      </c>
      <c r="P24" s="221" t="str">
        <f t="shared" si="4"/>
        <v>--</v>
      </c>
      <c r="Q24" s="899">
        <f t="shared" si="5"/>
        <v>2</v>
      </c>
      <c r="R24" s="900">
        <f t="shared" si="6"/>
        <v>328.18719999999996</v>
      </c>
      <c r="S24" s="434" t="str">
        <f t="shared" si="7"/>
        <v>--</v>
      </c>
      <c r="T24" s="435" t="str">
        <f t="shared" si="8"/>
        <v>--</v>
      </c>
      <c r="U24" s="298" t="str">
        <f t="shared" si="9"/>
        <v>--</v>
      </c>
      <c r="V24" s="299" t="str">
        <f t="shared" si="10"/>
        <v>--</v>
      </c>
      <c r="W24" s="436" t="str">
        <f t="shared" si="11"/>
        <v>--</v>
      </c>
      <c r="X24" s="896" t="str">
        <f t="shared" si="12"/>
        <v>--</v>
      </c>
      <c r="Y24" s="221" t="str">
        <f t="shared" si="13"/>
        <v>SI</v>
      </c>
      <c r="Z24" s="381">
        <f t="shared" si="14"/>
        <v>328.18719999999996</v>
      </c>
      <c r="AA24" s="6"/>
    </row>
    <row r="25" spans="2:27" s="5" customFormat="1" ht="16.5" customHeight="1">
      <c r="B25" s="50"/>
      <c r="C25" s="274">
        <v>50</v>
      </c>
      <c r="D25" s="274">
        <v>231428</v>
      </c>
      <c r="E25" s="152">
        <v>668</v>
      </c>
      <c r="F25" s="438" t="s">
        <v>350</v>
      </c>
      <c r="G25" s="376" t="s">
        <v>351</v>
      </c>
      <c r="H25" s="439">
        <v>80</v>
      </c>
      <c r="I25" s="291">
        <f t="shared" si="0"/>
        <v>25.52</v>
      </c>
      <c r="J25" s="378">
        <v>40592.33125</v>
      </c>
      <c r="K25" s="185">
        <v>40592.53333333333</v>
      </c>
      <c r="L25" s="379">
        <f t="shared" si="1"/>
        <v>4.849999999918509</v>
      </c>
      <c r="M25" s="380">
        <f t="shared" si="2"/>
        <v>291</v>
      </c>
      <c r="N25" s="220" t="s">
        <v>286</v>
      </c>
      <c r="O25" s="516" t="str">
        <f t="shared" si="3"/>
        <v>--</v>
      </c>
      <c r="P25" s="221" t="str">
        <f t="shared" si="4"/>
        <v>--</v>
      </c>
      <c r="Q25" s="899">
        <f t="shared" si="5"/>
        <v>2</v>
      </c>
      <c r="R25" s="900">
        <f t="shared" si="6"/>
        <v>247.54399999999998</v>
      </c>
      <c r="S25" s="434" t="str">
        <f t="shared" si="7"/>
        <v>--</v>
      </c>
      <c r="T25" s="435" t="str">
        <f t="shared" si="8"/>
        <v>--</v>
      </c>
      <c r="U25" s="298" t="str">
        <f t="shared" si="9"/>
        <v>--</v>
      </c>
      <c r="V25" s="299" t="str">
        <f t="shared" si="10"/>
        <v>--</v>
      </c>
      <c r="W25" s="436" t="str">
        <f t="shared" si="11"/>
        <v>--</v>
      </c>
      <c r="X25" s="896" t="str">
        <f t="shared" si="12"/>
        <v>--</v>
      </c>
      <c r="Y25" s="221" t="str">
        <f t="shared" si="13"/>
        <v>SI</v>
      </c>
      <c r="Z25" s="381">
        <f t="shared" si="14"/>
        <v>247.54399999999998</v>
      </c>
      <c r="AA25" s="441"/>
    </row>
    <row r="26" spans="2:27" s="5" customFormat="1" ht="16.5" customHeight="1">
      <c r="B26" s="50"/>
      <c r="C26" s="274"/>
      <c r="D26" s="274"/>
      <c r="E26" s="152"/>
      <c r="F26" s="438"/>
      <c r="G26" s="376"/>
      <c r="H26" s="439"/>
      <c r="I26" s="291">
        <f t="shared" si="0"/>
        <v>0</v>
      </c>
      <c r="J26" s="378"/>
      <c r="K26" s="185"/>
      <c r="L26" s="379">
        <f t="shared" si="1"/>
      </c>
      <c r="M26" s="380">
        <f t="shared" si="2"/>
      </c>
      <c r="N26" s="220"/>
      <c r="O26" s="516">
        <f t="shared" si="3"/>
      </c>
      <c r="P26" s="221">
        <f t="shared" si="4"/>
      </c>
      <c r="Q26" s="899">
        <f t="shared" si="5"/>
        <v>20</v>
      </c>
      <c r="R26" s="900" t="str">
        <f t="shared" si="6"/>
        <v>--</v>
      </c>
      <c r="S26" s="434" t="str">
        <f t="shared" si="7"/>
        <v>--</v>
      </c>
      <c r="T26" s="435" t="str">
        <f t="shared" si="8"/>
        <v>--</v>
      </c>
      <c r="U26" s="298" t="str">
        <f t="shared" si="9"/>
        <v>--</v>
      </c>
      <c r="V26" s="299" t="str">
        <f t="shared" si="10"/>
        <v>--</v>
      </c>
      <c r="W26" s="436" t="str">
        <f t="shared" si="11"/>
        <v>--</v>
      </c>
      <c r="X26" s="896" t="str">
        <f t="shared" si="12"/>
        <v>--</v>
      </c>
      <c r="Y26" s="221">
        <f t="shared" si="13"/>
      </c>
      <c r="Z26" s="381">
        <f t="shared" si="14"/>
      </c>
      <c r="AA26" s="441"/>
    </row>
    <row r="27" spans="2:27" s="5" customFormat="1" ht="16.5" customHeight="1">
      <c r="B27" s="50"/>
      <c r="C27" s="274"/>
      <c r="D27" s="274"/>
      <c r="E27" s="274"/>
      <c r="F27" s="438"/>
      <c r="G27" s="376"/>
      <c r="H27" s="439"/>
      <c r="I27" s="291">
        <f t="shared" si="0"/>
        <v>0</v>
      </c>
      <c r="J27" s="378"/>
      <c r="K27" s="185"/>
      <c r="L27" s="379">
        <f t="shared" si="1"/>
      </c>
      <c r="M27" s="380">
        <f t="shared" si="2"/>
      </c>
      <c r="N27" s="220"/>
      <c r="O27" s="516">
        <f t="shared" si="3"/>
      </c>
      <c r="P27" s="221">
        <f t="shared" si="4"/>
      </c>
      <c r="Q27" s="899">
        <f t="shared" si="5"/>
        <v>20</v>
      </c>
      <c r="R27" s="900" t="str">
        <f t="shared" si="6"/>
        <v>--</v>
      </c>
      <c r="S27" s="434" t="str">
        <f t="shared" si="7"/>
        <v>--</v>
      </c>
      <c r="T27" s="435" t="str">
        <f t="shared" si="8"/>
        <v>--</v>
      </c>
      <c r="U27" s="298" t="str">
        <f t="shared" si="9"/>
        <v>--</v>
      </c>
      <c r="V27" s="299" t="str">
        <f t="shared" si="10"/>
        <v>--</v>
      </c>
      <c r="W27" s="436" t="str">
        <f t="shared" si="11"/>
        <v>--</v>
      </c>
      <c r="X27" s="896" t="str">
        <f t="shared" si="12"/>
        <v>--</v>
      </c>
      <c r="Y27" s="221">
        <f t="shared" si="13"/>
      </c>
      <c r="Z27" s="381">
        <f t="shared" si="14"/>
      </c>
      <c r="AA27" s="441"/>
    </row>
    <row r="28" spans="2:27" s="5" customFormat="1" ht="16.5" customHeight="1">
      <c r="B28" s="50"/>
      <c r="C28" s="274"/>
      <c r="D28" s="274"/>
      <c r="E28" s="152"/>
      <c r="F28" s="438"/>
      <c r="G28" s="376"/>
      <c r="H28" s="439"/>
      <c r="I28" s="291">
        <f t="shared" si="0"/>
        <v>0</v>
      </c>
      <c r="J28" s="378"/>
      <c r="K28" s="185"/>
      <c r="L28" s="379">
        <f t="shared" si="1"/>
      </c>
      <c r="M28" s="380">
        <f t="shared" si="2"/>
      </c>
      <c r="N28" s="220"/>
      <c r="O28" s="516">
        <f t="shared" si="3"/>
      </c>
      <c r="P28" s="221">
        <f t="shared" si="4"/>
      </c>
      <c r="Q28" s="899">
        <f t="shared" si="5"/>
        <v>20</v>
      </c>
      <c r="R28" s="900" t="str">
        <f t="shared" si="6"/>
        <v>--</v>
      </c>
      <c r="S28" s="434" t="str">
        <f t="shared" si="7"/>
        <v>--</v>
      </c>
      <c r="T28" s="435" t="str">
        <f t="shared" si="8"/>
        <v>--</v>
      </c>
      <c r="U28" s="298" t="str">
        <f t="shared" si="9"/>
        <v>--</v>
      </c>
      <c r="V28" s="299" t="str">
        <f t="shared" si="10"/>
        <v>--</v>
      </c>
      <c r="W28" s="436" t="str">
        <f t="shared" si="11"/>
        <v>--</v>
      </c>
      <c r="X28" s="896" t="str">
        <f t="shared" si="12"/>
        <v>--</v>
      </c>
      <c r="Y28" s="221">
        <f t="shared" si="13"/>
      </c>
      <c r="Z28" s="381">
        <f t="shared" si="14"/>
      </c>
      <c r="AA28" s="441"/>
    </row>
    <row r="29" spans="2:27" s="5" customFormat="1" ht="16.5" customHeight="1">
      <c r="B29" s="50"/>
      <c r="C29" s="274"/>
      <c r="D29" s="274"/>
      <c r="E29" s="274"/>
      <c r="F29" s="438"/>
      <c r="G29" s="376"/>
      <c r="H29" s="439"/>
      <c r="I29" s="291">
        <f t="shared" si="0"/>
        <v>0</v>
      </c>
      <c r="J29" s="378"/>
      <c r="K29" s="185"/>
      <c r="L29" s="379">
        <f t="shared" si="1"/>
      </c>
      <c r="M29" s="380">
        <f t="shared" si="2"/>
      </c>
      <c r="N29" s="220"/>
      <c r="O29" s="516">
        <f t="shared" si="3"/>
      </c>
      <c r="P29" s="221">
        <f t="shared" si="4"/>
      </c>
      <c r="Q29" s="899">
        <f t="shared" si="5"/>
        <v>20</v>
      </c>
      <c r="R29" s="900" t="str">
        <f t="shared" si="6"/>
        <v>--</v>
      </c>
      <c r="S29" s="434" t="str">
        <f t="shared" si="7"/>
        <v>--</v>
      </c>
      <c r="T29" s="435" t="str">
        <f t="shared" si="8"/>
        <v>--</v>
      </c>
      <c r="U29" s="298" t="str">
        <f t="shared" si="9"/>
        <v>--</v>
      </c>
      <c r="V29" s="299" t="str">
        <f t="shared" si="10"/>
        <v>--</v>
      </c>
      <c r="W29" s="436" t="str">
        <f t="shared" si="11"/>
        <v>--</v>
      </c>
      <c r="X29" s="896" t="str">
        <f t="shared" si="12"/>
        <v>--</v>
      </c>
      <c r="Y29" s="221">
        <f t="shared" si="13"/>
      </c>
      <c r="Z29" s="381">
        <f t="shared" si="14"/>
      </c>
      <c r="AA29" s="441"/>
    </row>
    <row r="30" spans="2:27" s="5" customFormat="1" ht="16.5" customHeight="1">
      <c r="B30" s="50"/>
      <c r="C30" s="274"/>
      <c r="D30" s="274"/>
      <c r="E30" s="152"/>
      <c r="F30" s="438"/>
      <c r="G30" s="376"/>
      <c r="H30" s="439"/>
      <c r="I30" s="291">
        <f t="shared" si="0"/>
        <v>0</v>
      </c>
      <c r="J30" s="378"/>
      <c r="K30" s="185"/>
      <c r="L30" s="379">
        <f t="shared" si="1"/>
      </c>
      <c r="M30" s="380">
        <f t="shared" si="2"/>
      </c>
      <c r="N30" s="220"/>
      <c r="O30" s="516">
        <f t="shared" si="3"/>
      </c>
      <c r="P30" s="221">
        <f t="shared" si="4"/>
      </c>
      <c r="Q30" s="899">
        <f t="shared" si="5"/>
        <v>20</v>
      </c>
      <c r="R30" s="900" t="str">
        <f t="shared" si="6"/>
        <v>--</v>
      </c>
      <c r="S30" s="434" t="str">
        <f t="shared" si="7"/>
        <v>--</v>
      </c>
      <c r="T30" s="435" t="str">
        <f t="shared" si="8"/>
        <v>--</v>
      </c>
      <c r="U30" s="298" t="str">
        <f t="shared" si="9"/>
        <v>--</v>
      </c>
      <c r="V30" s="299" t="str">
        <f t="shared" si="10"/>
        <v>--</v>
      </c>
      <c r="W30" s="436" t="str">
        <f t="shared" si="11"/>
        <v>--</v>
      </c>
      <c r="X30" s="896" t="str">
        <f t="shared" si="12"/>
        <v>--</v>
      </c>
      <c r="Y30" s="221">
        <f t="shared" si="13"/>
      </c>
      <c r="Z30" s="381">
        <f t="shared" si="14"/>
      </c>
      <c r="AA30" s="441"/>
    </row>
    <row r="31" spans="2:27" s="5" customFormat="1" ht="16.5" customHeight="1">
      <c r="B31" s="50"/>
      <c r="C31" s="274"/>
      <c r="D31" s="274"/>
      <c r="E31" s="274"/>
      <c r="F31" s="438"/>
      <c r="G31" s="376"/>
      <c r="H31" s="439"/>
      <c r="I31" s="291">
        <f t="shared" si="0"/>
        <v>0</v>
      </c>
      <c r="J31" s="378"/>
      <c r="K31" s="185"/>
      <c r="L31" s="379">
        <f t="shared" si="1"/>
      </c>
      <c r="M31" s="380">
        <f t="shared" si="2"/>
      </c>
      <c r="N31" s="220"/>
      <c r="O31" s="516">
        <f t="shared" si="3"/>
      </c>
      <c r="P31" s="221">
        <f t="shared" si="4"/>
      </c>
      <c r="Q31" s="899">
        <f t="shared" si="5"/>
        <v>20</v>
      </c>
      <c r="R31" s="900" t="str">
        <f t="shared" si="6"/>
        <v>--</v>
      </c>
      <c r="S31" s="434" t="str">
        <f t="shared" si="7"/>
        <v>--</v>
      </c>
      <c r="T31" s="435" t="str">
        <f t="shared" si="8"/>
        <v>--</v>
      </c>
      <c r="U31" s="298" t="str">
        <f t="shared" si="9"/>
        <v>--</v>
      </c>
      <c r="V31" s="299" t="str">
        <f t="shared" si="10"/>
        <v>--</v>
      </c>
      <c r="W31" s="436" t="str">
        <f t="shared" si="11"/>
        <v>--</v>
      </c>
      <c r="X31" s="896" t="str">
        <f t="shared" si="12"/>
        <v>--</v>
      </c>
      <c r="Y31" s="221">
        <f t="shared" si="13"/>
      </c>
      <c r="Z31" s="381">
        <f t="shared" si="14"/>
      </c>
      <c r="AA31" s="6"/>
    </row>
    <row r="32" spans="2:27" s="5" customFormat="1" ht="16.5" customHeight="1">
      <c r="B32" s="50"/>
      <c r="C32" s="274"/>
      <c r="D32" s="274"/>
      <c r="E32" s="152"/>
      <c r="F32" s="438"/>
      <c r="G32" s="376"/>
      <c r="H32" s="439"/>
      <c r="I32" s="291">
        <f t="shared" si="0"/>
        <v>0</v>
      </c>
      <c r="J32" s="378"/>
      <c r="K32" s="185"/>
      <c r="L32" s="379">
        <f t="shared" si="1"/>
      </c>
      <c r="M32" s="380">
        <f t="shared" si="2"/>
      </c>
      <c r="N32" s="220"/>
      <c r="O32" s="516">
        <f t="shared" si="3"/>
      </c>
      <c r="P32" s="221">
        <f t="shared" si="4"/>
      </c>
      <c r="Q32" s="899">
        <f t="shared" si="5"/>
        <v>20</v>
      </c>
      <c r="R32" s="900" t="str">
        <f t="shared" si="6"/>
        <v>--</v>
      </c>
      <c r="S32" s="434" t="str">
        <f t="shared" si="7"/>
        <v>--</v>
      </c>
      <c r="T32" s="435" t="str">
        <f t="shared" si="8"/>
        <v>--</v>
      </c>
      <c r="U32" s="298" t="str">
        <f t="shared" si="9"/>
        <v>--</v>
      </c>
      <c r="V32" s="299" t="str">
        <f t="shared" si="10"/>
        <v>--</v>
      </c>
      <c r="W32" s="436" t="str">
        <f t="shared" si="11"/>
        <v>--</v>
      </c>
      <c r="X32" s="896" t="str">
        <f t="shared" si="12"/>
        <v>--</v>
      </c>
      <c r="Y32" s="221">
        <f t="shared" si="13"/>
      </c>
      <c r="Z32" s="381">
        <f t="shared" si="14"/>
      </c>
      <c r="AA32" s="6"/>
    </row>
    <row r="33" spans="2:27" s="5" customFormat="1" ht="16.5" customHeight="1">
      <c r="B33" s="50"/>
      <c r="C33" s="274"/>
      <c r="D33" s="274"/>
      <c r="E33" s="274"/>
      <c r="F33" s="438"/>
      <c r="G33" s="376"/>
      <c r="H33" s="439"/>
      <c r="I33" s="291">
        <f t="shared" si="0"/>
        <v>0</v>
      </c>
      <c r="J33" s="378"/>
      <c r="K33" s="185"/>
      <c r="L33" s="379">
        <f t="shared" si="1"/>
      </c>
      <c r="M33" s="380">
        <f t="shared" si="2"/>
      </c>
      <c r="N33" s="220"/>
      <c r="O33" s="516">
        <f t="shared" si="3"/>
      </c>
      <c r="P33" s="221">
        <f t="shared" si="4"/>
      </c>
      <c r="Q33" s="899">
        <f t="shared" si="5"/>
        <v>20</v>
      </c>
      <c r="R33" s="900" t="str">
        <f t="shared" si="6"/>
        <v>--</v>
      </c>
      <c r="S33" s="434" t="str">
        <f t="shared" si="7"/>
        <v>--</v>
      </c>
      <c r="T33" s="435" t="str">
        <f t="shared" si="8"/>
        <v>--</v>
      </c>
      <c r="U33" s="298" t="str">
        <f t="shared" si="9"/>
        <v>--</v>
      </c>
      <c r="V33" s="299" t="str">
        <f t="shared" si="10"/>
        <v>--</v>
      </c>
      <c r="W33" s="436" t="str">
        <f t="shared" si="11"/>
        <v>--</v>
      </c>
      <c r="X33" s="896" t="str">
        <f t="shared" si="12"/>
        <v>--</v>
      </c>
      <c r="Y33" s="221">
        <f t="shared" si="13"/>
      </c>
      <c r="Z33" s="381">
        <f t="shared" si="14"/>
      </c>
      <c r="AA33" s="6"/>
    </row>
    <row r="34" spans="2:27" s="5" customFormat="1" ht="16.5" customHeight="1">
      <c r="B34" s="50"/>
      <c r="C34" s="274"/>
      <c r="D34" s="274"/>
      <c r="E34" s="152"/>
      <c r="F34" s="438"/>
      <c r="G34" s="376"/>
      <c r="H34" s="439"/>
      <c r="I34" s="291">
        <f t="shared" si="0"/>
        <v>0</v>
      </c>
      <c r="J34" s="378"/>
      <c r="K34" s="185"/>
      <c r="L34" s="379">
        <f t="shared" si="1"/>
      </c>
      <c r="M34" s="380">
        <f t="shared" si="2"/>
      </c>
      <c r="N34" s="220"/>
      <c r="O34" s="516">
        <f t="shared" si="3"/>
      </c>
      <c r="P34" s="221">
        <f t="shared" si="4"/>
      </c>
      <c r="Q34" s="899">
        <f t="shared" si="5"/>
        <v>20</v>
      </c>
      <c r="R34" s="900" t="str">
        <f t="shared" si="6"/>
        <v>--</v>
      </c>
      <c r="S34" s="434" t="str">
        <f t="shared" si="7"/>
        <v>--</v>
      </c>
      <c r="T34" s="435" t="str">
        <f t="shared" si="8"/>
        <v>--</v>
      </c>
      <c r="U34" s="298" t="str">
        <f t="shared" si="9"/>
        <v>--</v>
      </c>
      <c r="V34" s="299" t="str">
        <f t="shared" si="10"/>
        <v>--</v>
      </c>
      <c r="W34" s="436" t="str">
        <f t="shared" si="11"/>
        <v>--</v>
      </c>
      <c r="X34" s="896" t="str">
        <f t="shared" si="12"/>
        <v>--</v>
      </c>
      <c r="Y34" s="221">
        <f t="shared" si="13"/>
      </c>
      <c r="Z34" s="381">
        <f t="shared" si="14"/>
      </c>
      <c r="AA34" s="6"/>
    </row>
    <row r="35" spans="2:27" s="5" customFormat="1" ht="16.5" customHeight="1">
      <c r="B35" s="50"/>
      <c r="C35" s="274"/>
      <c r="D35" s="274"/>
      <c r="E35" s="274"/>
      <c r="F35" s="438"/>
      <c r="G35" s="376"/>
      <c r="H35" s="439"/>
      <c r="I35" s="291">
        <f t="shared" si="0"/>
        <v>0</v>
      </c>
      <c r="J35" s="378"/>
      <c r="K35" s="185"/>
      <c r="L35" s="379">
        <f t="shared" si="1"/>
      </c>
      <c r="M35" s="380">
        <f t="shared" si="2"/>
      </c>
      <c r="N35" s="220"/>
      <c r="O35" s="516">
        <f t="shared" si="3"/>
      </c>
      <c r="P35" s="221">
        <f t="shared" si="4"/>
      </c>
      <c r="Q35" s="899">
        <f t="shared" si="5"/>
        <v>20</v>
      </c>
      <c r="R35" s="900" t="str">
        <f t="shared" si="6"/>
        <v>--</v>
      </c>
      <c r="S35" s="434" t="str">
        <f t="shared" si="7"/>
        <v>--</v>
      </c>
      <c r="T35" s="435" t="str">
        <f t="shared" si="8"/>
        <v>--</v>
      </c>
      <c r="U35" s="298" t="str">
        <f t="shared" si="9"/>
        <v>--</v>
      </c>
      <c r="V35" s="299" t="str">
        <f t="shared" si="10"/>
        <v>--</v>
      </c>
      <c r="W35" s="436" t="str">
        <f t="shared" si="11"/>
        <v>--</v>
      </c>
      <c r="X35" s="896" t="str">
        <f t="shared" si="12"/>
        <v>--</v>
      </c>
      <c r="Y35" s="221">
        <f t="shared" si="13"/>
      </c>
      <c r="Z35" s="381">
        <f t="shared" si="14"/>
      </c>
      <c r="AA35" s="6"/>
    </row>
    <row r="36" spans="2:27" s="5" customFormat="1" ht="16.5" customHeight="1">
      <c r="B36" s="50"/>
      <c r="C36" s="274"/>
      <c r="D36" s="274"/>
      <c r="E36" s="152"/>
      <c r="F36" s="438"/>
      <c r="G36" s="376"/>
      <c r="H36" s="439"/>
      <c r="I36" s="291">
        <f t="shared" si="0"/>
        <v>0</v>
      </c>
      <c r="J36" s="378"/>
      <c r="K36" s="185"/>
      <c r="L36" s="379">
        <f t="shared" si="1"/>
      </c>
      <c r="M36" s="380">
        <f t="shared" si="2"/>
      </c>
      <c r="N36" s="220"/>
      <c r="O36" s="516">
        <f t="shared" si="3"/>
      </c>
      <c r="P36" s="221">
        <f t="shared" si="4"/>
      </c>
      <c r="Q36" s="899">
        <f t="shared" si="5"/>
        <v>20</v>
      </c>
      <c r="R36" s="900" t="str">
        <f t="shared" si="6"/>
        <v>--</v>
      </c>
      <c r="S36" s="434" t="str">
        <f t="shared" si="7"/>
        <v>--</v>
      </c>
      <c r="T36" s="435" t="str">
        <f t="shared" si="8"/>
        <v>--</v>
      </c>
      <c r="U36" s="298" t="str">
        <f t="shared" si="9"/>
        <v>--</v>
      </c>
      <c r="V36" s="299" t="str">
        <f t="shared" si="10"/>
        <v>--</v>
      </c>
      <c r="W36" s="436" t="str">
        <f t="shared" si="11"/>
        <v>--</v>
      </c>
      <c r="X36" s="896" t="str">
        <f t="shared" si="12"/>
        <v>--</v>
      </c>
      <c r="Y36" s="221">
        <f t="shared" si="13"/>
      </c>
      <c r="Z36" s="381">
        <f t="shared" si="14"/>
      </c>
      <c r="AA36" s="6"/>
    </row>
    <row r="37" spans="2:27" s="5" customFormat="1" ht="16.5" customHeight="1">
      <c r="B37" s="50"/>
      <c r="C37" s="274"/>
      <c r="D37" s="274"/>
      <c r="E37" s="274"/>
      <c r="F37" s="438"/>
      <c r="G37" s="376"/>
      <c r="H37" s="439"/>
      <c r="I37" s="291">
        <f t="shared" si="0"/>
        <v>0</v>
      </c>
      <c r="J37" s="378"/>
      <c r="K37" s="185"/>
      <c r="L37" s="379">
        <f t="shared" si="1"/>
      </c>
      <c r="M37" s="380">
        <f t="shared" si="2"/>
      </c>
      <c r="N37" s="220"/>
      <c r="O37" s="516">
        <f t="shared" si="3"/>
      </c>
      <c r="P37" s="221">
        <f t="shared" si="4"/>
      </c>
      <c r="Q37" s="899">
        <f t="shared" si="5"/>
        <v>20</v>
      </c>
      <c r="R37" s="900" t="str">
        <f t="shared" si="6"/>
        <v>--</v>
      </c>
      <c r="S37" s="434" t="str">
        <f t="shared" si="7"/>
        <v>--</v>
      </c>
      <c r="T37" s="435" t="str">
        <f t="shared" si="8"/>
        <v>--</v>
      </c>
      <c r="U37" s="298" t="str">
        <f t="shared" si="9"/>
        <v>--</v>
      </c>
      <c r="V37" s="299" t="str">
        <f t="shared" si="10"/>
        <v>--</v>
      </c>
      <c r="W37" s="436" t="str">
        <f t="shared" si="11"/>
        <v>--</v>
      </c>
      <c r="X37" s="896" t="str">
        <f t="shared" si="12"/>
        <v>--</v>
      </c>
      <c r="Y37" s="221">
        <f t="shared" si="13"/>
      </c>
      <c r="Z37" s="381">
        <f t="shared" si="14"/>
      </c>
      <c r="AA37" s="6"/>
    </row>
    <row r="38" spans="2:27" s="5" customFormat="1" ht="16.5" customHeight="1">
      <c r="B38" s="50"/>
      <c r="C38" s="274"/>
      <c r="D38" s="274"/>
      <c r="E38" s="152"/>
      <c r="F38" s="438"/>
      <c r="G38" s="376"/>
      <c r="H38" s="439"/>
      <c r="I38" s="291">
        <f t="shared" si="0"/>
        <v>0</v>
      </c>
      <c r="J38" s="378"/>
      <c r="K38" s="185"/>
      <c r="L38" s="379">
        <f t="shared" si="1"/>
      </c>
      <c r="M38" s="380">
        <f t="shared" si="2"/>
      </c>
      <c r="N38" s="220"/>
      <c r="O38" s="516">
        <f t="shared" si="3"/>
      </c>
      <c r="P38" s="221">
        <f t="shared" si="4"/>
      </c>
      <c r="Q38" s="899">
        <f t="shared" si="5"/>
        <v>20</v>
      </c>
      <c r="R38" s="900" t="str">
        <f t="shared" si="6"/>
        <v>--</v>
      </c>
      <c r="S38" s="434" t="str">
        <f t="shared" si="7"/>
        <v>--</v>
      </c>
      <c r="T38" s="435" t="str">
        <f t="shared" si="8"/>
        <v>--</v>
      </c>
      <c r="U38" s="298" t="str">
        <f t="shared" si="9"/>
        <v>--</v>
      </c>
      <c r="V38" s="299" t="str">
        <f t="shared" si="10"/>
        <v>--</v>
      </c>
      <c r="W38" s="436" t="str">
        <f t="shared" si="11"/>
        <v>--</v>
      </c>
      <c r="X38" s="896" t="str">
        <f t="shared" si="12"/>
        <v>--</v>
      </c>
      <c r="Y38" s="221">
        <f t="shared" si="13"/>
      </c>
      <c r="Z38" s="381">
        <f t="shared" si="14"/>
      </c>
      <c r="AA38" s="6"/>
    </row>
    <row r="39" spans="2:27" s="5" customFormat="1" ht="16.5" customHeight="1">
      <c r="B39" s="50"/>
      <c r="C39" s="274"/>
      <c r="D39" s="274"/>
      <c r="E39" s="274"/>
      <c r="F39" s="438"/>
      <c r="G39" s="376"/>
      <c r="H39" s="439"/>
      <c r="I39" s="291">
        <f t="shared" si="0"/>
        <v>0</v>
      </c>
      <c r="J39" s="378"/>
      <c r="K39" s="185"/>
      <c r="L39" s="379">
        <f t="shared" si="1"/>
      </c>
      <c r="M39" s="380">
        <f t="shared" si="2"/>
      </c>
      <c r="N39" s="220"/>
      <c r="O39" s="516">
        <f t="shared" si="3"/>
      </c>
      <c r="P39" s="221">
        <f t="shared" si="4"/>
      </c>
      <c r="Q39" s="899">
        <f t="shared" si="5"/>
        <v>20</v>
      </c>
      <c r="R39" s="900" t="str">
        <f t="shared" si="6"/>
        <v>--</v>
      </c>
      <c r="S39" s="434" t="str">
        <f t="shared" si="7"/>
        <v>--</v>
      </c>
      <c r="T39" s="435" t="str">
        <f t="shared" si="8"/>
        <v>--</v>
      </c>
      <c r="U39" s="298" t="str">
        <f t="shared" si="9"/>
        <v>--</v>
      </c>
      <c r="V39" s="299" t="str">
        <f t="shared" si="10"/>
        <v>--</v>
      </c>
      <c r="W39" s="436" t="str">
        <f t="shared" si="11"/>
        <v>--</v>
      </c>
      <c r="X39" s="896" t="str">
        <f t="shared" si="12"/>
        <v>--</v>
      </c>
      <c r="Y39" s="221">
        <f t="shared" si="13"/>
      </c>
      <c r="Z39" s="381">
        <f t="shared" si="14"/>
      </c>
      <c r="AA39" s="6"/>
    </row>
    <row r="40" spans="2:27" s="5" customFormat="1" ht="16.5" customHeight="1">
      <c r="B40" s="50"/>
      <c r="C40" s="274"/>
      <c r="D40" s="274"/>
      <c r="E40" s="152"/>
      <c r="F40" s="438"/>
      <c r="G40" s="376"/>
      <c r="H40" s="439"/>
      <c r="I40" s="291">
        <f t="shared" si="0"/>
        <v>0</v>
      </c>
      <c r="J40" s="378"/>
      <c r="K40" s="185"/>
      <c r="L40" s="379">
        <f t="shared" si="1"/>
      </c>
      <c r="M40" s="380">
        <f t="shared" si="2"/>
      </c>
      <c r="N40" s="220"/>
      <c r="O40" s="516">
        <f t="shared" si="3"/>
      </c>
      <c r="P40" s="221">
        <f t="shared" si="4"/>
      </c>
      <c r="Q40" s="899">
        <f t="shared" si="5"/>
        <v>20</v>
      </c>
      <c r="R40" s="900" t="str">
        <f t="shared" si="6"/>
        <v>--</v>
      </c>
      <c r="S40" s="434" t="str">
        <f t="shared" si="7"/>
        <v>--</v>
      </c>
      <c r="T40" s="435" t="str">
        <f t="shared" si="8"/>
        <v>--</v>
      </c>
      <c r="U40" s="298" t="str">
        <f t="shared" si="9"/>
        <v>--</v>
      </c>
      <c r="V40" s="299" t="str">
        <f t="shared" si="10"/>
        <v>--</v>
      </c>
      <c r="W40" s="436" t="str">
        <f t="shared" si="11"/>
        <v>--</v>
      </c>
      <c r="X40" s="896" t="str">
        <f t="shared" si="12"/>
        <v>--</v>
      </c>
      <c r="Y40" s="221">
        <f t="shared" si="13"/>
      </c>
      <c r="Z40" s="381">
        <f t="shared" si="14"/>
      </c>
      <c r="AA40" s="6"/>
    </row>
    <row r="41" spans="2:27" s="5" customFormat="1" ht="16.5" customHeight="1">
      <c r="B41" s="50"/>
      <c r="C41" s="274"/>
      <c r="D41" s="274"/>
      <c r="E41" s="274"/>
      <c r="F41" s="438"/>
      <c r="G41" s="376"/>
      <c r="H41" s="439"/>
      <c r="I41" s="291">
        <f t="shared" si="0"/>
        <v>0</v>
      </c>
      <c r="J41" s="378"/>
      <c r="K41" s="185"/>
      <c r="L41" s="379">
        <f t="shared" si="1"/>
      </c>
      <c r="M41" s="380">
        <f t="shared" si="2"/>
      </c>
      <c r="N41" s="220"/>
      <c r="O41" s="516">
        <f t="shared" si="3"/>
      </c>
      <c r="P41" s="221">
        <f t="shared" si="4"/>
      </c>
      <c r="Q41" s="899">
        <f t="shared" si="5"/>
        <v>20</v>
      </c>
      <c r="R41" s="900" t="str">
        <f t="shared" si="6"/>
        <v>--</v>
      </c>
      <c r="S41" s="434" t="str">
        <f t="shared" si="7"/>
        <v>--</v>
      </c>
      <c r="T41" s="435" t="str">
        <f t="shared" si="8"/>
        <v>--</v>
      </c>
      <c r="U41" s="298" t="str">
        <f t="shared" si="9"/>
        <v>--</v>
      </c>
      <c r="V41" s="299" t="str">
        <f t="shared" si="10"/>
        <v>--</v>
      </c>
      <c r="W41" s="436" t="str">
        <f t="shared" si="11"/>
        <v>--</v>
      </c>
      <c r="X41" s="896" t="str">
        <f t="shared" si="12"/>
        <v>--</v>
      </c>
      <c r="Y41" s="221">
        <f t="shared" si="13"/>
      </c>
      <c r="Z41" s="381">
        <f t="shared" si="14"/>
      </c>
      <c r="AA41" s="6"/>
    </row>
    <row r="42" spans="2:27" s="5" customFormat="1" ht="16.5" customHeight="1" thickBot="1">
      <c r="B42" s="50"/>
      <c r="C42" s="442"/>
      <c r="D42" s="442"/>
      <c r="E42" s="442"/>
      <c r="F42" s="442"/>
      <c r="G42" s="442"/>
      <c r="H42" s="442"/>
      <c r="I42" s="131"/>
      <c r="J42" s="382"/>
      <c r="K42" s="382"/>
      <c r="L42" s="383"/>
      <c r="M42" s="383"/>
      <c r="N42" s="382"/>
      <c r="O42" s="189"/>
      <c r="P42" s="151"/>
      <c r="Q42" s="443"/>
      <c r="R42" s="444"/>
      <c r="S42" s="445"/>
      <c r="T42" s="446"/>
      <c r="U42" s="316"/>
      <c r="V42" s="317"/>
      <c r="W42" s="447"/>
      <c r="X42" s="447"/>
      <c r="Y42" s="151"/>
      <c r="Z42" s="448"/>
      <c r="AA42" s="6"/>
    </row>
    <row r="43" spans="2:27" s="5" customFormat="1" ht="16.5" customHeight="1" thickBot="1" thickTop="1">
      <c r="B43" s="50"/>
      <c r="C43" s="127" t="s">
        <v>24</v>
      </c>
      <c r="D43" s="73"/>
      <c r="E43" s="127"/>
      <c r="F43" s="128"/>
      <c r="I43" s="4"/>
      <c r="J43" s="4"/>
      <c r="K43" s="4"/>
      <c r="L43" s="4"/>
      <c r="M43" s="4"/>
      <c r="N43" s="4"/>
      <c r="O43" s="4"/>
      <c r="P43" s="4"/>
      <c r="Q43" s="4"/>
      <c r="R43" s="449">
        <f aca="true" t="shared" si="15" ref="R43:X43">SUM(R20:R42)</f>
        <v>1190.7631999999999</v>
      </c>
      <c r="S43" s="450">
        <f t="shared" si="15"/>
        <v>0</v>
      </c>
      <c r="T43" s="451">
        <f t="shared" si="15"/>
        <v>0</v>
      </c>
      <c r="U43" s="326">
        <f t="shared" si="15"/>
        <v>0</v>
      </c>
      <c r="V43" s="327">
        <f t="shared" si="15"/>
        <v>0</v>
      </c>
      <c r="W43" s="452">
        <f t="shared" si="15"/>
        <v>0</v>
      </c>
      <c r="X43" s="452">
        <f t="shared" si="15"/>
        <v>0</v>
      </c>
      <c r="Z43" s="100">
        <f>ROUND(SUM(Z20:Z42),2)</f>
        <v>1190.76</v>
      </c>
      <c r="AA43" s="453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4"/>
      <c r="G50" s="174"/>
      <c r="H50" s="174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6:29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6:29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6:29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6:29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6:29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6:29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6:29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</row>
    <row r="152" spans="6:29" ht="16.5" customHeight="1">
      <c r="F152" s="172"/>
      <c r="G152" s="172"/>
      <c r="H152" s="172"/>
      <c r="AB152" s="172"/>
      <c r="AC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spans="6:8" ht="16.5" customHeight="1">
      <c r="F157" s="172"/>
      <c r="G157" s="172"/>
      <c r="H157" s="17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Roman,Normal"&amp;7&amp;F-&amp;A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AG79"/>
  <sheetViews>
    <sheetView tabSelected="1" zoomScale="50" zoomScaleNormal="50" zoomScalePageLayoutView="0" workbookViewId="0" topLeftCell="A1">
      <selection activeCell="G41" sqref="G41"/>
    </sheetView>
  </sheetViews>
  <sheetFormatPr defaultColWidth="11.421875" defaultRowHeight="12.75"/>
  <cols>
    <col min="1" max="1" width="18.140625" style="0" customWidth="1"/>
    <col min="2" max="2" width="8.421875" style="0" customWidth="1"/>
    <col min="3" max="3" width="4.7109375" style="0" customWidth="1"/>
    <col min="4" max="4" width="31.2812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2" width="11.28125" style="0" customWidth="1"/>
    <col min="13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bestFit="1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57421875" style="0" hidden="1" customWidth="1"/>
    <col min="23" max="23" width="12.140625" style="0" hidden="1" customWidth="1"/>
    <col min="24" max="27" width="8.421875" style="0" hidden="1" customWidth="1"/>
    <col min="28" max="28" width="9.7109375" style="0" customWidth="1"/>
    <col min="29" max="29" width="22.140625" style="0" customWidth="1"/>
    <col min="30" max="30" width="6.4218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1" customFormat="1" ht="30.75">
      <c r="A3" s="458"/>
      <c r="B3" s="459" t="str">
        <f>'TOT-0211'!B2</f>
        <v>ANEXO III al Memorándum D.T.E.E. N°  1088 /2012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AB3" s="460"/>
      <c r="AC3" s="460"/>
      <c r="AD3" s="460"/>
    </row>
    <row r="4" spans="1:2" s="25" customFormat="1" ht="11.25">
      <c r="A4" s="695" t="s">
        <v>1</v>
      </c>
      <c r="B4" s="696"/>
    </row>
    <row r="5" spans="1:2" s="25" customFormat="1" ht="12" thickBot="1">
      <c r="A5" s="695" t="s">
        <v>2</v>
      </c>
      <c r="B5" s="695"/>
    </row>
    <row r="6" spans="1:30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3"/>
      <c r="X6" s="173"/>
      <c r="Y6" s="173"/>
      <c r="Z6" s="173"/>
      <c r="AA6" s="173"/>
      <c r="AB6" s="173"/>
      <c r="AC6" s="173"/>
      <c r="AD6" s="94"/>
    </row>
    <row r="7" spans="1:30" ht="20.25">
      <c r="A7" s="5"/>
      <c r="B7" s="50"/>
      <c r="C7" s="4"/>
      <c r="D7" s="171" t="s">
        <v>90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1" t="s">
        <v>91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5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1" t="s">
        <v>361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5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'TOT-0211'!B14</f>
        <v>Desde el 01 al 28 de febrero de 2011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462"/>
      <c r="Y13" s="462"/>
      <c r="Z13" s="462"/>
      <c r="AA13" s="462"/>
      <c r="AB13" s="126"/>
      <c r="AC13" s="169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9" t="s">
        <v>92</v>
      </c>
      <c r="D17" s="54" t="s">
        <v>93</v>
      </c>
      <c r="E17" s="66"/>
      <c r="F17" s="66"/>
      <c r="G17" s="4"/>
      <c r="H17" s="4"/>
      <c r="I17" s="4"/>
      <c r="J17" s="46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64"/>
      <c r="C18" s="33"/>
      <c r="D18" s="465"/>
      <c r="E18" s="466"/>
      <c r="F18" s="467"/>
      <c r="G18" s="33"/>
      <c r="H18" s="33"/>
      <c r="I18" s="33"/>
      <c r="J18" s="468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69"/>
    </row>
    <row r="19" spans="2:30" s="32" customFormat="1" ht="16.5" customHeight="1">
      <c r="B19" s="464"/>
      <c r="C19" s="33"/>
      <c r="D19" s="470" t="s">
        <v>94</v>
      </c>
      <c r="F19" s="471">
        <v>204.601</v>
      </c>
      <c r="G19" s="470" t="s">
        <v>95</v>
      </c>
      <c r="H19" s="33"/>
      <c r="K19" s="33"/>
      <c r="L19" s="472"/>
      <c r="M19" s="473" t="s">
        <v>39</v>
      </c>
      <c r="N19" s="474">
        <v>0.04</v>
      </c>
      <c r="R19" s="33"/>
      <c r="S19" s="33"/>
      <c r="T19" s="33"/>
      <c r="U19" s="33"/>
      <c r="V19" s="33"/>
      <c r="W19"/>
      <c r="AD19" s="469"/>
    </row>
    <row r="20" spans="2:30" s="32" customFormat="1" ht="16.5" customHeight="1">
      <c r="B20" s="464"/>
      <c r="C20" s="33"/>
      <c r="D20" s="470" t="s">
        <v>110</v>
      </c>
      <c r="F20" s="959">
        <v>0.56</v>
      </c>
      <c r="G20" s="470" t="s">
        <v>111</v>
      </c>
      <c r="H20" s="33"/>
      <c r="K20" s="33"/>
      <c r="L20" s="33"/>
      <c r="M20" s="465" t="s">
        <v>37</v>
      </c>
      <c r="N20" s="33">
        <f>MID(B13,16,2)*24</f>
        <v>672</v>
      </c>
      <c r="O20" s="33"/>
      <c r="P20" s="697"/>
      <c r="Q20" s="33"/>
      <c r="R20" s="33"/>
      <c r="S20" s="33"/>
      <c r="T20" s="33"/>
      <c r="U20" s="33"/>
      <c r="V20" s="33"/>
      <c r="W20"/>
      <c r="AD20" s="469"/>
    </row>
    <row r="21" spans="2:30" s="32" customFormat="1" ht="16.5" customHeight="1">
      <c r="B21" s="464"/>
      <c r="C21" s="33"/>
      <c r="D21" s="32" t="s">
        <v>374</v>
      </c>
      <c r="F21" s="655">
        <v>111.585</v>
      </c>
      <c r="G21" s="470" t="s">
        <v>15</v>
      </c>
      <c r="H21" s="33"/>
      <c r="K21" s="1115" t="s">
        <v>375</v>
      </c>
      <c r="L21" s="1115"/>
      <c r="M21" s="1115"/>
      <c r="N21" s="961">
        <v>20</v>
      </c>
      <c r="O21" s="33"/>
      <c r="P21" s="697"/>
      <c r="Q21" s="33"/>
      <c r="R21" s="33"/>
      <c r="S21" s="33"/>
      <c r="T21" s="33"/>
      <c r="U21" s="33"/>
      <c r="V21" s="33"/>
      <c r="W21"/>
      <c r="AD21" s="469"/>
    </row>
    <row r="22" spans="2:30" s="32" customFormat="1" ht="16.5" customHeight="1">
      <c r="B22" s="464"/>
      <c r="C22" s="33"/>
      <c r="D22" s="32" t="s">
        <v>376</v>
      </c>
      <c r="F22" s="655">
        <v>89.269</v>
      </c>
      <c r="G22" s="470" t="s">
        <v>15</v>
      </c>
      <c r="H22" s="33"/>
      <c r="K22" s="477"/>
      <c r="L22" s="477"/>
      <c r="M22" s="477"/>
      <c r="N22" s="961"/>
      <c r="O22" s="33"/>
      <c r="P22" s="697"/>
      <c r="Q22" s="33"/>
      <c r="R22" s="33"/>
      <c r="S22" s="33"/>
      <c r="T22" s="33"/>
      <c r="U22" s="33"/>
      <c r="V22" s="33"/>
      <c r="W22"/>
      <c r="AD22" s="469"/>
    </row>
    <row r="23" spans="2:30" s="32" customFormat="1" ht="16.5" customHeight="1">
      <c r="B23" s="464"/>
      <c r="C23" s="33"/>
      <c r="F23" s="655"/>
      <c r="G23" s="470"/>
      <c r="H23" s="33"/>
      <c r="K23" s="477"/>
      <c r="L23" s="477"/>
      <c r="M23" s="477"/>
      <c r="N23" s="961"/>
      <c r="O23" s="33"/>
      <c r="P23" s="697"/>
      <c r="Q23" s="33"/>
      <c r="R23" s="33"/>
      <c r="S23" s="33"/>
      <c r="T23" s="33"/>
      <c r="U23" s="33"/>
      <c r="V23" s="33"/>
      <c r="W23"/>
      <c r="AD23" s="469"/>
    </row>
    <row r="24" spans="2:30" s="32" customFormat="1" ht="8.25" customHeight="1">
      <c r="B24" s="464"/>
      <c r="C24" s="33"/>
      <c r="D24" s="33"/>
      <c r="E24" s="47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/>
      <c r="AD24" s="469"/>
    </row>
    <row r="25" spans="1:30" ht="16.5" customHeight="1">
      <c r="A25" s="5"/>
      <c r="B25" s="50"/>
      <c r="C25" s="159" t="s">
        <v>96</v>
      </c>
      <c r="D25" s="3" t="s">
        <v>130</v>
      </c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1:30" ht="10.5" customHeight="1" thickBot="1">
      <c r="A26" s="5"/>
      <c r="B26" s="50"/>
      <c r="C26" s="66"/>
      <c r="D26" s="3"/>
      <c r="I26" s="4"/>
      <c r="J26" s="32"/>
      <c r="O26" s="4"/>
      <c r="P26" s="4"/>
      <c r="Q26" s="4"/>
      <c r="R26" s="4"/>
      <c r="S26" s="4"/>
      <c r="T26" s="4"/>
      <c r="V26" s="4"/>
      <c r="X26" s="4"/>
      <c r="Y26" s="4"/>
      <c r="Z26" s="4"/>
      <c r="AA26" s="4"/>
      <c r="AB26" s="4"/>
      <c r="AC26" s="4"/>
      <c r="AD26" s="17"/>
    </row>
    <row r="27" spans="2:30" s="32" customFormat="1" ht="16.5" customHeight="1" thickBot="1" thickTop="1">
      <c r="B27" s="464"/>
      <c r="C27" s="467"/>
      <c r="D27"/>
      <c r="E27"/>
      <c r="F27"/>
      <c r="G27"/>
      <c r="H27"/>
      <c r="I27"/>
      <c r="J27" s="478" t="s">
        <v>44</v>
      </c>
      <c r="K27" s="479">
        <f>N19*AC73</f>
        <v>8995.5787469184</v>
      </c>
      <c r="L27"/>
      <c r="S27"/>
      <c r="T27"/>
      <c r="U27"/>
      <c r="W27"/>
      <c r="AD27" s="469"/>
    </row>
    <row r="28" spans="2:30" s="32" customFormat="1" ht="11.25" customHeight="1" thickTop="1">
      <c r="B28" s="464"/>
      <c r="C28" s="467"/>
      <c r="D28" s="33"/>
      <c r="E28" s="477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/>
      <c r="W28"/>
      <c r="AD28" s="469"/>
    </row>
    <row r="29" spans="1:30" ht="16.5" customHeight="1">
      <c r="A29" s="5"/>
      <c r="B29" s="50"/>
      <c r="C29" s="159" t="s">
        <v>97</v>
      </c>
      <c r="D29" s="3" t="s">
        <v>131</v>
      </c>
      <c r="E29" s="20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1:30" ht="21.75" customHeight="1" thickBot="1">
      <c r="A30" s="5"/>
      <c r="B30" s="50"/>
      <c r="C30" s="4"/>
      <c r="D30" s="4"/>
      <c r="E30" s="20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D30" s="17"/>
    </row>
    <row r="31" spans="2:31" s="5" customFormat="1" ht="33.75" customHeight="1" thickBot="1" thickTop="1">
      <c r="B31" s="50"/>
      <c r="C31" s="84" t="s">
        <v>12</v>
      </c>
      <c r="D31" s="202" t="s">
        <v>0</v>
      </c>
      <c r="E31" s="175" t="s">
        <v>13</v>
      </c>
      <c r="F31" s="87" t="s">
        <v>14</v>
      </c>
      <c r="G31" s="203" t="s">
        <v>71</v>
      </c>
      <c r="H31" s="204" t="s">
        <v>36</v>
      </c>
      <c r="I31" s="135" t="s">
        <v>15</v>
      </c>
      <c r="J31" s="85" t="s">
        <v>16</v>
      </c>
      <c r="K31" s="176" t="s">
        <v>17</v>
      </c>
      <c r="L31" s="88" t="s">
        <v>35</v>
      </c>
      <c r="M31" s="86" t="s">
        <v>30</v>
      </c>
      <c r="N31" s="88" t="s">
        <v>98</v>
      </c>
      <c r="O31" s="88" t="s">
        <v>57</v>
      </c>
      <c r="P31" s="176" t="s">
        <v>58</v>
      </c>
      <c r="Q31" s="85" t="s">
        <v>31</v>
      </c>
      <c r="R31" s="137" t="s">
        <v>19</v>
      </c>
      <c r="S31" s="480" t="s">
        <v>20</v>
      </c>
      <c r="T31" s="481" t="s">
        <v>72</v>
      </c>
      <c r="U31" s="482"/>
      <c r="V31" s="483"/>
      <c r="W31" s="484" t="s">
        <v>99</v>
      </c>
      <c r="X31" s="485"/>
      <c r="Y31" s="486"/>
      <c r="Z31" s="487" t="s">
        <v>21</v>
      </c>
      <c r="AA31" s="488" t="s">
        <v>22</v>
      </c>
      <c r="AB31" s="89" t="s">
        <v>74</v>
      </c>
      <c r="AC31" s="121" t="s">
        <v>23</v>
      </c>
      <c r="AD31" s="210"/>
      <c r="AE31"/>
    </row>
    <row r="32" spans="1:30" ht="16.5" customHeight="1" thickTop="1">
      <c r="A32" s="5"/>
      <c r="B32" s="50"/>
      <c r="C32" s="7"/>
      <c r="D32" s="489"/>
      <c r="E32" s="490"/>
      <c r="F32" s="491"/>
      <c r="G32" s="492"/>
      <c r="H32" s="493"/>
      <c r="I32" s="494"/>
      <c r="J32" s="495"/>
      <c r="K32" s="496"/>
      <c r="L32" s="7"/>
      <c r="M32" s="7"/>
      <c r="N32" s="182"/>
      <c r="O32" s="182"/>
      <c r="P32" s="7"/>
      <c r="Q32" s="179"/>
      <c r="R32" s="497"/>
      <c r="S32" s="498"/>
      <c r="T32" s="499"/>
      <c r="U32" s="962"/>
      <c r="V32" s="963"/>
      <c r="W32" s="502"/>
      <c r="X32" s="964"/>
      <c r="Y32" s="965"/>
      <c r="Z32" s="505"/>
      <c r="AA32" s="506"/>
      <c r="AB32" s="507"/>
      <c r="AC32" s="508"/>
      <c r="AD32" s="17"/>
    </row>
    <row r="33" spans="1:30" ht="16.5" customHeight="1">
      <c r="A33" s="5"/>
      <c r="B33" s="50"/>
      <c r="C33" s="823" t="s">
        <v>192</v>
      </c>
      <c r="D33" s="778" t="s">
        <v>377</v>
      </c>
      <c r="E33" s="779">
        <v>500</v>
      </c>
      <c r="F33" s="821">
        <v>285</v>
      </c>
      <c r="G33" s="510" t="s">
        <v>285</v>
      </c>
      <c r="H33" s="511">
        <f>IF(G33="A",200,IF(G33="B",60,20))</f>
        <v>20</v>
      </c>
      <c r="I33" s="512">
        <f>IF(F33&gt;100,F33,100)*$F$19/100</f>
        <v>583.11285</v>
      </c>
      <c r="J33" s="513">
        <v>40590.36875</v>
      </c>
      <c r="K33" s="457">
        <v>40590.861805555556</v>
      </c>
      <c r="L33" s="966">
        <f>IF(D33="","",(K33-J33)*24)</f>
        <v>11.83333333331393</v>
      </c>
      <c r="M33" s="429">
        <f>IF(D33="","",ROUND((K33-J33)*24*60,0))</f>
        <v>710</v>
      </c>
      <c r="N33" s="431" t="s">
        <v>286</v>
      </c>
      <c r="O33" s="967" t="str">
        <f>IF(D33="","","--")</f>
        <v>--</v>
      </c>
      <c r="P33" s="431" t="str">
        <f>IF(D33="","","NO")</f>
        <v>NO</v>
      </c>
      <c r="Q33" s="431" t="str">
        <f>IF(D33="","",IF(OR(N33="P",N33="RP"),"--","NO"))</f>
        <v>--</v>
      </c>
      <c r="R33" s="968">
        <f>IF(N33="P",+I33*H33*ROUND(M33/60,2)/100,"--")</f>
        <v>1379.6450031</v>
      </c>
      <c r="S33" s="969" t="str">
        <f>IF(N33="RP",I33*H33*ROUND(M33/60,2)*0.01*O33/100,"--")</f>
        <v>--</v>
      </c>
      <c r="T33" s="970" t="str">
        <f>IF(AND(N33="F",Q33="NO"),IF(P33="SI",1.2,1)*I33*H33,"--")</f>
        <v>--</v>
      </c>
      <c r="U33" s="971" t="str">
        <f>IF(AND(M33&gt;10,N33="F"),IF(M33&lt;=300,ROUND(M33/60,2),5)*I33*H33*IF(P33="SI",1.2,1),"--")</f>
        <v>--</v>
      </c>
      <c r="V33" s="972" t="str">
        <f>IF(AND(N33="F",M33&gt;300),IF(P33="SI",1.2,1)*(ROUND(M33/60,2)-5)*I33*H33*0.1,"--")</f>
        <v>--</v>
      </c>
      <c r="W33" s="973" t="str">
        <f>IF(AND(N33="R",Q33="NO"),IF(P33="SI",1.2,1)*I33*H33*O33/100,"--")</f>
        <v>--</v>
      </c>
      <c r="X33" s="974" t="str">
        <f>IF(AND(M33&gt;10,N33="R"),IF(M33&lt;=300,ROUND(M33/60,2),5)*I33*H33*O33/100*IF(P33="SI",1.2,1),"--")</f>
        <v>--</v>
      </c>
      <c r="Y33" s="975" t="str">
        <f>IF(AND(N33="R",M33&gt;300),IF(P33="SI",1.2,1)*(ROUND(M33/60,2)-5)*I33*H33*O33/100*0.1,"--")</f>
        <v>--</v>
      </c>
      <c r="Z33" s="976" t="str">
        <f>IF(N33="RF",IF(P33="SI",1.2,1)*ROUND(M33/60,2)*I33*H33*0.1,"--")</f>
        <v>--</v>
      </c>
      <c r="AA33" s="977" t="str">
        <f>IF(N33="RR",IF(P33="SI",1.2,1)*ROUND(M33/60,2)*I33*H33*O33/100*0.1,"--")</f>
        <v>--</v>
      </c>
      <c r="AB33" s="978" t="str">
        <f>IF(D33="","","SI")</f>
        <v>SI</v>
      </c>
      <c r="AC33" s="16">
        <f>IF(D33="","",SUM(R33:AA33)*IF(AB33="SI",1,2))</f>
        <v>1379.6450031</v>
      </c>
      <c r="AD33" s="17"/>
    </row>
    <row r="34" spans="1:30" ht="16.5" customHeight="1">
      <c r="A34" s="5"/>
      <c r="B34" s="50"/>
      <c r="C34" s="823" t="s">
        <v>193</v>
      </c>
      <c r="D34" s="778"/>
      <c r="E34" s="779"/>
      <c r="F34" s="509"/>
      <c r="G34" s="510"/>
      <c r="H34" s="511">
        <f>IF(G34="A",200,IF(G34="B",60,20))</f>
        <v>20</v>
      </c>
      <c r="I34" s="512">
        <f>IF(F34&gt;100,F34,100)*$F$19/100</f>
        <v>204.601</v>
      </c>
      <c r="J34" s="513"/>
      <c r="K34" s="457"/>
      <c r="L34" s="514">
        <f>IF(D34="","",(K34-J34)*24)</f>
      </c>
      <c r="M34" s="380">
        <f>IF(D34="","",ROUND((K34-J34)*24*60,0))</f>
      </c>
      <c r="N34" s="221"/>
      <c r="O34" s="884">
        <f>IF(D34="","","--")</f>
      </c>
      <c r="P34" s="221">
        <f>IF(D34="","","NO")</f>
      </c>
      <c r="Q34" s="221">
        <f>IF(D34="","",IF(OR(N34="P",N34="RP"),"--","NO"))</f>
      </c>
      <c r="R34" s="517" t="str">
        <f>IF(N34="P",+I34*H34*ROUND(M34/60,2)/100,"--")</f>
        <v>--</v>
      </c>
      <c r="S34" s="518" t="str">
        <f>IF(N34="RP",I34*H34*ROUND(M34/60,2)*0.01*O34/100,"--")</f>
        <v>--</v>
      </c>
      <c r="T34" s="519" t="str">
        <f>IF(AND(N34="F",Q34="NO"),IF(P34="SI",1.2,1)*I34*H34,"--")</f>
        <v>--</v>
      </c>
      <c r="U34" s="979" t="str">
        <f>IF(AND(M34&gt;10,N34="F"),IF(M34&lt;=300,ROUND(M34/60,2),5)*I34*H34*IF(P34="SI",1.2,1),"--")</f>
        <v>--</v>
      </c>
      <c r="V34" s="980" t="str">
        <f>IF(AND(N34="F",M34&gt;300),IF(P34="SI",1.2,1)*(ROUND(M34/60,2)-5)*I34*H34*0.1,"--")</f>
        <v>--</v>
      </c>
      <c r="W34" s="522" t="str">
        <f>IF(AND(N34="R",Q34="NO"),IF(P34="SI",1.2,1)*I34*H34*O34/100,"--")</f>
        <v>--</v>
      </c>
      <c r="X34" s="981" t="str">
        <f>IF(AND(M34&gt;10,N34="R"),IF(M34&lt;=300,ROUND(M34/60,2),5)*I34*H34*O34/100*IF(P34="SI",1.2,1),"--")</f>
        <v>--</v>
      </c>
      <c r="Y34" s="982" t="str">
        <f>IF(AND(N34="R",M34&gt;300),IF(P34="SI",1.2,1)*(ROUND(M34/60,2)-5)*I34*H34*O34/100*0.1,"--")</f>
        <v>--</v>
      </c>
      <c r="Z34" s="525" t="str">
        <f>IF(N34="RF",IF(P34="SI",1.2,1)*ROUND(M34/60,2)*I34*H34*0.1,"--")</f>
        <v>--</v>
      </c>
      <c r="AA34" s="526" t="str">
        <f>IF(N34="RR",IF(P34="SI",1.2,1)*ROUND(M34/60,2)*I34*H34*O34/100*0.1,"--")</f>
        <v>--</v>
      </c>
      <c r="AB34" s="887">
        <f>IF(D34="","","SI")</f>
      </c>
      <c r="AC34" s="16">
        <f>IF(D34="","",SUM(R34:AA34)*IF(AB34="SI",1,2))</f>
      </c>
      <c r="AD34" s="17"/>
    </row>
    <row r="35" spans="1:30" ht="16.5" customHeight="1" thickBot="1">
      <c r="A35" s="32"/>
      <c r="B35" s="50"/>
      <c r="C35" s="606"/>
      <c r="D35" s="528"/>
      <c r="E35" s="529"/>
      <c r="F35" s="530"/>
      <c r="G35" s="531"/>
      <c r="H35" s="532"/>
      <c r="I35" s="533"/>
      <c r="J35" s="534"/>
      <c r="K35" s="534"/>
      <c r="L35" s="9"/>
      <c r="M35" s="9"/>
      <c r="N35" s="9"/>
      <c r="O35" s="535"/>
      <c r="P35" s="9"/>
      <c r="Q35" s="9"/>
      <c r="R35" s="536"/>
      <c r="S35" s="537"/>
      <c r="T35" s="538"/>
      <c r="U35" s="983"/>
      <c r="V35" s="984"/>
      <c r="W35" s="541"/>
      <c r="X35" s="985"/>
      <c r="Y35" s="986"/>
      <c r="Z35" s="544"/>
      <c r="AA35" s="545"/>
      <c r="AB35" s="546"/>
      <c r="AC35" s="547"/>
      <c r="AD35" s="227"/>
    </row>
    <row r="36" spans="1:30" ht="16.5" customHeight="1" thickBot="1" thickTop="1">
      <c r="A36" s="32"/>
      <c r="B36" s="50"/>
      <c r="C36" s="467"/>
      <c r="D36" s="467"/>
      <c r="E36" s="548"/>
      <c r="F36" s="477"/>
      <c r="G36" s="549"/>
      <c r="H36" s="549"/>
      <c r="I36" s="550"/>
      <c r="J36" s="550"/>
      <c r="K36" s="550"/>
      <c r="L36" s="550"/>
      <c r="M36" s="550"/>
      <c r="N36" s="550"/>
      <c r="O36" s="551"/>
      <c r="P36" s="550"/>
      <c r="Q36" s="550"/>
      <c r="R36" s="552">
        <f aca="true" t="shared" si="0" ref="R36:AA36">SUM(R32:R35)</f>
        <v>1379.6450031</v>
      </c>
      <c r="S36" s="553">
        <f t="shared" si="0"/>
        <v>0</v>
      </c>
      <c r="T36" s="554">
        <f t="shared" si="0"/>
        <v>0</v>
      </c>
      <c r="U36" s="554">
        <f t="shared" si="0"/>
        <v>0</v>
      </c>
      <c r="V36" s="554">
        <f t="shared" si="0"/>
        <v>0</v>
      </c>
      <c r="W36" s="555">
        <f t="shared" si="0"/>
        <v>0</v>
      </c>
      <c r="X36" s="555">
        <f t="shared" si="0"/>
        <v>0</v>
      </c>
      <c r="Y36" s="555">
        <f t="shared" si="0"/>
        <v>0</v>
      </c>
      <c r="Z36" s="556">
        <f t="shared" si="0"/>
        <v>0</v>
      </c>
      <c r="AA36" s="557">
        <f t="shared" si="0"/>
        <v>0</v>
      </c>
      <c r="AB36" s="558"/>
      <c r="AC36" s="559">
        <f>SUM(AC32:AC35)</f>
        <v>1379.6450031</v>
      </c>
      <c r="AD36" s="227"/>
    </row>
    <row r="37" spans="1:30" ht="13.5" customHeight="1" thickBot="1" thickTop="1">
      <c r="A37" s="32"/>
      <c r="B37" s="50"/>
      <c r="C37" s="467"/>
      <c r="D37" s="467"/>
      <c r="E37" s="548"/>
      <c r="F37" s="477"/>
      <c r="G37" s="549"/>
      <c r="H37" s="549"/>
      <c r="I37" s="550"/>
      <c r="J37" s="550"/>
      <c r="K37" s="550"/>
      <c r="L37" s="550"/>
      <c r="M37" s="550"/>
      <c r="N37" s="550"/>
      <c r="O37" s="551"/>
      <c r="P37" s="550"/>
      <c r="Q37" s="550"/>
      <c r="R37" s="560"/>
      <c r="S37" s="561"/>
      <c r="T37" s="562"/>
      <c r="U37" s="562"/>
      <c r="V37" s="562"/>
      <c r="W37" s="560"/>
      <c r="X37" s="560"/>
      <c r="Y37" s="560"/>
      <c r="Z37" s="560"/>
      <c r="AA37" s="560"/>
      <c r="AB37" s="563"/>
      <c r="AC37" s="564"/>
      <c r="AD37" s="227"/>
    </row>
    <row r="38" spans="1:33" s="5" customFormat="1" ht="33.75" customHeight="1" thickBot="1" thickTop="1">
      <c r="A38" s="90"/>
      <c r="B38" s="95"/>
      <c r="C38" s="123" t="s">
        <v>12</v>
      </c>
      <c r="D38" s="119" t="s">
        <v>26</v>
      </c>
      <c r="E38" s="118" t="s">
        <v>27</v>
      </c>
      <c r="F38" s="120" t="s">
        <v>28</v>
      </c>
      <c r="G38" s="121" t="s">
        <v>13</v>
      </c>
      <c r="H38" s="129" t="s">
        <v>15</v>
      </c>
      <c r="I38" s="565"/>
      <c r="J38" s="118" t="s">
        <v>16</v>
      </c>
      <c r="K38" s="118" t="s">
        <v>17</v>
      </c>
      <c r="L38" s="119" t="s">
        <v>29</v>
      </c>
      <c r="M38" s="119" t="s">
        <v>30</v>
      </c>
      <c r="N38" s="88" t="s">
        <v>100</v>
      </c>
      <c r="O38" s="118" t="s">
        <v>31</v>
      </c>
      <c r="P38" s="566" t="s">
        <v>32</v>
      </c>
      <c r="Q38" s="567"/>
      <c r="R38" s="129" t="s">
        <v>33</v>
      </c>
      <c r="S38" s="568" t="s">
        <v>19</v>
      </c>
      <c r="T38" s="569" t="s">
        <v>101</v>
      </c>
      <c r="U38" s="570"/>
      <c r="V38" s="571" t="s">
        <v>21</v>
      </c>
      <c r="W38" s="572"/>
      <c r="X38" s="573"/>
      <c r="Y38" s="573"/>
      <c r="Z38" s="573"/>
      <c r="AA38" s="574"/>
      <c r="AB38" s="132" t="s">
        <v>74</v>
      </c>
      <c r="AC38" s="121" t="s">
        <v>23</v>
      </c>
      <c r="AD38" s="17"/>
      <c r="AF38"/>
      <c r="AG38"/>
    </row>
    <row r="39" spans="1:30" ht="16.5" customHeight="1" thickTop="1">
      <c r="A39" s="5"/>
      <c r="B39" s="50"/>
      <c r="C39" s="7"/>
      <c r="D39" s="10"/>
      <c r="E39" s="10"/>
      <c r="F39" s="10"/>
      <c r="G39" s="575"/>
      <c r="H39" s="576"/>
      <c r="I39" s="577"/>
      <c r="J39" s="10"/>
      <c r="K39" s="10"/>
      <c r="L39" s="10"/>
      <c r="M39" s="10"/>
      <c r="N39" s="10"/>
      <c r="O39" s="578"/>
      <c r="P39" s="579"/>
      <c r="Q39" s="580"/>
      <c r="R39" s="133"/>
      <c r="S39" s="581"/>
      <c r="T39" s="582"/>
      <c r="U39" s="583"/>
      <c r="V39" s="584"/>
      <c r="W39" s="585"/>
      <c r="X39" s="586"/>
      <c r="Y39" s="586"/>
      <c r="Z39" s="586"/>
      <c r="AA39" s="587"/>
      <c r="AB39" s="578"/>
      <c r="AC39" s="588"/>
      <c r="AD39" s="17"/>
    </row>
    <row r="40" spans="1:30" ht="16.5" customHeight="1">
      <c r="A40" s="5"/>
      <c r="B40" s="50"/>
      <c r="C40" s="823" t="s">
        <v>192</v>
      </c>
      <c r="D40" s="945"/>
      <c r="E40" s="945"/>
      <c r="F40" s="146"/>
      <c r="G40" s="275"/>
      <c r="H40" s="593">
        <f>F40*$F$20</f>
        <v>0</v>
      </c>
      <c r="I40" s="594"/>
      <c r="J40" s="378"/>
      <c r="K40" s="185"/>
      <c r="L40" s="292">
        <f>IF(D40="","",(K40-J40)*24)</f>
      </c>
      <c r="M40" s="14">
        <f>IF(D40="","",(K40-J40)*24*60)</f>
      </c>
      <c r="N40" s="13"/>
      <c r="O40" s="8"/>
      <c r="P40" s="596">
        <f>IF(D40="","","NO")</f>
      </c>
      <c r="Q40" s="597"/>
      <c r="R40" s="598">
        <f>200*IF(P40="SI",1,0.1)*IF(N40="P",0.1,1)</f>
        <v>20</v>
      </c>
      <c r="S40" s="599" t="str">
        <f>IF(N40="P",H40*R40*ROUND(M40/60,2),"--")</f>
        <v>--</v>
      </c>
      <c r="T40" s="600" t="str">
        <f>IF(AND(N40="F",O40="NO"),H40*R40,"--")</f>
        <v>--</v>
      </c>
      <c r="U40" s="601" t="str">
        <f>IF(N40="F",H40*R40*ROUND(M40/60,2),"--")</f>
        <v>--</v>
      </c>
      <c r="V40" s="374" t="str">
        <f>IF(N40="RF",H40*R40*ROUND(M40/60,2),"--")</f>
        <v>--</v>
      </c>
      <c r="W40" s="602"/>
      <c r="X40" s="603"/>
      <c r="Y40" s="603"/>
      <c r="Z40" s="603"/>
      <c r="AA40" s="604"/>
      <c r="AB40" s="302">
        <f>IF(D40="","","SI")</f>
      </c>
      <c r="AC40" s="303">
        <f>IF(D40="","",SUM(S40:V40)*IF(AB40="SI",1,2))</f>
      </c>
      <c r="AD40" s="17"/>
    </row>
    <row r="41" spans="1:30" ht="16.5" customHeight="1">
      <c r="A41" s="5"/>
      <c r="B41" s="50"/>
      <c r="C41" s="823" t="s">
        <v>193</v>
      </c>
      <c r="D41" s="589"/>
      <c r="E41" s="590"/>
      <c r="F41" s="591"/>
      <c r="G41" s="592"/>
      <c r="H41" s="593">
        <f>F41*$F$20</f>
        <v>0</v>
      </c>
      <c r="I41" s="594"/>
      <c r="J41" s="595"/>
      <c r="K41" s="595"/>
      <c r="L41" s="292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596">
        <f>IF(D41="","","NO")</f>
      </c>
      <c r="Q41" s="597"/>
      <c r="R41" s="598">
        <f>200*IF(P41="SI",1,0.1)*IF(N41="P",0.1,1)</f>
        <v>20</v>
      </c>
      <c r="S41" s="599" t="str">
        <f>IF(N41="P",H41*R41*ROUND(M41/60,2),"--")</f>
        <v>--</v>
      </c>
      <c r="T41" s="600" t="str">
        <f>IF(AND(N41="F",O41="NO"),H41*R41,"--")</f>
        <v>--</v>
      </c>
      <c r="U41" s="601" t="str">
        <f>IF(N41="F",H41*R41*ROUND(M41/60,2),"--")</f>
        <v>--</v>
      </c>
      <c r="V41" s="374" t="str">
        <f>IF(N41="RF",H41*R41*ROUND(M41/60,2),"--")</f>
        <v>--</v>
      </c>
      <c r="W41" s="602"/>
      <c r="X41" s="603"/>
      <c r="Y41" s="603"/>
      <c r="Z41" s="603"/>
      <c r="AA41" s="604"/>
      <c r="AB41" s="302">
        <f>IF(D41="","","SI")</f>
      </c>
      <c r="AC41" s="303">
        <f>IF(D41="","",SUM(S41:V41)*IF(AB41="SI",1,2))</f>
      </c>
      <c r="AD41" s="17"/>
    </row>
    <row r="42" spans="1:30" ht="16.5" customHeight="1" thickBot="1">
      <c r="A42" s="32"/>
      <c r="B42" s="50"/>
      <c r="C42" s="606"/>
      <c r="D42" s="607"/>
      <c r="E42" s="608"/>
      <c r="F42" s="609"/>
      <c r="G42" s="610"/>
      <c r="H42" s="611"/>
      <c r="I42" s="612"/>
      <c r="J42" s="613"/>
      <c r="K42" s="614"/>
      <c r="L42" s="615"/>
      <c r="M42" s="616"/>
      <c r="N42" s="617"/>
      <c r="O42" s="9"/>
      <c r="P42" s="618"/>
      <c r="Q42" s="619"/>
      <c r="R42" s="620"/>
      <c r="S42" s="621"/>
      <c r="T42" s="622"/>
      <c r="U42" s="623"/>
      <c r="V42" s="624"/>
      <c r="W42" s="625"/>
      <c r="X42" s="626"/>
      <c r="Y42" s="626"/>
      <c r="Z42" s="626"/>
      <c r="AA42" s="627"/>
      <c r="AB42" s="628"/>
      <c r="AC42" s="629"/>
      <c r="AD42" s="227"/>
    </row>
    <row r="43" spans="1:30" ht="16.5" customHeight="1" thickBot="1" thickTop="1">
      <c r="A43" s="32"/>
      <c r="B43" s="50"/>
      <c r="C43" s="98"/>
      <c r="D43" s="201"/>
      <c r="E43" s="201"/>
      <c r="F43" s="405"/>
      <c r="G43" s="630">
        <f>SUM(I17:I41)</f>
        <v>787.71385</v>
      </c>
      <c r="H43" s="551"/>
      <c r="I43" s="1"/>
      <c r="J43" s="987"/>
      <c r="K43" s="988"/>
      <c r="L43" s="634"/>
      <c r="M43" s="635"/>
      <c r="N43" s="631"/>
      <c r="O43" s="190"/>
      <c r="P43" s="642"/>
      <c r="Q43" s="642"/>
      <c r="R43" s="947"/>
      <c r="S43" s="948"/>
      <c r="T43" s="949"/>
      <c r="U43" s="949"/>
      <c r="V43" s="950"/>
      <c r="W43" s="903"/>
      <c r="X43" s="903"/>
      <c r="Y43" s="903"/>
      <c r="Z43" s="903"/>
      <c r="AA43" s="903"/>
      <c r="AB43" s="191"/>
      <c r="AC43" s="559">
        <f>SUM(AC39:AC42)</f>
        <v>0</v>
      </c>
      <c r="AD43" s="227"/>
    </row>
    <row r="44" spans="1:30" ht="16.5" customHeight="1" thickBot="1" thickTop="1">
      <c r="A44" s="32"/>
      <c r="B44" s="50"/>
      <c r="C44" s="98"/>
      <c r="D44" s="201"/>
      <c r="E44" s="201"/>
      <c r="F44" s="405"/>
      <c r="G44" s="630"/>
      <c r="H44" s="551"/>
      <c r="I44" s="1"/>
      <c r="J44" s="550"/>
      <c r="K44" s="1"/>
      <c r="L44" s="634"/>
      <c r="M44" s="635"/>
      <c r="N44" s="631"/>
      <c r="O44" s="190"/>
      <c r="P44" s="642"/>
      <c r="Q44" s="642"/>
      <c r="R44" s="947"/>
      <c r="S44" s="948"/>
      <c r="T44" s="949"/>
      <c r="U44" s="949"/>
      <c r="V44" s="950"/>
      <c r="W44" s="903"/>
      <c r="X44" s="903"/>
      <c r="Y44" s="903"/>
      <c r="Z44" s="903"/>
      <c r="AA44" s="903"/>
      <c r="AB44" s="191"/>
      <c r="AC44" s="989"/>
      <c r="AD44" s="227"/>
    </row>
    <row r="45" spans="1:30" ht="49.5" customHeight="1" thickBot="1" thickTop="1">
      <c r="A45" s="32"/>
      <c r="B45" s="50"/>
      <c r="C45" s="123" t="s">
        <v>12</v>
      </c>
      <c r="D45" s="86" t="s">
        <v>26</v>
      </c>
      <c r="E45" s="85" t="s">
        <v>27</v>
      </c>
      <c r="F45" s="1116" t="s">
        <v>28</v>
      </c>
      <c r="G45" s="1117"/>
      <c r="H45" s="129" t="s">
        <v>15</v>
      </c>
      <c r="I45" s="990"/>
      <c r="J45" s="85" t="s">
        <v>16</v>
      </c>
      <c r="K45" s="85" t="s">
        <v>17</v>
      </c>
      <c r="L45" s="86" t="s">
        <v>35</v>
      </c>
      <c r="M45" s="86" t="s">
        <v>30</v>
      </c>
      <c r="N45" s="88" t="s">
        <v>18</v>
      </c>
      <c r="O45" s="88" t="s">
        <v>57</v>
      </c>
      <c r="P45" s="1128" t="s">
        <v>31</v>
      </c>
      <c r="Q45" s="1129"/>
      <c r="R45" s="129" t="s">
        <v>36</v>
      </c>
      <c r="S45" s="407" t="s">
        <v>70</v>
      </c>
      <c r="T45" s="408" t="s">
        <v>378</v>
      </c>
      <c r="U45" s="409"/>
      <c r="V45" s="410" t="s">
        <v>21</v>
      </c>
      <c r="W45" s="255" t="s">
        <v>20</v>
      </c>
      <c r="Z45" s="903"/>
      <c r="AA45" s="903"/>
      <c r="AB45" s="132" t="s">
        <v>74</v>
      </c>
      <c r="AC45" s="411" t="s">
        <v>23</v>
      </c>
      <c r="AD45" s="227"/>
    </row>
    <row r="46" spans="1:30" ht="16.5" customHeight="1" thickTop="1">
      <c r="A46" s="32"/>
      <c r="B46" s="50"/>
      <c r="C46" s="800"/>
      <c r="D46" s="413"/>
      <c r="E46" s="413"/>
      <c r="F46" s="1118"/>
      <c r="G46" s="1119"/>
      <c r="H46" s="331"/>
      <c r="I46" s="991"/>
      <c r="J46" s="414"/>
      <c r="K46" s="414"/>
      <c r="L46" s="412"/>
      <c r="M46" s="412"/>
      <c r="N46" s="413"/>
      <c r="O46" s="992"/>
      <c r="P46" s="1118"/>
      <c r="Q46" s="1119"/>
      <c r="R46" s="415"/>
      <c r="S46" s="416"/>
      <c r="T46" s="993"/>
      <c r="U46" s="994"/>
      <c r="V46" s="419"/>
      <c r="W46" s="419"/>
      <c r="Z46" s="903"/>
      <c r="AA46" s="903"/>
      <c r="AB46" s="420"/>
      <c r="AC46" s="421"/>
      <c r="AD46" s="227"/>
    </row>
    <row r="47" spans="1:30" ht="16.5" customHeight="1">
      <c r="A47" s="32"/>
      <c r="B47" s="50"/>
      <c r="C47" s="823" t="s">
        <v>192</v>
      </c>
      <c r="D47" s="957"/>
      <c r="E47" s="957"/>
      <c r="F47" s="1126"/>
      <c r="G47" s="1127"/>
      <c r="H47" s="995">
        <f>F47*$F$20</f>
        <v>0</v>
      </c>
      <c r="I47" s="996"/>
      <c r="J47" s="997"/>
      <c r="K47" s="998"/>
      <c r="L47" s="428">
        <f>IF(D47="","",(K47-J47)*24)</f>
      </c>
      <c r="M47" s="429">
        <f>IF(D47="","",ROUND((K47-J47)*24*60,0))</f>
      </c>
      <c r="N47" s="999"/>
      <c r="O47" s="1000">
        <f>IF(D47="","","--")</f>
      </c>
      <c r="P47" s="1130">
        <f>IF(D47="","",IF(OR(N47="P",N47="RP"),"--","NO"))</f>
      </c>
      <c r="Q47" s="1131"/>
      <c r="R47" s="432">
        <f>IF(OR(N47="P",N47="RP"),$N$21/10,$N$21)</f>
        <v>20</v>
      </c>
      <c r="S47" s="1001" t="str">
        <f>IF(N47="P",H47*R47*ROUND(M47/60,2),"--")</f>
        <v>--</v>
      </c>
      <c r="T47" s="434" t="str">
        <f>IF(AND(N47="F",P47="NO"),H47*R47,"--")</f>
        <v>--</v>
      </c>
      <c r="U47" s="435" t="str">
        <f>IF(N47="F",H47*R47*ROUND(M47/60,2),"--")</f>
        <v>--</v>
      </c>
      <c r="V47" s="436" t="str">
        <f>IF(N47="RF",H47*R47*ROUND(M47/60,2),"--")</f>
        <v>--</v>
      </c>
      <c r="W47" s="436" t="str">
        <f>IF(O47="RP",J47*R47*P47/100*ROUND(N47/60,2),"--")</f>
        <v>--</v>
      </c>
      <c r="X47" s="1002"/>
      <c r="Y47" s="1002"/>
      <c r="Z47" s="1003"/>
      <c r="AA47" s="1003"/>
      <c r="AB47" s="431">
        <f>IF(D47="","","SI")</f>
      </c>
      <c r="AC47" s="1004">
        <f>IF(D47="","",SUM(S47:W47)*IF(AB47="SI",1,2)*IF(AND(O47&lt;&gt;"--",N47="RF"),O47/100,1))</f>
      </c>
      <c r="AD47" s="227"/>
    </row>
    <row r="48" spans="1:30" ht="16.5" customHeight="1" thickBot="1">
      <c r="A48" s="32"/>
      <c r="B48" s="50"/>
      <c r="C48" s="823" t="s">
        <v>193</v>
      </c>
      <c r="D48" s="957"/>
      <c r="E48" s="957"/>
      <c r="F48" s="1126"/>
      <c r="G48" s="1127"/>
      <c r="H48" s="995"/>
      <c r="I48" s="1005"/>
      <c r="J48" s="997"/>
      <c r="K48" s="998"/>
      <c r="L48" s="428"/>
      <c r="M48" s="429"/>
      <c r="N48" s="999"/>
      <c r="O48" s="1000"/>
      <c r="P48" s="1130"/>
      <c r="Q48" s="1131"/>
      <c r="R48" s="432"/>
      <c r="S48" s="1001"/>
      <c r="T48" s="434"/>
      <c r="U48" s="435"/>
      <c r="V48" s="436"/>
      <c r="W48" s="436"/>
      <c r="X48" s="1006"/>
      <c r="Y48" s="1006"/>
      <c r="Z48" s="1007"/>
      <c r="AA48" s="1007"/>
      <c r="AB48" s="431"/>
      <c r="AC48" s="1004"/>
      <c r="AD48" s="227"/>
    </row>
    <row r="49" spans="1:30" ht="16.5" customHeight="1" thickBot="1" thickTop="1">
      <c r="A49" s="32"/>
      <c r="B49" s="50"/>
      <c r="C49" s="1008"/>
      <c r="D49" s="1009"/>
      <c r="E49" s="1009"/>
      <c r="F49" s="1121"/>
      <c r="G49" s="1122"/>
      <c r="H49" s="1010"/>
      <c r="I49" s="1011"/>
      <c r="J49" s="1012"/>
      <c r="K49" s="1013"/>
      <c r="L49" s="1014"/>
      <c r="M49" s="310"/>
      <c r="N49" s="382"/>
      <c r="O49" s="1015"/>
      <c r="P49" s="1124"/>
      <c r="Q49" s="1125"/>
      <c r="R49" s="1016"/>
      <c r="S49" s="1017"/>
      <c r="T49" s="1018"/>
      <c r="U49" s="1019"/>
      <c r="V49" s="1020"/>
      <c r="W49" s="1020"/>
      <c r="X49" s="1021"/>
      <c r="Y49" s="1021"/>
      <c r="Z49" s="626"/>
      <c r="AA49" s="626"/>
      <c r="AB49" s="9"/>
      <c r="AC49" s="1022"/>
      <c r="AD49" s="227"/>
    </row>
    <row r="50" spans="1:30" ht="16.5" customHeight="1" thickBot="1" thickTop="1">
      <c r="A50" s="32"/>
      <c r="B50" s="50"/>
      <c r="C50" s="98"/>
      <c r="D50" s="201"/>
      <c r="E50" s="201"/>
      <c r="F50" s="405"/>
      <c r="G50" s="630"/>
      <c r="H50" s="551"/>
      <c r="J50" s="632"/>
      <c r="K50" s="633"/>
      <c r="L50" s="634"/>
      <c r="M50" s="635"/>
      <c r="N50" s="631"/>
      <c r="O50" s="190"/>
      <c r="P50" s="642"/>
      <c r="Q50" s="642"/>
      <c r="R50" s="947"/>
      <c r="S50" s="948"/>
      <c r="T50" s="949"/>
      <c r="U50" s="949"/>
      <c r="V50" s="950"/>
      <c r="W50" s="903"/>
      <c r="X50" s="903"/>
      <c r="Y50" s="903"/>
      <c r="Z50" s="903"/>
      <c r="AA50" s="903"/>
      <c r="AB50" s="191"/>
      <c r="AC50" s="559">
        <f>SUM(AC46:AC49)</f>
        <v>0</v>
      </c>
      <c r="AD50" s="227"/>
    </row>
    <row r="51" spans="1:30" ht="16.5" customHeight="1" thickBot="1" thickTop="1">
      <c r="A51" s="32"/>
      <c r="B51" s="50"/>
      <c r="C51" s="98"/>
      <c r="D51" s="201"/>
      <c r="E51" s="201"/>
      <c r="F51" s="405"/>
      <c r="G51" s="630"/>
      <c r="H51" s="551"/>
      <c r="J51" s="632"/>
      <c r="K51" s="633"/>
      <c r="L51" s="634"/>
      <c r="M51" s="635"/>
      <c r="N51" s="631"/>
      <c r="O51" s="190"/>
      <c r="P51" s="642"/>
      <c r="Q51" s="642"/>
      <c r="R51" s="947"/>
      <c r="S51" s="948"/>
      <c r="T51" s="949"/>
      <c r="U51" s="949"/>
      <c r="V51" s="950"/>
      <c r="W51" s="903"/>
      <c r="X51" s="903"/>
      <c r="Y51" s="903"/>
      <c r="Z51" s="903"/>
      <c r="AA51" s="903"/>
      <c r="AB51" s="191"/>
      <c r="AC51" s="989"/>
      <c r="AD51" s="227"/>
    </row>
    <row r="52" spans="1:30" ht="16.5" customHeight="1" thickBot="1" thickTop="1">
      <c r="A52" s="32"/>
      <c r="B52" s="50"/>
      <c r="C52" s="98"/>
      <c r="D52" s="201"/>
      <c r="E52" s="201"/>
      <c r="F52" s="405"/>
      <c r="G52" s="630"/>
      <c r="H52" s="631"/>
      <c r="I52" s="632"/>
      <c r="J52" s="478" t="s">
        <v>41</v>
      </c>
      <c r="K52" s="479">
        <f>AC43+AC36+AC50</f>
        <v>1379.6450031</v>
      </c>
      <c r="L52" s="635"/>
      <c r="M52" s="631"/>
      <c r="N52" s="641"/>
      <c r="O52" s="642"/>
      <c r="P52" s="637"/>
      <c r="Q52" s="638"/>
      <c r="R52" s="639"/>
      <c r="S52" s="639"/>
      <c r="T52" s="639"/>
      <c r="U52" s="191"/>
      <c r="V52" s="191"/>
      <c r="W52" s="191"/>
      <c r="X52" s="191"/>
      <c r="Y52" s="191"/>
      <c r="Z52" s="191"/>
      <c r="AA52" s="191"/>
      <c r="AB52" s="191"/>
      <c r="AC52" s="643"/>
      <c r="AD52" s="227"/>
    </row>
    <row r="53" spans="1:30" ht="13.5" customHeight="1" thickTop="1">
      <c r="A53" s="32"/>
      <c r="B53" s="464"/>
      <c r="C53" s="467"/>
      <c r="D53" s="644"/>
      <c r="E53" s="645"/>
      <c r="F53" s="646"/>
      <c r="G53" s="647"/>
      <c r="H53" s="647"/>
      <c r="I53" s="645"/>
      <c r="J53" s="455"/>
      <c r="K53" s="455"/>
      <c r="L53" s="645"/>
      <c r="M53" s="645"/>
      <c r="N53" s="645"/>
      <c r="O53" s="648"/>
      <c r="P53" s="645"/>
      <c r="Q53" s="645"/>
      <c r="R53" s="649"/>
      <c r="S53" s="650"/>
      <c r="T53" s="650"/>
      <c r="U53" s="651"/>
      <c r="AC53" s="651"/>
      <c r="AD53" s="652"/>
    </row>
    <row r="54" spans="1:30" ht="16.5" customHeight="1">
      <c r="A54" s="32"/>
      <c r="B54" s="464"/>
      <c r="C54" s="653" t="s">
        <v>102</v>
      </c>
      <c r="D54" s="654" t="s">
        <v>132</v>
      </c>
      <c r="E54" s="645"/>
      <c r="F54" s="646"/>
      <c r="G54" s="647"/>
      <c r="H54" s="647"/>
      <c r="I54" s="645"/>
      <c r="J54" s="455"/>
      <c r="K54" s="455"/>
      <c r="L54" s="645"/>
      <c r="M54" s="645"/>
      <c r="N54" s="645"/>
      <c r="O54" s="648"/>
      <c r="P54" s="645"/>
      <c r="Q54" s="645"/>
      <c r="R54" s="649"/>
      <c r="S54" s="650"/>
      <c r="T54" s="650"/>
      <c r="U54" s="651"/>
      <c r="AC54" s="651"/>
      <c r="AD54" s="652"/>
    </row>
    <row r="55" spans="1:30" ht="16.5" customHeight="1">
      <c r="A55" s="32"/>
      <c r="B55" s="464"/>
      <c r="C55" s="653"/>
      <c r="D55" s="644"/>
      <c r="E55" s="645"/>
      <c r="F55" s="646"/>
      <c r="G55" s="647"/>
      <c r="H55" s="647"/>
      <c r="I55" s="645"/>
      <c r="J55" s="455"/>
      <c r="K55" s="455"/>
      <c r="L55" s="645"/>
      <c r="M55" s="645"/>
      <c r="N55" s="645"/>
      <c r="O55" s="648"/>
      <c r="P55" s="645"/>
      <c r="Q55" s="645"/>
      <c r="R55" s="645"/>
      <c r="S55" s="649"/>
      <c r="T55" s="650"/>
      <c r="AD55" s="652"/>
    </row>
    <row r="56" spans="2:30" s="32" customFormat="1" ht="16.5" customHeight="1">
      <c r="B56" s="464"/>
      <c r="C56" s="467"/>
      <c r="D56" s="655" t="s">
        <v>0</v>
      </c>
      <c r="E56" s="550" t="s">
        <v>103</v>
      </c>
      <c r="F56" s="550" t="s">
        <v>42</v>
      </c>
      <c r="G56" s="656" t="s">
        <v>133</v>
      </c>
      <c r="H56" s="551"/>
      <c r="I56" s="550"/>
      <c r="J56"/>
      <c r="K56"/>
      <c r="L56" s="657" t="s">
        <v>134</v>
      </c>
      <c r="M56"/>
      <c r="N56"/>
      <c r="O56"/>
      <c r="P56"/>
      <c r="Q56" s="660"/>
      <c r="R56" s="660"/>
      <c r="S56" s="33"/>
      <c r="T56"/>
      <c r="U56"/>
      <c r="V56"/>
      <c r="W56"/>
      <c r="X56" s="33"/>
      <c r="Y56" s="33"/>
      <c r="Z56" s="33"/>
      <c r="AA56" s="33"/>
      <c r="AB56" s="33"/>
      <c r="AC56" s="661" t="s">
        <v>136</v>
      </c>
      <c r="AD56" s="652"/>
    </row>
    <row r="57" spans="2:30" s="32" customFormat="1" ht="16.5" customHeight="1">
      <c r="B57" s="464"/>
      <c r="C57" s="467"/>
      <c r="D57" s="550" t="s">
        <v>379</v>
      </c>
      <c r="E57" s="663">
        <v>285</v>
      </c>
      <c r="F57" s="663">
        <v>500</v>
      </c>
      <c r="G57" s="664">
        <f>E57*$F$19*$N$20/100</f>
        <v>391851.8352</v>
      </c>
      <c r="H57" s="664"/>
      <c r="I57" s="664"/>
      <c r="J57" s="169"/>
      <c r="K57"/>
      <c r="L57" s="665">
        <v>0</v>
      </c>
      <c r="M57" s="169"/>
      <c r="N57" s="666" t="str">
        <f>"(DTE "&amp;DATO!$G$14&amp;DATO!$H$14&amp;")"</f>
        <v>(DTE 0211)</v>
      </c>
      <c r="O57"/>
      <c r="P57"/>
      <c r="Q57" s="660"/>
      <c r="R57" s="660"/>
      <c r="S57" s="33"/>
      <c r="T57"/>
      <c r="U57"/>
      <c r="V57"/>
      <c r="W57"/>
      <c r="X57" s="33"/>
      <c r="Y57" s="33"/>
      <c r="Z57" s="33"/>
      <c r="AA57" s="33"/>
      <c r="AB57" s="667"/>
      <c r="AC57" s="476">
        <f>L57+G57</f>
        <v>391851.8352</v>
      </c>
      <c r="AD57" s="652"/>
    </row>
    <row r="58" spans="2:30" s="32" customFormat="1" ht="16.5" customHeight="1">
      <c r="B58" s="464"/>
      <c r="C58" s="467"/>
      <c r="D58" s="550"/>
      <c r="E58" s="663"/>
      <c r="F58" s="663"/>
      <c r="G58" s="664"/>
      <c r="H58" s="664"/>
      <c r="I58" s="664"/>
      <c r="J58" s="169"/>
      <c r="K58"/>
      <c r="L58" s="665"/>
      <c r="M58" s="169"/>
      <c r="N58" s="666"/>
      <c r="O58"/>
      <c r="P58"/>
      <c r="Q58" s="660"/>
      <c r="R58" s="660"/>
      <c r="S58" s="33"/>
      <c r="T58"/>
      <c r="U58"/>
      <c r="V58"/>
      <c r="W58"/>
      <c r="X58" s="33"/>
      <c r="Y58" s="33"/>
      <c r="Z58" s="33"/>
      <c r="AA58" s="33"/>
      <c r="AB58" s="667"/>
      <c r="AC58" s="476"/>
      <c r="AD58" s="652"/>
    </row>
    <row r="59" spans="2:30" s="32" customFormat="1" ht="16.5" customHeight="1">
      <c r="B59" s="464"/>
      <c r="C59" s="467"/>
      <c r="D59" s="550"/>
      <c r="E59" s="663"/>
      <c r="F59" s="663"/>
      <c r="G59" s="664"/>
      <c r="H59" s="664"/>
      <c r="I59" s="664"/>
      <c r="J59" s="169"/>
      <c r="K59"/>
      <c r="L59" s="665"/>
      <c r="M59" s="169"/>
      <c r="N59" s="666"/>
      <c r="O59"/>
      <c r="P59"/>
      <c r="Q59" s="660"/>
      <c r="R59" s="660"/>
      <c r="S59" s="33"/>
      <c r="T59"/>
      <c r="U59"/>
      <c r="V59"/>
      <c r="W59"/>
      <c r="X59" s="33"/>
      <c r="Y59" s="33"/>
      <c r="Z59" s="33"/>
      <c r="AA59" s="33"/>
      <c r="AB59" s="667"/>
      <c r="AC59" s="476"/>
      <c r="AD59" s="652"/>
    </row>
    <row r="60" spans="2:30" s="32" customFormat="1" ht="16.5" customHeight="1">
      <c r="B60" s="464"/>
      <c r="C60" s="467"/>
      <c r="D60" s="550"/>
      <c r="E60" s="663"/>
      <c r="F60" s="663"/>
      <c r="G60" s="664"/>
      <c r="H60" s="664"/>
      <c r="I60" s="664"/>
      <c r="J60" s="169"/>
      <c r="K60"/>
      <c r="L60" s="665"/>
      <c r="M60" s="169"/>
      <c r="N60" s="666"/>
      <c r="O60"/>
      <c r="P60"/>
      <c r="Q60" s="660"/>
      <c r="R60" s="660"/>
      <c r="S60" s="33"/>
      <c r="T60"/>
      <c r="U60"/>
      <c r="V60"/>
      <c r="W60"/>
      <c r="X60" s="33"/>
      <c r="Y60" s="33"/>
      <c r="Z60" s="33"/>
      <c r="AA60" s="33"/>
      <c r="AB60" s="667"/>
      <c r="AC60" s="476"/>
      <c r="AD60" s="652"/>
    </row>
    <row r="61" spans="2:30" s="32" customFormat="1" ht="16.5" customHeight="1">
      <c r="B61" s="464"/>
      <c r="C61" s="467"/>
      <c r="AD61" s="652"/>
    </row>
    <row r="62" spans="2:30" s="32" customFormat="1" ht="16.5" customHeight="1">
      <c r="B62" s="464"/>
      <c r="C62" s="467"/>
      <c r="D62" s="668"/>
      <c r="E62" s="663"/>
      <c r="F62" s="663"/>
      <c r="G62" s="664"/>
      <c r="H62" s="668"/>
      <c r="I62" s="669"/>
      <c r="J62" s="169"/>
      <c r="K62"/>
      <c r="L62" s="664"/>
      <c r="M62" s="169"/>
      <c r="N62" s="666"/>
      <c r="O62" s="670"/>
      <c r="P62"/>
      <c r="Q62" s="660"/>
      <c r="R62" s="660"/>
      <c r="S62" s="33"/>
      <c r="T62"/>
      <c r="U62"/>
      <c r="V62"/>
      <c r="W62"/>
      <c r="X62" s="33"/>
      <c r="Y62" s="33"/>
      <c r="Z62" s="33"/>
      <c r="AA62" s="33"/>
      <c r="AB62" s="33"/>
      <c r="AC62" s="476"/>
      <c r="AD62" s="652"/>
    </row>
    <row r="63" spans="1:30" ht="16.5" customHeight="1">
      <c r="A63" s="32"/>
      <c r="B63" s="464"/>
      <c r="C63" s="467"/>
      <c r="D63" s="655" t="s">
        <v>112</v>
      </c>
      <c r="E63" s="550" t="s">
        <v>113</v>
      </c>
      <c r="F63" s="550" t="s">
        <v>42</v>
      </c>
      <c r="G63" s="656" t="s">
        <v>137</v>
      </c>
      <c r="I63" s="658"/>
      <c r="J63" s="550"/>
      <c r="L63" s="657" t="s">
        <v>135</v>
      </c>
      <c r="M63" s="658"/>
      <c r="N63" s="659"/>
      <c r="O63" s="660"/>
      <c r="P63" s="660"/>
      <c r="Q63" s="660"/>
      <c r="R63" s="660"/>
      <c r="S63" s="660"/>
      <c r="AC63" s="476"/>
      <c r="AD63" s="652"/>
    </row>
    <row r="64" spans="1:30" ht="16.5" customHeight="1">
      <c r="A64" s="32"/>
      <c r="B64" s="464"/>
      <c r="C64" s="467"/>
      <c r="D64" s="550" t="s">
        <v>410</v>
      </c>
      <c r="E64" s="663">
        <v>450</v>
      </c>
      <c r="F64" s="663" t="s">
        <v>411</v>
      </c>
      <c r="G64" s="664">
        <f>E64*F20*N20</f>
        <v>169344.00000000003</v>
      </c>
      <c r="H64" s="169"/>
      <c r="I64" s="169"/>
      <c r="J64" s="665"/>
      <c r="L64" s="665">
        <v>0</v>
      </c>
      <c r="M64" s="169"/>
      <c r="N64" s="666" t="str">
        <f>"(DTE "&amp;DATO!$G$14&amp;DATO!$H$14&amp;")"</f>
        <v>(DTE 0211)</v>
      </c>
      <c r="O64" s="698"/>
      <c r="P64" s="698"/>
      <c r="Q64" s="698"/>
      <c r="R64" s="698"/>
      <c r="S64" s="698"/>
      <c r="AC64" s="699">
        <f>G64+L64</f>
        <v>169344.00000000003</v>
      </c>
      <c r="AD64" s="652"/>
    </row>
    <row r="65" spans="1:30" ht="16.5" customHeight="1">
      <c r="A65" s="32"/>
      <c r="B65" s="464"/>
      <c r="C65" s="467"/>
      <c r="D65" s="550"/>
      <c r="E65" s="663"/>
      <c r="F65" s="663"/>
      <c r="G65" s="664"/>
      <c r="H65" s="169"/>
      <c r="I65" s="169"/>
      <c r="J65" s="665"/>
      <c r="L65" s="665"/>
      <c r="M65" s="169"/>
      <c r="N65" s="666"/>
      <c r="O65" s="698"/>
      <c r="P65" s="698"/>
      <c r="Q65" s="698"/>
      <c r="R65" s="698"/>
      <c r="S65" s="698"/>
      <c r="AC65" s="699"/>
      <c r="AD65" s="652"/>
    </row>
    <row r="66" spans="1:30" ht="16.5" customHeight="1">
      <c r="A66" s="32"/>
      <c r="B66" s="464"/>
      <c r="C66" s="467"/>
      <c r="D66" s="655" t="s">
        <v>60</v>
      </c>
      <c r="E66" s="669" t="s">
        <v>365</v>
      </c>
      <c r="F66" s="669"/>
      <c r="G66" s="550" t="s">
        <v>42</v>
      </c>
      <c r="I66" s="658"/>
      <c r="J66" s="656" t="s">
        <v>367</v>
      </c>
      <c r="L66" s="665"/>
      <c r="M66" s="169"/>
      <c r="N66" s="666"/>
      <c r="O66" s="698"/>
      <c r="P66" s="698"/>
      <c r="Q66" s="698"/>
      <c r="R66" s="698"/>
      <c r="S66" s="698"/>
      <c r="AC66" s="699"/>
      <c r="AD66" s="652"/>
    </row>
    <row r="67" spans="1:30" ht="16.5" customHeight="1">
      <c r="A67" s="32"/>
      <c r="B67" s="464"/>
      <c r="C67" s="467"/>
      <c r="D67" s="550" t="s">
        <v>380</v>
      </c>
      <c r="E67" s="1123" t="s">
        <v>380</v>
      </c>
      <c r="F67" s="1123"/>
      <c r="G67" s="663">
        <v>500</v>
      </c>
      <c r="H67" s="169"/>
      <c r="I67" s="169"/>
      <c r="J67" s="664">
        <f>1*$F$21*$N$20</f>
        <v>74985.12</v>
      </c>
      <c r="L67" s="665"/>
      <c r="M67" s="169"/>
      <c r="N67" s="666"/>
      <c r="O67" s="698"/>
      <c r="P67" s="698"/>
      <c r="Q67" s="698"/>
      <c r="R67" s="698"/>
      <c r="S67" s="698"/>
      <c r="AC67" s="699">
        <f>J67</f>
        <v>74985.12</v>
      </c>
      <c r="AD67" s="652"/>
    </row>
    <row r="68" spans="1:30" ht="16.5" customHeight="1">
      <c r="A68" s="32"/>
      <c r="B68" s="464"/>
      <c r="C68" s="467"/>
      <c r="AD68" s="652"/>
    </row>
    <row r="69" spans="1:30" ht="16.5" customHeight="1" thickBot="1">
      <c r="A69" s="32"/>
      <c r="B69" s="464"/>
      <c r="C69" s="467"/>
      <c r="D69" s="550"/>
      <c r="E69" s="663"/>
      <c r="F69" s="663"/>
      <c r="G69" s="663"/>
      <c r="H69" s="169"/>
      <c r="I69" s="169"/>
      <c r="J69" s="664"/>
      <c r="L69" s="665"/>
      <c r="M69" s="169"/>
      <c r="N69" s="666"/>
      <c r="O69" s="698"/>
      <c r="P69" s="698"/>
      <c r="Q69" s="698"/>
      <c r="R69" s="698"/>
      <c r="S69" s="698"/>
      <c r="AC69" s="699"/>
      <c r="AD69" s="652"/>
    </row>
    <row r="70" spans="1:30" ht="18" customHeight="1" thickBot="1" thickTop="1">
      <c r="A70" s="32"/>
      <c r="B70" s="464"/>
      <c r="C70" s="467"/>
      <c r="D70" s="455"/>
      <c r="E70" s="472"/>
      <c r="F70" s="550"/>
      <c r="G70" s="550"/>
      <c r="H70" s="551"/>
      <c r="J70" s="550"/>
      <c r="L70" s="672"/>
      <c r="M70" s="659"/>
      <c r="N70" s="659"/>
      <c r="O70" s="660"/>
      <c r="P70" s="660"/>
      <c r="Q70" s="660"/>
      <c r="R70" s="660"/>
      <c r="S70" s="660"/>
      <c r="AB70" s="1023" t="s">
        <v>43</v>
      </c>
      <c r="AC70" s="1024">
        <f>SUM(AC57:AC69)</f>
        <v>636180.9552</v>
      </c>
      <c r="AD70" s="652"/>
    </row>
    <row r="71" spans="2:30" ht="16.5" customHeight="1" thickTop="1">
      <c r="B71" s="464"/>
      <c r="C71" s="653" t="s">
        <v>106</v>
      </c>
      <c r="D71" s="673" t="s">
        <v>107</v>
      </c>
      <c r="E71" s="550"/>
      <c r="F71" s="674"/>
      <c r="G71" s="549"/>
      <c r="H71" s="455"/>
      <c r="I71" s="455"/>
      <c r="J71" s="455"/>
      <c r="K71" s="550"/>
      <c r="L71" s="550"/>
      <c r="M71" s="455"/>
      <c r="N71" s="550"/>
      <c r="O71" s="455"/>
      <c r="P71" s="455"/>
      <c r="Q71" s="455"/>
      <c r="R71" s="455"/>
      <c r="S71" s="455"/>
      <c r="T71" s="455"/>
      <c r="U71" s="455"/>
      <c r="AC71" s="455"/>
      <c r="AD71" s="652"/>
    </row>
    <row r="72" spans="2:30" s="32" customFormat="1" ht="16.5" customHeight="1" thickBot="1">
      <c r="B72" s="464"/>
      <c r="C72" s="467"/>
      <c r="D72" s="655" t="s">
        <v>108</v>
      </c>
      <c r="E72" s="675">
        <f>10*K52*K27/AC70</f>
        <v>195.0813705870353</v>
      </c>
      <c r="G72" s="549"/>
      <c r="L72" s="550"/>
      <c r="N72" s="550"/>
      <c r="O72" s="551"/>
      <c r="V72"/>
      <c r="W72"/>
      <c r="AD72" s="652"/>
    </row>
    <row r="73" spans="2:30" s="32" customFormat="1" ht="16.5" customHeight="1" thickBot="1" thickTop="1">
      <c r="B73" s="464"/>
      <c r="C73" s="467"/>
      <c r="E73" s="676"/>
      <c r="F73" s="477"/>
      <c r="G73" s="549"/>
      <c r="J73" s="549"/>
      <c r="K73" s="564"/>
      <c r="L73" s="550"/>
      <c r="M73" s="550"/>
      <c r="N73" s="550"/>
      <c r="O73" s="551"/>
      <c r="P73" s="550"/>
      <c r="Q73" s="550"/>
      <c r="R73" s="563"/>
      <c r="S73" s="563"/>
      <c r="T73" s="563"/>
      <c r="U73" s="677"/>
      <c r="V73"/>
      <c r="W73"/>
      <c r="AB73" s="1023" t="s">
        <v>372</v>
      </c>
      <c r="AC73" s="1024">
        <v>224889.46867296</v>
      </c>
      <c r="AD73" s="652"/>
    </row>
    <row r="74" spans="2:30" s="32" customFormat="1" ht="16.5" customHeight="1" thickTop="1">
      <c r="B74" s="464"/>
      <c r="C74" s="467"/>
      <c r="E74" s="676"/>
      <c r="F74" s="477"/>
      <c r="G74" s="549"/>
      <c r="J74" s="549"/>
      <c r="K74" s="564"/>
      <c r="L74" s="550"/>
      <c r="M74" s="550"/>
      <c r="N74" s="550"/>
      <c r="O74" s="551"/>
      <c r="P74" s="550"/>
      <c r="Q74" s="550"/>
      <c r="R74" s="563"/>
      <c r="S74" s="563"/>
      <c r="T74" s="563"/>
      <c r="U74" s="677"/>
      <c r="V74"/>
      <c r="W74"/>
      <c r="AB74" s="1025"/>
      <c r="AC74" s="1026"/>
      <c r="AD74" s="652"/>
    </row>
    <row r="75" spans="2:30" ht="16.5" customHeight="1">
      <c r="B75" s="464"/>
      <c r="C75" s="467"/>
      <c r="D75" s="678" t="s">
        <v>211</v>
      </c>
      <c r="E75" s="679"/>
      <c r="F75" s="477"/>
      <c r="G75" s="549"/>
      <c r="H75" s="455"/>
      <c r="I75" s="455"/>
      <c r="O75" s="551"/>
      <c r="Q75" s="550"/>
      <c r="R75" s="658"/>
      <c r="S75" s="658"/>
      <c r="T75" s="658"/>
      <c r="U75" s="659"/>
      <c r="AC75" s="659"/>
      <c r="AD75" s="652"/>
    </row>
    <row r="76" spans="2:30" ht="16.5" customHeight="1" thickBot="1">
      <c r="B76" s="464"/>
      <c r="C76" s="467"/>
      <c r="D76" s="678"/>
      <c r="E76" s="679"/>
      <c r="F76" s="477"/>
      <c r="G76" s="549"/>
      <c r="H76" s="455"/>
      <c r="I76" s="455"/>
      <c r="N76" s="550"/>
      <c r="O76" s="551"/>
      <c r="Q76" s="550"/>
      <c r="R76" s="658"/>
      <c r="S76" s="658"/>
      <c r="T76" s="658"/>
      <c r="U76" s="659"/>
      <c r="AC76" s="659"/>
      <c r="AD76" s="652"/>
    </row>
    <row r="77" spans="2:30" s="680" customFormat="1" ht="24" thickBot="1" thickTop="1">
      <c r="B77" s="681"/>
      <c r="C77" s="682"/>
      <c r="D77" s="683"/>
      <c r="E77" s="684"/>
      <c r="F77" s="685"/>
      <c r="G77" s="686"/>
      <c r="I77"/>
      <c r="J77" s="687" t="s">
        <v>109</v>
      </c>
      <c r="K77" s="688">
        <f>IF(E72&gt;3*K27,K27*3,E72)</f>
        <v>195.0813705870353</v>
      </c>
      <c r="L77" s="827"/>
      <c r="M77" s="1120"/>
      <c r="N77" s="1120"/>
      <c r="O77" s="1120"/>
      <c r="P77" s="1027" t="s">
        <v>381</v>
      </c>
      <c r="Q77" s="689"/>
      <c r="R77" s="691"/>
      <c r="S77" s="691"/>
      <c r="T77" s="691"/>
      <c r="U77" s="692"/>
      <c r="V77"/>
      <c r="W77"/>
      <c r="AC77" s="692"/>
      <c r="AD77" s="693"/>
    </row>
    <row r="78" spans="2:30" ht="16.5" customHeight="1" thickBot="1" thickTop="1">
      <c r="B78" s="57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192"/>
      <c r="W78" s="192"/>
      <c r="X78" s="192"/>
      <c r="Y78" s="192"/>
      <c r="Z78" s="192"/>
      <c r="AA78" s="192"/>
      <c r="AB78" s="192"/>
      <c r="AC78" s="59"/>
      <c r="AD78" s="694"/>
    </row>
    <row r="79" spans="2:23" ht="16.5" customHeight="1" thickTop="1">
      <c r="B79" s="1"/>
      <c r="C79" s="73"/>
      <c r="W79" s="1"/>
    </row>
  </sheetData>
  <sheetProtection password="CC12"/>
  <mergeCells count="13">
    <mergeCell ref="P49:Q49"/>
    <mergeCell ref="F47:G47"/>
    <mergeCell ref="F48:G48"/>
    <mergeCell ref="P45:Q45"/>
    <mergeCell ref="P46:Q46"/>
    <mergeCell ref="P47:Q47"/>
    <mergeCell ref="P48:Q48"/>
    <mergeCell ref="K21:M21"/>
    <mergeCell ref="F45:G45"/>
    <mergeCell ref="F46:G46"/>
    <mergeCell ref="M77:O77"/>
    <mergeCell ref="F49:G49"/>
    <mergeCell ref="E67:F67"/>
  </mergeCells>
  <printOptions horizontalCentered="1"/>
  <pageMargins left="0.3937007874015748" right="0.1968503937007874" top="0.7874015748031497" bottom="0.58" header="0.5118110236220472" footer="0.35"/>
  <pageSetup fitToHeight="1" fitToWidth="1" orientation="landscape" paperSize="9" scale="35" r:id="rId4"/>
  <headerFooter alignWithMargins="0">
    <oddFooter>&amp;L&amp;"Times New Roman,Normal"&amp;7&amp;F-&amp;A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80"/>
  <sheetViews>
    <sheetView zoomScale="50" zoomScaleNormal="50" zoomScalePageLayoutView="0" workbookViewId="0" topLeftCell="A1">
      <selection activeCell="G41" sqref="G41"/>
    </sheetView>
  </sheetViews>
  <sheetFormatPr defaultColWidth="11.421875" defaultRowHeight="12.75"/>
  <cols>
    <col min="1" max="1" width="22.7109375" style="0" customWidth="1"/>
    <col min="2" max="2" width="10.140625" style="0" customWidth="1"/>
    <col min="3" max="3" width="4.7109375" style="0" customWidth="1"/>
    <col min="4" max="4" width="30.7109375" style="0" customWidth="1"/>
    <col min="5" max="5" width="21.8515625" style="0" customWidth="1"/>
    <col min="6" max="6" width="15.00390625" style="0" customWidth="1"/>
    <col min="7" max="7" width="14.7109375" style="0" customWidth="1"/>
    <col min="8" max="8" width="10.14062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7109375" style="0" hidden="1" customWidth="1"/>
    <col min="23" max="27" width="8.421875" style="0" hidden="1" customWidth="1"/>
    <col min="29" max="29" width="21.003906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1" customFormat="1" ht="30.75">
      <c r="A3" s="458"/>
      <c r="B3" s="459" t="str">
        <f>'TOT-0211'!B2</f>
        <v>ANEXO III al Memorándum D.T.E.E. N°  1088 /2012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AB3" s="460"/>
      <c r="AC3" s="460"/>
      <c r="AD3" s="460"/>
    </row>
    <row r="4" spans="1:2" s="25" customFormat="1" ht="11.25">
      <c r="A4" s="695" t="s">
        <v>1</v>
      </c>
      <c r="B4" s="696"/>
    </row>
    <row r="5" spans="1:2" s="25" customFormat="1" ht="12" thickBot="1">
      <c r="A5" s="695" t="s">
        <v>2</v>
      </c>
      <c r="B5" s="695"/>
    </row>
    <row r="6" spans="1:30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3"/>
      <c r="X6" s="173"/>
      <c r="Y6" s="173"/>
      <c r="Z6" s="173"/>
      <c r="AA6" s="173"/>
      <c r="AB6" s="173"/>
      <c r="AC6" s="173"/>
      <c r="AD6" s="94"/>
    </row>
    <row r="7" spans="1:30" ht="20.25">
      <c r="A7" s="5"/>
      <c r="B7" s="50"/>
      <c r="C7" s="4"/>
      <c r="D7" s="171" t="s">
        <v>90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1" t="s">
        <v>91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5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1" t="s">
        <v>392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5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'TOT-0211'!B14</f>
        <v>Desde el 01 al 28 de febrero de 2011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462"/>
      <c r="Y13" s="462"/>
      <c r="Z13" s="462"/>
      <c r="AA13" s="462"/>
      <c r="AB13" s="126"/>
      <c r="AC13" s="169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9" t="s">
        <v>92</v>
      </c>
      <c r="D17" s="54" t="s">
        <v>93</v>
      </c>
      <c r="E17" s="66"/>
      <c r="F17" s="66"/>
      <c r="G17" s="4"/>
      <c r="H17" s="4"/>
      <c r="I17" s="4"/>
      <c r="J17" s="46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64"/>
      <c r="C18" s="33"/>
      <c r="D18" s="465"/>
      <c r="E18" s="466"/>
      <c r="F18" s="467"/>
      <c r="G18" s="33"/>
      <c r="H18" s="33"/>
      <c r="I18" s="33"/>
      <c r="J18" s="468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69"/>
    </row>
    <row r="19" spans="2:30" s="32" customFormat="1" ht="16.5" customHeight="1">
      <c r="B19" s="464"/>
      <c r="C19" s="33"/>
      <c r="D19" s="470" t="s">
        <v>94</v>
      </c>
      <c r="F19" s="471">
        <v>204.601</v>
      </c>
      <c r="G19" s="470" t="s">
        <v>95</v>
      </c>
      <c r="H19" s="33"/>
      <c r="I19" s="33"/>
      <c r="J19" s="472"/>
      <c r="K19" s="473" t="s">
        <v>39</v>
      </c>
      <c r="L19" s="474">
        <v>0.04</v>
      </c>
      <c r="R19" s="33"/>
      <c r="S19" s="33"/>
      <c r="T19" s="33"/>
      <c r="U19" s="33"/>
      <c r="V19" s="33"/>
      <c r="W19"/>
      <c r="AD19" s="469"/>
    </row>
    <row r="20" spans="2:30" s="32" customFormat="1" ht="16.5" customHeight="1">
      <c r="B20" s="464"/>
      <c r="C20" s="33"/>
      <c r="D20" s="470" t="s">
        <v>110</v>
      </c>
      <c r="F20" s="471">
        <v>0.56</v>
      </c>
      <c r="G20" s="470" t="s">
        <v>111</v>
      </c>
      <c r="H20" s="33"/>
      <c r="I20" s="33"/>
      <c r="J20" s="33"/>
      <c r="K20" s="465" t="s">
        <v>37</v>
      </c>
      <c r="L20" s="33">
        <f>MID(B13,16,2)*24</f>
        <v>672</v>
      </c>
      <c r="M20" s="33" t="s">
        <v>38</v>
      </c>
      <c r="N20" s="33"/>
      <c r="O20" s="33"/>
      <c r="P20" s="697"/>
      <c r="Q20" s="33"/>
      <c r="R20" s="33"/>
      <c r="S20" s="33"/>
      <c r="T20" s="33"/>
      <c r="U20" s="33"/>
      <c r="V20" s="33"/>
      <c r="W20"/>
      <c r="AD20" s="469"/>
    </row>
    <row r="21" spans="2:30" s="32" customFormat="1" ht="16.5" customHeight="1">
      <c r="B21" s="464"/>
      <c r="C21" s="33"/>
      <c r="D21" s="470" t="s">
        <v>363</v>
      </c>
      <c r="F21" s="471">
        <v>89.269</v>
      </c>
      <c r="G21" s="470" t="s">
        <v>364</v>
      </c>
      <c r="H21" s="33"/>
      <c r="I21" s="33"/>
      <c r="J21" s="33"/>
      <c r="K21" s="199"/>
      <c r="L21" s="200"/>
      <c r="M21" s="33"/>
      <c r="N21" s="33"/>
      <c r="O21" s="33"/>
      <c r="P21" s="697"/>
      <c r="Q21" s="33"/>
      <c r="R21" s="33"/>
      <c r="S21" s="33"/>
      <c r="T21" s="33"/>
      <c r="U21" s="33"/>
      <c r="V21" s="33"/>
      <c r="W21"/>
      <c r="AD21" s="469"/>
    </row>
    <row r="22" spans="2:30" s="32" customFormat="1" ht="8.25" customHeight="1">
      <c r="B22" s="464"/>
      <c r="C22" s="33"/>
      <c r="D22" s="33"/>
      <c r="E22" s="47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/>
      <c r="AD22" s="469"/>
    </row>
    <row r="23" spans="1:30" ht="16.5" customHeight="1">
      <c r="A23" s="5"/>
      <c r="B23" s="50"/>
      <c r="C23" s="159" t="s">
        <v>96</v>
      </c>
      <c r="D23" s="3" t="s">
        <v>130</v>
      </c>
      <c r="I23" s="4"/>
      <c r="J23" s="32"/>
      <c r="O23" s="4"/>
      <c r="P23" s="4"/>
      <c r="Q23" s="4"/>
      <c r="R23" s="4"/>
      <c r="S23" s="4"/>
      <c r="T23" s="4"/>
      <c r="V23" s="4"/>
      <c r="X23" s="4"/>
      <c r="Y23" s="4"/>
      <c r="Z23" s="4"/>
      <c r="AA23" s="4"/>
      <c r="AB23" s="4"/>
      <c r="AC23" s="4"/>
      <c r="AD23" s="17"/>
    </row>
    <row r="24" spans="1:30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2:30" s="32" customFormat="1" ht="16.5" customHeight="1" thickBot="1" thickTop="1">
      <c r="B25" s="464"/>
      <c r="C25" s="467"/>
      <c r="D25"/>
      <c r="E25"/>
      <c r="F25"/>
      <c r="G25"/>
      <c r="H25"/>
      <c r="I25"/>
      <c r="J25" s="478" t="s">
        <v>44</v>
      </c>
      <c r="K25" s="479">
        <f>L19*AC72</f>
        <v>11228.1050112</v>
      </c>
      <c r="L25"/>
      <c r="S25"/>
      <c r="T25"/>
      <c r="U25"/>
      <c r="W25"/>
      <c r="AD25" s="469"/>
    </row>
    <row r="26" spans="2:30" s="32" customFormat="1" ht="11.25" customHeight="1" thickTop="1">
      <c r="B26" s="464"/>
      <c r="C26" s="467"/>
      <c r="D26" s="33"/>
      <c r="E26" s="47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/>
      <c r="AD26" s="469"/>
    </row>
    <row r="27" spans="1:30" ht="16.5" customHeight="1">
      <c r="A27" s="5"/>
      <c r="B27" s="50"/>
      <c r="C27" s="159" t="s">
        <v>97</v>
      </c>
      <c r="D27" s="3" t="s">
        <v>131</v>
      </c>
      <c r="E27" s="20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D27" s="17"/>
    </row>
    <row r="28" spans="1:30" ht="21.75" customHeight="1" thickBot="1">
      <c r="A28" s="5"/>
      <c r="B28" s="50"/>
      <c r="C28" s="4"/>
      <c r="D28" s="4"/>
      <c r="E28" s="20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2:31" s="5" customFormat="1" ht="33.75" customHeight="1" thickBot="1" thickTop="1">
      <c r="B29" s="50"/>
      <c r="C29" s="84" t="s">
        <v>12</v>
      </c>
      <c r="D29" s="202" t="s">
        <v>0</v>
      </c>
      <c r="E29" s="175" t="s">
        <v>13</v>
      </c>
      <c r="F29" s="87" t="s">
        <v>14</v>
      </c>
      <c r="G29" s="203" t="s">
        <v>71</v>
      </c>
      <c r="H29" s="204" t="s">
        <v>36</v>
      </c>
      <c r="I29" s="135" t="s">
        <v>15</v>
      </c>
      <c r="J29" s="85" t="s">
        <v>16</v>
      </c>
      <c r="K29" s="176" t="s">
        <v>17</v>
      </c>
      <c r="L29" s="88" t="s">
        <v>35</v>
      </c>
      <c r="M29" s="86" t="s">
        <v>30</v>
      </c>
      <c r="N29" s="88" t="s">
        <v>98</v>
      </c>
      <c r="O29" s="88" t="s">
        <v>57</v>
      </c>
      <c r="P29" s="176" t="s">
        <v>58</v>
      </c>
      <c r="Q29" s="85" t="s">
        <v>31</v>
      </c>
      <c r="R29" s="137" t="s">
        <v>19</v>
      </c>
      <c r="S29" s="480" t="s">
        <v>20</v>
      </c>
      <c r="T29" s="481" t="s">
        <v>72</v>
      </c>
      <c r="U29" s="482"/>
      <c r="V29" s="483"/>
      <c r="W29" s="484" t="s">
        <v>99</v>
      </c>
      <c r="X29" s="485"/>
      <c r="Y29" s="486"/>
      <c r="Z29" s="487" t="s">
        <v>21</v>
      </c>
      <c r="AA29" s="488" t="s">
        <v>22</v>
      </c>
      <c r="AB29" s="89" t="s">
        <v>74</v>
      </c>
      <c r="AC29" s="121" t="s">
        <v>23</v>
      </c>
      <c r="AD29" s="210"/>
      <c r="AE29"/>
    </row>
    <row r="30" spans="1:30" ht="16.5" customHeight="1" thickTop="1">
      <c r="A30" s="5"/>
      <c r="B30" s="50"/>
      <c r="C30" s="7"/>
      <c r="D30" s="489"/>
      <c r="E30" s="490"/>
      <c r="F30" s="491"/>
      <c r="G30" s="492"/>
      <c r="H30" s="493"/>
      <c r="I30" s="494"/>
      <c r="J30" s="495"/>
      <c r="K30" s="496"/>
      <c r="L30" s="7"/>
      <c r="M30" s="7"/>
      <c r="N30" s="182"/>
      <c r="O30" s="182"/>
      <c r="P30" s="7"/>
      <c r="Q30" s="179"/>
      <c r="R30" s="497"/>
      <c r="S30" s="498"/>
      <c r="T30" s="499"/>
      <c r="U30" s="500"/>
      <c r="V30" s="501"/>
      <c r="W30" s="502"/>
      <c r="X30" s="503"/>
      <c r="Y30" s="504"/>
      <c r="Z30" s="505"/>
      <c r="AA30" s="506"/>
      <c r="AB30" s="507"/>
      <c r="AC30" s="508"/>
      <c r="AD30" s="17"/>
    </row>
    <row r="31" spans="1:30" ht="16.5" customHeight="1">
      <c r="A31" s="5"/>
      <c r="B31" s="50"/>
      <c r="C31" s="823" t="s">
        <v>192</v>
      </c>
      <c r="D31" s="7"/>
      <c r="E31" s="456"/>
      <c r="F31" s="509"/>
      <c r="G31" s="510"/>
      <c r="H31" s="511">
        <f>IF(G31="A",200,IF(G31="B",60,20))</f>
        <v>20</v>
      </c>
      <c r="I31" s="512">
        <f>IF(F31&gt;100,F31,100)*$F$19/100</f>
        <v>204.601</v>
      </c>
      <c r="J31" s="513"/>
      <c r="K31" s="457"/>
      <c r="L31" s="514">
        <f>IF(D31="","",(K31-J31)*24)</f>
      </c>
      <c r="M31" s="951">
        <f>IF(D31="","",ROUND((K31-J31)*24*60,0))</f>
      </c>
      <c r="N31" s="515"/>
      <c r="O31" s="516">
        <f>IF(D31="","","--")</f>
      </c>
      <c r="P31" s="221">
        <f>IF(D31="","","NO")</f>
      </c>
      <c r="Q31" s="221">
        <f>IF(D31="","",IF(OR(N31="P",N31="RP"),"--","NO"))</f>
      </c>
      <c r="R31" s="517" t="str">
        <f>IF(N31="P",+I31*H31*ROUND(M31/60,2)/100,"--")</f>
        <v>--</v>
      </c>
      <c r="S31" s="518" t="str">
        <f>IF(N31="RP",I31*H31*ROUND(M31/60,2)*0.01*O31/100,"--")</f>
        <v>--</v>
      </c>
      <c r="T31" s="519" t="str">
        <f>IF(AND(N31="F",Q31="NO"),IF(P31="SI",1.2,1)*I31*H31,"--")</f>
        <v>--</v>
      </c>
      <c r="U31" s="520" t="str">
        <f>IF(AND(M31&gt;10,N31="F"),IF(M31&lt;=300,ROUND(M31/60,2),5)*I31*H31*IF(P31="SI",1.2,1),"--")</f>
        <v>--</v>
      </c>
      <c r="V31" s="521" t="str">
        <f>IF(AND(N31="F",M31&gt;300),IF(P31="SI",1.2,1)*(ROUND(M31/60,2)-5)*I31*H31*0.1,"--")</f>
        <v>--</v>
      </c>
      <c r="W31" s="522" t="str">
        <f>IF(AND(N31="R",Q31="NO"),IF(P31="SI",1.2,1)*I31*H31*O31/100,"--")</f>
        <v>--</v>
      </c>
      <c r="X31" s="523" t="str">
        <f>IF(AND(M31&gt;10,N31="R"),IF(M31&lt;=300,ROUND(M31/60,2),5)*I31*H31*O31/100*IF(P31="SI",1.2,1),"--")</f>
        <v>--</v>
      </c>
      <c r="Y31" s="524" t="str">
        <f>IF(AND(N31="R",M31&gt;300),IF(P31="SI",1.2,1)*(ROUND(M31/60,2)-5)*I31*H31*O31/100*0.1,"--")</f>
        <v>--</v>
      </c>
      <c r="Z31" s="525" t="str">
        <f>IF(N31="RF",IF(P31="SI",1.2,1)*ROUND(M31/60,2)*I31*H31*0.1,"--")</f>
        <v>--</v>
      </c>
      <c r="AA31" s="526" t="str">
        <f>IF(N31="RR",IF(P31="SI",1.2,1)*ROUND(M31/60,2)*I31*H31*O31/100*0.1,"--")</f>
        <v>--</v>
      </c>
      <c r="AB31" s="527"/>
      <c r="AC31" s="16">
        <f>IF(D31="","",SUM(R31:AA31)*IF(AB31="SI",1,2))</f>
      </c>
      <c r="AD31" s="17"/>
    </row>
    <row r="32" spans="1:30" ht="16.5" customHeight="1">
      <c r="A32" s="5"/>
      <c r="B32" s="50"/>
      <c r="C32" s="823" t="s">
        <v>193</v>
      </c>
      <c r="D32" s="7"/>
      <c r="E32" s="456"/>
      <c r="F32" s="509"/>
      <c r="G32" s="510"/>
      <c r="H32" s="511">
        <f>IF(G32="A",200,IF(G32="B",60,20))</f>
        <v>20</v>
      </c>
      <c r="I32" s="512">
        <f>IF(F32&gt;100,F32,100)*$F$19/100</f>
        <v>204.601</v>
      </c>
      <c r="J32" s="513"/>
      <c r="K32" s="457"/>
      <c r="L32" s="514">
        <f>IF(D32="","",(K32-J32)*24)</f>
      </c>
      <c r="M32" s="380">
        <f>IF(D32="","",ROUND((K32-J32)*24*60,0))</f>
      </c>
      <c r="N32" s="515"/>
      <c r="O32" s="516">
        <f>IF(D32="","","--")</f>
      </c>
      <c r="P32" s="221">
        <f>IF(D32="","","NO")</f>
      </c>
      <c r="Q32" s="221">
        <f>IF(D32="","",IF(OR(N32="P",N32="RP"),"--","NO"))</f>
      </c>
      <c r="R32" s="517" t="str">
        <f>IF(N32="P",+I32*H32*ROUND(M32/60,2)/100,"--")</f>
        <v>--</v>
      </c>
      <c r="S32" s="518" t="str">
        <f>IF(N32="RP",I32*H32*ROUND(M32/60,2)*0.01*O32/100,"--")</f>
        <v>--</v>
      </c>
      <c r="T32" s="519" t="str">
        <f>IF(AND(N32="F",Q32="NO"),IF(P32="SI",1.2,1)*I32*H32,"--")</f>
        <v>--</v>
      </c>
      <c r="U32" s="520" t="str">
        <f>IF(AND(M32&gt;10,N32="F"),IF(M32&lt;=300,ROUND(M32/60,2),5)*I32*H32*IF(P32="SI",1.2,1),"--")</f>
        <v>--</v>
      </c>
      <c r="V32" s="521" t="str">
        <f>IF(AND(N32="F",M32&gt;300),IF(P32="SI",1.2,1)*(ROUND(M32/60,2)-5)*I32*H32*0.1,"--")</f>
        <v>--</v>
      </c>
      <c r="W32" s="522" t="str">
        <f>IF(AND(N32="R",Q32="NO"),IF(P32="SI",1.2,1)*I32*H32*O32/100,"--")</f>
        <v>--</v>
      </c>
      <c r="X32" s="523" t="str">
        <f>IF(AND(M32&gt;10,N32="R"),IF(M32&lt;=300,ROUND(M32/60,2),5)*I32*H32*O32/100*IF(P32="SI",1.2,1),"--")</f>
        <v>--</v>
      </c>
      <c r="Y32" s="524" t="str">
        <f>IF(AND(N32="R",M32&gt;300),IF(P32="SI",1.2,1)*(ROUND(M32/60,2)-5)*I32*H32*O32/100*0.1,"--")</f>
        <v>--</v>
      </c>
      <c r="Z32" s="525" t="str">
        <f>IF(N32="RF",IF(P32="SI",1.2,1)*ROUND(M32/60,2)*I32*H32*0.1,"--")</f>
        <v>--</v>
      </c>
      <c r="AA32" s="526" t="str">
        <f>IF(N32="RR",IF(P32="SI",1.2,1)*ROUND(M32/60,2)*I32*H32*O32/100*0.1,"--")</f>
        <v>--</v>
      </c>
      <c r="AB32" s="527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823" t="s">
        <v>194</v>
      </c>
      <c r="D33" s="7"/>
      <c r="E33" s="456"/>
      <c r="F33" s="509"/>
      <c r="G33" s="510"/>
      <c r="H33" s="511">
        <f>IF(G33="A",200,IF(G33="B",60,20))</f>
        <v>20</v>
      </c>
      <c r="I33" s="512">
        <f>IF(F33&gt;100,F33,100)*$F$19/100</f>
        <v>204.601</v>
      </c>
      <c r="J33" s="513"/>
      <c r="K33" s="457"/>
      <c r="L33" s="514">
        <f>IF(D33="","",(K33-J33)*24)</f>
      </c>
      <c r="M33" s="380">
        <f>IF(D33="","",ROUND((K33-J33)*24*60,0))</f>
      </c>
      <c r="N33" s="515"/>
      <c r="O33" s="516">
        <f>IF(D33="","","--")</f>
      </c>
      <c r="P33" s="221">
        <f>IF(D33="","","NO")</f>
      </c>
      <c r="Q33" s="221">
        <f>IF(D33="","",IF(OR(N33="P",N33="RP"),"--","NO"))</f>
      </c>
      <c r="R33" s="517" t="str">
        <f>IF(N33="P",+I33*H33*ROUND(M33/60,2)/100,"--")</f>
        <v>--</v>
      </c>
      <c r="S33" s="518" t="str">
        <f>IF(N33="RP",I33*H33*ROUND(M33/60,2)*0.01*O33/100,"--")</f>
        <v>--</v>
      </c>
      <c r="T33" s="519" t="str">
        <f>IF(AND(N33="F",Q33="NO"),IF(P33="SI",1.2,1)*I33*H33,"--")</f>
        <v>--</v>
      </c>
      <c r="U33" s="520" t="str">
        <f>IF(AND(M33&gt;10,N33="F"),IF(M33&lt;=300,ROUND(M33/60,2),5)*I33*H33*IF(P33="SI",1.2,1),"--")</f>
        <v>--</v>
      </c>
      <c r="V33" s="521" t="str">
        <f>IF(AND(N33="F",M33&gt;300),IF(P33="SI",1.2,1)*(ROUND(M33/60,2)-5)*I33*H33*0.1,"--")</f>
        <v>--</v>
      </c>
      <c r="W33" s="522" t="str">
        <f>IF(AND(N33="R",Q33="NO"),IF(P33="SI",1.2,1)*I33*H33*O33/100,"--")</f>
        <v>--</v>
      </c>
      <c r="X33" s="523" t="str">
        <f>IF(AND(M33&gt;10,N33="R"),IF(M33&lt;=300,ROUND(M33/60,2),5)*I33*H33*O33/100*IF(P33="SI",1.2,1),"--")</f>
        <v>--</v>
      </c>
      <c r="Y33" s="524" t="str">
        <f>IF(AND(N33="R",M33&gt;300),IF(P33="SI",1.2,1)*(ROUND(M33/60,2)-5)*I33*H33*O33/100*0.1,"--")</f>
        <v>--</v>
      </c>
      <c r="Z33" s="525" t="str">
        <f>IF(N33="RF",IF(P33="SI",1.2,1)*ROUND(M33/60,2)*I33*H33*0.1,"--")</f>
        <v>--</v>
      </c>
      <c r="AA33" s="526" t="str">
        <f>IF(N33="RR",IF(P33="SI",1.2,1)*ROUND(M33/60,2)*I33*H33*O33/100*0.1,"--")</f>
        <v>--</v>
      </c>
      <c r="AB33" s="527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823"/>
      <c r="D34" s="7"/>
      <c r="E34" s="456"/>
      <c r="F34" s="509"/>
      <c r="G34" s="510"/>
      <c r="H34" s="511">
        <f>IF(G34="A",200,IF(G34="B",60,20))</f>
        <v>20</v>
      </c>
      <c r="I34" s="512">
        <f>IF(F34&gt;100,F34,100)*$F$19/100</f>
        <v>204.601</v>
      </c>
      <c r="J34" s="513"/>
      <c r="K34" s="457"/>
      <c r="L34" s="514">
        <f>IF(D34="","",(K34-J34)*24)</f>
      </c>
      <c r="M34" s="380">
        <f>IF(D34="","",ROUND((K34-J34)*24*60,0))</f>
      </c>
      <c r="N34" s="515"/>
      <c r="O34" s="516">
        <f>IF(D34="","","--")</f>
      </c>
      <c r="P34" s="221">
        <f>IF(D34="","","NO")</f>
      </c>
      <c r="Q34" s="221">
        <f>IF(D34="","",IF(OR(N34="P",N34="RP"),"--","NO"))</f>
      </c>
      <c r="R34" s="517" t="str">
        <f>IF(N34="P",+I34*H34*ROUND(M34/60,2)/100,"--")</f>
        <v>--</v>
      </c>
      <c r="S34" s="518" t="str">
        <f>IF(N34="RP",I34*H34*ROUND(M34/60,2)*0.01*O34/100,"--")</f>
        <v>--</v>
      </c>
      <c r="T34" s="519" t="str">
        <f>IF(AND(N34="F",Q34="NO"),IF(P34="SI",1.2,1)*I34*H34,"--")</f>
        <v>--</v>
      </c>
      <c r="U34" s="520" t="str">
        <f>IF(AND(M34&gt;10,N34="F"),IF(M34&lt;=300,ROUND(M34/60,2),5)*I34*H34*IF(P34="SI",1.2,1),"--")</f>
        <v>--</v>
      </c>
      <c r="V34" s="521" t="str">
        <f>IF(AND(N34="F",M34&gt;300),IF(P34="SI",1.2,1)*(ROUND(M34/60,2)-5)*I34*H34*0.1,"--")</f>
        <v>--</v>
      </c>
      <c r="W34" s="522" t="str">
        <f>IF(AND(N34="R",Q34="NO"),IF(P34="SI",1.2,1)*I34*H34*O34/100,"--")</f>
        <v>--</v>
      </c>
      <c r="X34" s="523" t="str">
        <f>IF(AND(M34&gt;10,N34="R"),IF(M34&lt;=300,ROUND(M34/60,2),5)*I34*H34*O34/100*IF(P34="SI",1.2,1),"--")</f>
        <v>--</v>
      </c>
      <c r="Y34" s="524" t="str">
        <f>IF(AND(N34="R",M34&gt;300),IF(P34="SI",1.2,1)*(ROUND(M34/60,2)-5)*I34*H34*O34/100*0.1,"--")</f>
        <v>--</v>
      </c>
      <c r="Z34" s="525" t="str">
        <f>IF(N34="RF",IF(P34="SI",1.2,1)*ROUND(M34/60,2)*I34*H34*0.1,"--")</f>
        <v>--</v>
      </c>
      <c r="AA34" s="526" t="str">
        <f>IF(N34="RR",IF(P34="SI",1.2,1)*ROUND(M34/60,2)*I34*H34*O34/100*0.1,"--")</f>
        <v>--</v>
      </c>
      <c r="AB34" s="527">
        <f>IF(D34="","","SI")</f>
      </c>
      <c r="AC34" s="16">
        <f>IF(D34="","",SUM(R34:AA34)*IF(AB34="SI",1,2))</f>
      </c>
      <c r="AD34" s="227"/>
    </row>
    <row r="35" spans="1:30" ht="16.5" customHeight="1" thickBot="1">
      <c r="A35" s="32"/>
      <c r="B35" s="50"/>
      <c r="C35" s="606"/>
      <c r="D35" s="528"/>
      <c r="E35" s="529"/>
      <c r="F35" s="530"/>
      <c r="G35" s="531"/>
      <c r="H35" s="532"/>
      <c r="I35" s="533"/>
      <c r="J35" s="534"/>
      <c r="K35" s="534"/>
      <c r="L35" s="9"/>
      <c r="M35" s="9"/>
      <c r="N35" s="9"/>
      <c r="O35" s="535"/>
      <c r="P35" s="9"/>
      <c r="Q35" s="9"/>
      <c r="R35" s="536"/>
      <c r="S35" s="537"/>
      <c r="T35" s="538"/>
      <c r="U35" s="539"/>
      <c r="V35" s="540"/>
      <c r="W35" s="541"/>
      <c r="X35" s="542"/>
      <c r="Y35" s="543"/>
      <c r="Z35" s="544"/>
      <c r="AA35" s="545"/>
      <c r="AB35" s="546"/>
      <c r="AC35" s="547"/>
      <c r="AD35" s="227"/>
    </row>
    <row r="36" spans="1:30" ht="16.5" customHeight="1" thickBot="1" thickTop="1">
      <c r="A36" s="32"/>
      <c r="B36" s="50"/>
      <c r="C36" s="467"/>
      <c r="D36" s="467"/>
      <c r="E36" s="548"/>
      <c r="F36" s="477"/>
      <c r="G36" s="549"/>
      <c r="H36" s="549"/>
      <c r="I36" s="550"/>
      <c r="J36" s="550"/>
      <c r="K36" s="550"/>
      <c r="L36" s="550"/>
      <c r="M36" s="550"/>
      <c r="N36" s="550"/>
      <c r="O36" s="551"/>
      <c r="P36" s="550"/>
      <c r="Q36" s="550"/>
      <c r="R36" s="552">
        <f aca="true" t="shared" si="0" ref="R36:AA36">SUM(R30:R35)</f>
        <v>0</v>
      </c>
      <c r="S36" s="553">
        <f t="shared" si="0"/>
        <v>0</v>
      </c>
      <c r="T36" s="554">
        <f t="shared" si="0"/>
        <v>0</v>
      </c>
      <c r="U36" s="554">
        <f t="shared" si="0"/>
        <v>0</v>
      </c>
      <c r="V36" s="554">
        <f t="shared" si="0"/>
        <v>0</v>
      </c>
      <c r="W36" s="555">
        <f t="shared" si="0"/>
        <v>0</v>
      </c>
      <c r="X36" s="555">
        <f t="shared" si="0"/>
        <v>0</v>
      </c>
      <c r="Y36" s="555">
        <f t="shared" si="0"/>
        <v>0</v>
      </c>
      <c r="Z36" s="556">
        <f t="shared" si="0"/>
        <v>0</v>
      </c>
      <c r="AA36" s="557">
        <f t="shared" si="0"/>
        <v>0</v>
      </c>
      <c r="AB36" s="558"/>
      <c r="AC36" s="559">
        <f>SUM(AC30:AC35)</f>
        <v>0</v>
      </c>
      <c r="AD36" s="227"/>
    </row>
    <row r="37" spans="1:30" ht="13.5" customHeight="1" thickBot="1" thickTop="1">
      <c r="A37" s="32"/>
      <c r="B37" s="50"/>
      <c r="C37" s="467"/>
      <c r="D37" s="467"/>
      <c r="E37" s="548"/>
      <c r="F37" s="477"/>
      <c r="G37" s="549"/>
      <c r="H37" s="549"/>
      <c r="I37" s="550"/>
      <c r="J37" s="550"/>
      <c r="K37" s="550"/>
      <c r="L37" s="550"/>
      <c r="M37" s="550"/>
      <c r="N37" s="550"/>
      <c r="O37" s="551"/>
      <c r="P37" s="550"/>
      <c r="Q37" s="550"/>
      <c r="R37" s="560"/>
      <c r="S37" s="561"/>
      <c r="T37" s="562"/>
      <c r="U37" s="562"/>
      <c r="V37" s="562"/>
      <c r="W37" s="560"/>
      <c r="X37" s="560"/>
      <c r="Y37" s="560"/>
      <c r="Z37" s="560"/>
      <c r="AA37" s="560"/>
      <c r="AB37" s="563"/>
      <c r="AC37" s="564"/>
      <c r="AD37" s="227"/>
    </row>
    <row r="38" spans="1:33" s="5" customFormat="1" ht="33.75" customHeight="1" thickBot="1" thickTop="1">
      <c r="A38" s="90"/>
      <c r="B38" s="95"/>
      <c r="C38" s="123" t="s">
        <v>12</v>
      </c>
      <c r="D38" s="119" t="s">
        <v>26</v>
      </c>
      <c r="E38" s="118" t="s">
        <v>27</v>
      </c>
      <c r="F38" s="120" t="s">
        <v>28</v>
      </c>
      <c r="G38" s="121" t="s">
        <v>13</v>
      </c>
      <c r="H38" s="129" t="s">
        <v>15</v>
      </c>
      <c r="I38" s="565"/>
      <c r="J38" s="118" t="s">
        <v>16</v>
      </c>
      <c r="K38" s="118" t="s">
        <v>17</v>
      </c>
      <c r="L38" s="119" t="s">
        <v>29</v>
      </c>
      <c r="M38" s="119" t="s">
        <v>30</v>
      </c>
      <c r="N38" s="88" t="s">
        <v>100</v>
      </c>
      <c r="O38" s="118" t="s">
        <v>31</v>
      </c>
      <c r="P38" s="566" t="s">
        <v>32</v>
      </c>
      <c r="Q38" s="567"/>
      <c r="R38" s="129" t="s">
        <v>33</v>
      </c>
      <c r="S38" s="568" t="s">
        <v>19</v>
      </c>
      <c r="T38" s="569" t="s">
        <v>101</v>
      </c>
      <c r="U38" s="570"/>
      <c r="V38" s="571" t="s">
        <v>21</v>
      </c>
      <c r="W38" s="572"/>
      <c r="X38" s="573"/>
      <c r="Y38" s="573"/>
      <c r="Z38" s="573"/>
      <c r="AA38" s="574"/>
      <c r="AB38" s="132" t="s">
        <v>74</v>
      </c>
      <c r="AC38" s="121" t="s">
        <v>23</v>
      </c>
      <c r="AD38" s="17"/>
      <c r="AF38"/>
      <c r="AG38"/>
    </row>
    <row r="39" spans="1:30" ht="16.5" customHeight="1" thickTop="1">
      <c r="A39" s="5"/>
      <c r="B39" s="50"/>
      <c r="C39" s="7"/>
      <c r="D39" s="10"/>
      <c r="E39" s="10"/>
      <c r="F39" s="10"/>
      <c r="G39" s="575"/>
      <c r="H39" s="576"/>
      <c r="I39" s="577"/>
      <c r="J39" s="10"/>
      <c r="K39" s="10"/>
      <c r="L39" s="10"/>
      <c r="M39" s="10"/>
      <c r="N39" s="10"/>
      <c r="O39" s="578"/>
      <c r="P39" s="1133"/>
      <c r="Q39" s="1134"/>
      <c r="R39" s="133"/>
      <c r="S39" s="581"/>
      <c r="T39" s="582"/>
      <c r="U39" s="583"/>
      <c r="V39" s="584"/>
      <c r="W39" s="585"/>
      <c r="X39" s="586"/>
      <c r="Y39" s="586"/>
      <c r="Z39" s="586"/>
      <c r="AA39" s="587"/>
      <c r="AB39" s="578"/>
      <c r="AC39" s="588"/>
      <c r="AD39" s="17"/>
    </row>
    <row r="40" spans="1:30" ht="16.5" customHeight="1">
      <c r="A40" s="5"/>
      <c r="B40" s="50"/>
      <c r="C40" s="823" t="s">
        <v>192</v>
      </c>
      <c r="D40" s="148"/>
      <c r="E40" s="288"/>
      <c r="F40" s="289"/>
      <c r="G40" s="940"/>
      <c r="H40" s="593">
        <f>F40*$F$20</f>
        <v>0</v>
      </c>
      <c r="I40" s="594"/>
      <c r="J40" s="952"/>
      <c r="K40" s="952"/>
      <c r="L40" s="514">
        <f>IF(D40="","",(K40-J40)*24)</f>
      </c>
      <c r="M40" s="951">
        <f>IF(D40="","",ROUND((K40-J40)*24*60,0))</f>
      </c>
      <c r="N40" s="13"/>
      <c r="O40" s="8">
        <f>IF(D40="","",IF(OR(N40="P",N40="RP"),"--","NO"))</f>
      </c>
      <c r="P40" s="1130">
        <f>IF(D40="","","NO")</f>
      </c>
      <c r="Q40" s="1131"/>
      <c r="R40" s="598">
        <f>200*IF(P40="SI",1,0.1)*IF(N40="P",0.1,1)</f>
        <v>20</v>
      </c>
      <c r="S40" s="599" t="str">
        <f>IF(N40="P",H40*R40*ROUND(M40/60,2),"--")</f>
        <v>--</v>
      </c>
      <c r="T40" s="600" t="str">
        <f>IF(AND(N40="F",O40="NO"),H40*R40,"--")</f>
        <v>--</v>
      </c>
      <c r="U40" s="601" t="str">
        <f>IF(N40="F",H40*R40*ROUND(M40/60,2),"--")</f>
        <v>--</v>
      </c>
      <c r="V40" s="374" t="str">
        <f>IF(N40="RF",H40*R40*ROUND(M40/60,2),"--")</f>
        <v>--</v>
      </c>
      <c r="W40" s="602"/>
      <c r="X40" s="603"/>
      <c r="Y40" s="603"/>
      <c r="Z40" s="603"/>
      <c r="AA40" s="604"/>
      <c r="AB40" s="302">
        <f>IF(D40="","","SI")</f>
      </c>
      <c r="AC40" s="303">
        <f>IF(D40="","",SUM(S40:V40)*IF(AB40="SI",1,2))</f>
      </c>
      <c r="AD40" s="17"/>
    </row>
    <row r="41" spans="1:30" ht="16.5" customHeight="1">
      <c r="A41" s="5"/>
      <c r="B41" s="50"/>
      <c r="C41" s="823" t="s">
        <v>193</v>
      </c>
      <c r="D41" s="589"/>
      <c r="E41" s="590"/>
      <c r="F41" s="591"/>
      <c r="G41" s="592"/>
      <c r="H41" s="593">
        <f>F41*$F$20</f>
        <v>0</v>
      </c>
      <c r="I41" s="594"/>
      <c r="J41" s="595"/>
      <c r="K41" s="595"/>
      <c r="L41" s="514">
        <f>IF(D41="","",(K41-J41)*24)</f>
      </c>
      <c r="M41" s="380">
        <f>IF(D41="","",ROUND((K41-J41)*24*60,0))</f>
      </c>
      <c r="N41" s="13"/>
      <c r="O41" s="8">
        <f>IF(D41="","",IF(OR(N41="P",N41="RP"),"--","NO"))</f>
      </c>
      <c r="P41" s="1130">
        <f>IF(D41="","","NO")</f>
      </c>
      <c r="Q41" s="1131"/>
      <c r="R41" s="598">
        <f>200*IF(P41="SI",1,0.1)*IF(N41="P",0.1,1)</f>
        <v>20</v>
      </c>
      <c r="S41" s="599" t="str">
        <f>IF(N41="P",H41*R41*ROUND(M41/60,2),"--")</f>
        <v>--</v>
      </c>
      <c r="T41" s="600" t="str">
        <f>IF(AND(N41="F",O41="NO"),H41*R41,"--")</f>
        <v>--</v>
      </c>
      <c r="U41" s="601" t="str">
        <f>IF(N41="F",H41*R41*ROUND(M41/60,2),"--")</f>
        <v>--</v>
      </c>
      <c r="V41" s="374" t="str">
        <f>IF(N41="RF",H41*R41*ROUND(M41/60,2),"--")</f>
        <v>--</v>
      </c>
      <c r="W41" s="602"/>
      <c r="X41" s="603"/>
      <c r="Y41" s="603"/>
      <c r="Z41" s="603"/>
      <c r="AA41" s="604"/>
      <c r="AB41" s="302">
        <f>IF(D41="","","SI")</f>
      </c>
      <c r="AC41" s="303">
        <f>IF(D41="","",SUM(S41:V41)*IF(AB41="SI",1,2))</f>
      </c>
      <c r="AD41" s="17"/>
    </row>
    <row r="42" spans="1:30" ht="16.5" customHeight="1">
      <c r="A42" s="5"/>
      <c r="B42" s="50"/>
      <c r="C42" s="823"/>
      <c r="D42" s="589"/>
      <c r="E42" s="590"/>
      <c r="F42" s="591"/>
      <c r="G42" s="592"/>
      <c r="H42" s="593">
        <f>F42*$F$20</f>
        <v>0</v>
      </c>
      <c r="I42" s="594"/>
      <c r="J42" s="595"/>
      <c r="K42" s="595"/>
      <c r="L42" s="292">
        <f>IF(D42="","",(K42-J42)*24)</f>
      </c>
      <c r="M42" s="380">
        <f>IF(D42="","",ROUND((K42-J42)*24*60,0))</f>
      </c>
      <c r="N42" s="13"/>
      <c r="O42" s="8">
        <f>IF(D42="","",IF(OR(N42="P",N42="RP"),"--","NO"))</f>
      </c>
      <c r="P42" s="1130">
        <f>IF(D42="","","NO")</f>
      </c>
      <c r="Q42" s="1131"/>
      <c r="R42" s="598">
        <f>200*IF(P42="SI",1,0.1)*IF(N42="P",0.1,1)</f>
        <v>20</v>
      </c>
      <c r="S42" s="599" t="str">
        <f>IF(N42="P",H42*R42*ROUND(M42/60,2),"--")</f>
        <v>--</v>
      </c>
      <c r="T42" s="600" t="str">
        <f>IF(AND(N42="F",O42="NO"),H42*R42,"--")</f>
        <v>--</v>
      </c>
      <c r="U42" s="601" t="str">
        <f>IF(N42="F",H42*R42*ROUND(M42/60,2),"--")</f>
        <v>--</v>
      </c>
      <c r="V42" s="374" t="str">
        <f>IF(N42="RF",H42*R42*ROUND(M42/60,2),"--")</f>
        <v>--</v>
      </c>
      <c r="W42" s="602"/>
      <c r="X42" s="603"/>
      <c r="Y42" s="603"/>
      <c r="Z42" s="603"/>
      <c r="AA42" s="604"/>
      <c r="AB42" s="302">
        <f>IF(D42="","","SI")</f>
      </c>
      <c r="AC42" s="303">
        <f>IF(D42="","",SUM(S42:V42)*IF(AB42="SI",1,2))</f>
      </c>
      <c r="AD42" s="17"/>
    </row>
    <row r="43" spans="1:30" ht="16.5" customHeight="1" thickBot="1">
      <c r="A43" s="32"/>
      <c r="B43" s="50"/>
      <c r="C43" s="606"/>
      <c r="D43" s="607"/>
      <c r="E43" s="608"/>
      <c r="F43" s="609"/>
      <c r="G43" s="610"/>
      <c r="H43" s="611"/>
      <c r="I43" s="612"/>
      <c r="J43" s="613"/>
      <c r="K43" s="614"/>
      <c r="L43" s="615"/>
      <c r="M43" s="616"/>
      <c r="N43" s="617"/>
      <c r="O43" s="9"/>
      <c r="P43" s="1124"/>
      <c r="Q43" s="1125"/>
      <c r="R43" s="620"/>
      <c r="S43" s="621"/>
      <c r="T43" s="622"/>
      <c r="U43" s="623"/>
      <c r="V43" s="624"/>
      <c r="W43" s="625"/>
      <c r="X43" s="626"/>
      <c r="Y43" s="626"/>
      <c r="Z43" s="626"/>
      <c r="AA43" s="627"/>
      <c r="AB43" s="628"/>
      <c r="AC43" s="629"/>
      <c r="AD43" s="227"/>
    </row>
    <row r="44" spans="1:30" ht="16.5" customHeight="1" thickBot="1" thickTop="1">
      <c r="A44" s="32"/>
      <c r="B44" s="50"/>
      <c r="C44" s="98"/>
      <c r="D44" s="201"/>
      <c r="E44" s="201"/>
      <c r="F44" s="405"/>
      <c r="G44" s="630"/>
      <c r="H44" s="631"/>
      <c r="I44" s="632"/>
      <c r="J44" s="633"/>
      <c r="K44" s="634"/>
      <c r="L44" s="635"/>
      <c r="M44" s="631"/>
      <c r="N44" s="636"/>
      <c r="O44" s="190"/>
      <c r="P44" s="953"/>
      <c r="Q44" s="882"/>
      <c r="R44" s="874"/>
      <c r="S44" s="874"/>
      <c r="T44" s="874"/>
      <c r="U44" s="875"/>
      <c r="V44" s="875"/>
      <c r="W44" s="875"/>
      <c r="X44" s="875"/>
      <c r="Y44" s="875"/>
      <c r="Z44" s="875"/>
      <c r="AA44" s="875"/>
      <c r="AB44" s="875"/>
      <c r="AC44" s="954">
        <f>SUM(AC39:AC43)</f>
        <v>0</v>
      </c>
      <c r="AD44" s="227"/>
    </row>
    <row r="45" spans="1:30" ht="13.5" customHeight="1" thickBot="1" thickTop="1">
      <c r="A45" s="32"/>
      <c r="B45" s="50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227"/>
    </row>
    <row r="46" spans="1:33" s="5" customFormat="1" ht="33.75" customHeight="1" thickBot="1" thickTop="1">
      <c r="A46" s="90"/>
      <c r="B46" s="95"/>
      <c r="C46" s="123" t="s">
        <v>12</v>
      </c>
      <c r="D46" s="119" t="s">
        <v>26</v>
      </c>
      <c r="E46" s="118" t="s">
        <v>27</v>
      </c>
      <c r="F46" s="1146" t="s">
        <v>13</v>
      </c>
      <c r="G46" s="1147"/>
      <c r="H46" s="129" t="s">
        <v>15</v>
      </c>
      <c r="I46" s="565"/>
      <c r="J46" s="118" t="s">
        <v>16</v>
      </c>
      <c r="K46" s="118" t="s">
        <v>17</v>
      </c>
      <c r="L46" s="119" t="s">
        <v>29</v>
      </c>
      <c r="M46" s="119" t="s">
        <v>30</v>
      </c>
      <c r="N46" s="88" t="s">
        <v>100</v>
      </c>
      <c r="O46" s="1138" t="s">
        <v>31</v>
      </c>
      <c r="P46" s="1139"/>
      <c r="Q46" s="1140"/>
      <c r="R46" s="135" t="s">
        <v>36</v>
      </c>
      <c r="S46" s="360" t="s">
        <v>70</v>
      </c>
      <c r="T46" s="177" t="s">
        <v>34</v>
      </c>
      <c r="U46" s="361"/>
      <c r="V46" s="134" t="s">
        <v>21</v>
      </c>
      <c r="W46" s="573"/>
      <c r="X46" s="573"/>
      <c r="Y46" s="573"/>
      <c r="Z46" s="573"/>
      <c r="AA46" s="574"/>
      <c r="AB46" s="132" t="s">
        <v>74</v>
      </c>
      <c r="AC46" s="121" t="s">
        <v>23</v>
      </c>
      <c r="AD46" s="17"/>
      <c r="AF46"/>
      <c r="AG46"/>
    </row>
    <row r="47" spans="1:30" ht="16.5" customHeight="1" thickTop="1">
      <c r="A47" s="5"/>
      <c r="B47" s="50"/>
      <c r="C47" s="7"/>
      <c r="D47" s="10"/>
      <c r="E47" s="10"/>
      <c r="F47" s="1133"/>
      <c r="G47" s="1134"/>
      <c r="H47" s="576"/>
      <c r="I47" s="577"/>
      <c r="J47" s="10"/>
      <c r="K47" s="10"/>
      <c r="L47" s="10"/>
      <c r="M47" s="10"/>
      <c r="N47" s="10"/>
      <c r="O47" s="1133"/>
      <c r="P47" s="1141"/>
      <c r="Q47" s="1134"/>
      <c r="R47" s="727"/>
      <c r="S47" s="364"/>
      <c r="T47" s="365"/>
      <c r="U47" s="366"/>
      <c r="V47" s="367"/>
      <c r="W47" s="586"/>
      <c r="X47" s="586"/>
      <c r="Y47" s="586"/>
      <c r="Z47" s="586"/>
      <c r="AA47" s="587"/>
      <c r="AB47" s="578"/>
      <c r="AC47" s="588"/>
      <c r="AD47" s="17"/>
    </row>
    <row r="48" spans="1:30" ht="15">
      <c r="A48" s="5"/>
      <c r="B48" s="50"/>
      <c r="C48" s="823" t="s">
        <v>192</v>
      </c>
      <c r="D48" s="148" t="s">
        <v>346</v>
      </c>
      <c r="E48" s="945" t="s">
        <v>347</v>
      </c>
      <c r="F48" s="1144">
        <v>132</v>
      </c>
      <c r="G48" s="1145"/>
      <c r="H48" s="593">
        <f>IF(F48=132,$F$21,IF(F48=500,#REF!,0))</f>
        <v>89.269</v>
      </c>
      <c r="I48" s="594"/>
      <c r="J48" s="378">
        <v>40577.11597222222</v>
      </c>
      <c r="K48" s="150">
        <v>40577.135416666664</v>
      </c>
      <c r="L48" s="292">
        <f>IF(D48="","",(K48-J48)*24)</f>
        <v>0.46666666661622</v>
      </c>
      <c r="M48" s="14">
        <f>IF(D48="","",(K48-J48)*24*60)</f>
        <v>27.9999999969732</v>
      </c>
      <c r="N48" s="13" t="s">
        <v>290</v>
      </c>
      <c r="O48" s="1135" t="str">
        <f>IF(D48="","",IF(N48="P","--","NO"))</f>
        <v>NO</v>
      </c>
      <c r="P48" s="1136"/>
      <c r="Q48" s="1137"/>
      <c r="R48" s="727">
        <f>IF(F48=500,200,IF(F48=132,40,0))</f>
        <v>40</v>
      </c>
      <c r="S48" s="898" t="str">
        <f>IF(N48="P",H48*R48*ROUND(M48/60,2)*0.1,"--")</f>
        <v>--</v>
      </c>
      <c r="T48" s="188">
        <f>IF(AND(N48="F",O48="NO"),H48*R48,"--")</f>
        <v>3570.76</v>
      </c>
      <c r="U48" s="373">
        <f>IF(N48="F",H48*R48*ROUND(M48/60,2),"--")</f>
        <v>1678.2572</v>
      </c>
      <c r="V48" s="374" t="str">
        <f>IF(N48="RF",H48*R48*ROUND(M48/60,2),"--")</f>
        <v>--</v>
      </c>
      <c r="W48" s="603"/>
      <c r="X48" s="603"/>
      <c r="Y48" s="603"/>
      <c r="Z48" s="603"/>
      <c r="AA48" s="604"/>
      <c r="AB48" s="302" t="str">
        <f>IF(D48="","","SI")</f>
        <v>SI</v>
      </c>
      <c r="AC48" s="381">
        <f>IF(D48="","",SUM(S48:V48)*IF(AB48="SI",1,2))</f>
        <v>5249.0172</v>
      </c>
      <c r="AD48" s="227"/>
    </row>
    <row r="49" spans="1:30" ht="16.5" customHeight="1">
      <c r="A49" s="5"/>
      <c r="B49" s="50"/>
      <c r="C49" s="823" t="s">
        <v>193</v>
      </c>
      <c r="D49" s="146" t="s">
        <v>346</v>
      </c>
      <c r="E49" s="945" t="s">
        <v>347</v>
      </c>
      <c r="F49" s="1144">
        <v>132</v>
      </c>
      <c r="G49" s="1145"/>
      <c r="H49" s="593">
        <f>IF(F49=132,$F$21,IF(F49=500,#REF!,0))</f>
        <v>89.269</v>
      </c>
      <c r="I49" s="594"/>
      <c r="J49" s="378">
        <v>40579.870833333334</v>
      </c>
      <c r="K49" s="150">
        <v>40579.895833333336</v>
      </c>
      <c r="L49" s="292">
        <f>IF(D49="","",(K49-J49)*24)</f>
        <v>0.6000000000349246</v>
      </c>
      <c r="M49" s="14">
        <f>IF(D49="","",(K49-J49)*24*60)</f>
        <v>36.000000002095476</v>
      </c>
      <c r="N49" s="13" t="s">
        <v>290</v>
      </c>
      <c r="O49" s="1135" t="str">
        <f>IF(D49="","",IF(N49="P","--","NO"))</f>
        <v>NO</v>
      </c>
      <c r="P49" s="1136"/>
      <c r="Q49" s="1137"/>
      <c r="R49" s="727">
        <f>IF(F49=500,200,IF(F49=132,40,0))</f>
        <v>40</v>
      </c>
      <c r="S49" s="898" t="str">
        <f>IF(N49="P",H49*R49*ROUND(M49/60,2)*0.1,"--")</f>
        <v>--</v>
      </c>
      <c r="T49" s="188">
        <f>IF(AND(N49="F",O49="NO"),H49*R49,"--")</f>
        <v>3570.76</v>
      </c>
      <c r="U49" s="373">
        <f>IF(N49="F",H49*R49*ROUND(M49/60,2),"--")</f>
        <v>2142.456</v>
      </c>
      <c r="V49" s="374" t="str">
        <f>IF(N49="RF",H49*R49*ROUND(M49/60,2),"--")</f>
        <v>--</v>
      </c>
      <c r="W49" s="603"/>
      <c r="X49" s="603"/>
      <c r="Y49" s="603"/>
      <c r="Z49" s="603"/>
      <c r="AA49" s="604"/>
      <c r="AB49" s="302" t="str">
        <f>IF(D49="","","SI")</f>
        <v>SI</v>
      </c>
      <c r="AC49" s="381">
        <f>IF(D49="","",SUM(S49:V49)*IF(AB49="SI",1,2))</f>
        <v>5713.216</v>
      </c>
      <c r="AD49" s="17"/>
    </row>
    <row r="50" spans="1:30" ht="16.5" customHeight="1">
      <c r="A50" s="5"/>
      <c r="B50" s="50"/>
      <c r="C50" s="823" t="s">
        <v>194</v>
      </c>
      <c r="D50" s="146" t="s">
        <v>346</v>
      </c>
      <c r="E50" s="945" t="s">
        <v>348</v>
      </c>
      <c r="F50" s="1144">
        <v>132</v>
      </c>
      <c r="G50" s="1145"/>
      <c r="H50" s="593">
        <f>IF(F50=132,$F$21,IF(F50=500,#REF!,0))</f>
        <v>89.269</v>
      </c>
      <c r="I50" s="594"/>
      <c r="J50" s="378">
        <v>40584.024305555555</v>
      </c>
      <c r="K50" s="150">
        <v>40584.05</v>
      </c>
      <c r="L50" s="292">
        <f>IF(D50="","",(K50-J50)*24)</f>
        <v>0.6166666667559184</v>
      </c>
      <c r="M50" s="14">
        <f>IF(D50="","",(K50-J50)*24*60)</f>
        <v>37.000000005355105</v>
      </c>
      <c r="N50" s="13" t="s">
        <v>290</v>
      </c>
      <c r="O50" s="1135" t="str">
        <f>IF(D50="","",IF(N50="P","--","NO"))</f>
        <v>NO</v>
      </c>
      <c r="P50" s="1136"/>
      <c r="Q50" s="1137"/>
      <c r="R50" s="727">
        <f>IF(F50=500,200,IF(F50=132,40,0))</f>
        <v>40</v>
      </c>
      <c r="S50" s="898" t="str">
        <f>IF(N50="P",H50*R50*ROUND(M50/60,2)*0.1,"--")</f>
        <v>--</v>
      </c>
      <c r="T50" s="188">
        <f>IF(AND(N50="F",O50="NO"),H50*R50,"--")</f>
        <v>3570.76</v>
      </c>
      <c r="U50" s="373">
        <f>IF(N50="F",H50*R50*ROUND(M50/60,2),"--")</f>
        <v>2213.8712</v>
      </c>
      <c r="V50" s="374" t="str">
        <f>IF(N50="RF",H50*R50*ROUND(M50/60,2),"--")</f>
        <v>--</v>
      </c>
      <c r="W50" s="603"/>
      <c r="X50" s="603"/>
      <c r="Y50" s="603"/>
      <c r="Z50" s="603"/>
      <c r="AA50" s="604"/>
      <c r="AB50" s="302" t="str">
        <f>IF(D50="","","SI")</f>
        <v>SI</v>
      </c>
      <c r="AC50" s="381">
        <f>IF(D50="","",SUM(S50:V50)*IF(AB50="SI",1,2))</f>
        <v>5784.6312</v>
      </c>
      <c r="AD50" s="17"/>
    </row>
    <row r="51" spans="1:30" ht="16.5" customHeight="1">
      <c r="A51" s="5"/>
      <c r="B51" s="50"/>
      <c r="C51" s="1036" t="s">
        <v>195</v>
      </c>
      <c r="D51" s="146" t="s">
        <v>346</v>
      </c>
      <c r="E51" s="945" t="s">
        <v>347</v>
      </c>
      <c r="F51" s="1144">
        <v>132</v>
      </c>
      <c r="G51" s="1145"/>
      <c r="H51" s="593">
        <f>IF(F51=132,$F$21,IF(F51=500,#REF!,0))</f>
        <v>89.269</v>
      </c>
      <c r="I51" s="594"/>
      <c r="J51" s="378">
        <v>40596.99722222222</v>
      </c>
      <c r="K51" s="150">
        <v>40597.03125</v>
      </c>
      <c r="L51" s="292">
        <f>IF(D51="","",(K51-J51)*24)</f>
        <v>0.8166666667093523</v>
      </c>
      <c r="M51" s="14">
        <f>IF(D51="","",(K51-J51)*24*60)</f>
        <v>49.00000000256114</v>
      </c>
      <c r="N51" s="13" t="s">
        <v>290</v>
      </c>
      <c r="O51" s="1135" t="str">
        <f>IF(D51="","",IF(N51="P","--","NO"))</f>
        <v>NO</v>
      </c>
      <c r="P51" s="1136"/>
      <c r="Q51" s="1137"/>
      <c r="R51" s="727">
        <f>IF(F51=500,200,IF(F51=132,40,0))</f>
        <v>40</v>
      </c>
      <c r="S51" s="898" t="str">
        <f>IF(N51="P",H51*R51*ROUND(M51/60,2)*0.1,"--")</f>
        <v>--</v>
      </c>
      <c r="T51" s="188">
        <f>IF(AND(N51="F",O51="NO"),H51*R51,"--")</f>
        <v>3570.76</v>
      </c>
      <c r="U51" s="373">
        <f>IF(N51="F",H51*R51*ROUND(M51/60,2),"--")</f>
        <v>2928.0232</v>
      </c>
      <c r="V51" s="374" t="str">
        <f>IF(N51="RF",H51*R51*ROUND(M51/60,2),"--")</f>
        <v>--</v>
      </c>
      <c r="W51" s="603"/>
      <c r="X51" s="603"/>
      <c r="Y51" s="603"/>
      <c r="Z51" s="603"/>
      <c r="AA51" s="604"/>
      <c r="AB51" s="302" t="str">
        <f>IF(D51="","","SI")</f>
        <v>SI</v>
      </c>
      <c r="AC51" s="381">
        <f>IF(D51="","",SUM(S51:V51)*IF(AB51="SI",1,2))</f>
        <v>6498.7832</v>
      </c>
      <c r="AD51" s="17"/>
    </row>
    <row r="52" spans="1:30" ht="16.5" customHeight="1" thickBot="1">
      <c r="A52" s="32"/>
      <c r="B52" s="50"/>
      <c r="C52" s="606"/>
      <c r="D52" s="149"/>
      <c r="E52" s="608"/>
      <c r="F52" s="1142"/>
      <c r="G52" s="1143"/>
      <c r="H52" s="611"/>
      <c r="I52" s="612"/>
      <c r="J52" s="613"/>
      <c r="K52" s="614"/>
      <c r="L52" s="615"/>
      <c r="M52" s="616"/>
      <c r="N52" s="617"/>
      <c r="O52" s="1124"/>
      <c r="P52" s="1132"/>
      <c r="Q52" s="1125"/>
      <c r="R52" s="727">
        <f>IF(F52=500,200,IF(F52=132,40,0))</f>
        <v>0</v>
      </c>
      <c r="S52" s="898" t="str">
        <f>IF(N52="P",H52*R52*ROUND(M52/60,2)*0.1,"--")</f>
        <v>--</v>
      </c>
      <c r="T52" s="188" t="str">
        <f>IF(AND(N52="F",O52="NO"),H52*R52,"--")</f>
        <v>--</v>
      </c>
      <c r="U52" s="373" t="str">
        <f>IF(N52="F",H52*R52*ROUND(M52/60,2),"--")</f>
        <v>--</v>
      </c>
      <c r="V52" s="374" t="str">
        <f>IF(N52="RF",H52*R52*ROUND(M52/60,2),"--")</f>
        <v>--</v>
      </c>
      <c r="W52" s="626"/>
      <c r="X52" s="626"/>
      <c r="Y52" s="626"/>
      <c r="Z52" s="626"/>
      <c r="AA52" s="627"/>
      <c r="AB52" s="628"/>
      <c r="AC52" s="381">
        <f>IF(D52="","",SUM(S52:V52)*IF(AB52="SI",1,2))</f>
      </c>
      <c r="AD52" s="227"/>
    </row>
    <row r="53" spans="1:30" ht="16.5" customHeight="1" thickBot="1" thickTop="1">
      <c r="A53" s="32"/>
      <c r="B53" s="50"/>
      <c r="C53" s="98"/>
      <c r="D53" s="201"/>
      <c r="E53" s="201"/>
      <c r="F53" s="405"/>
      <c r="G53" s="630"/>
      <c r="H53" s="631"/>
      <c r="I53" s="632"/>
      <c r="J53" s="633"/>
      <c r="K53" s="634"/>
      <c r="L53" s="635"/>
      <c r="M53" s="631"/>
      <c r="N53" s="636"/>
      <c r="O53" s="190"/>
      <c r="P53" s="637"/>
      <c r="Q53" s="638"/>
      <c r="R53" s="639"/>
      <c r="S53" s="639"/>
      <c r="T53" s="639"/>
      <c r="U53" s="191"/>
      <c r="V53" s="191"/>
      <c r="W53" s="191"/>
      <c r="X53" s="191"/>
      <c r="Y53" s="191"/>
      <c r="Z53" s="191"/>
      <c r="AA53" s="191"/>
      <c r="AB53" s="191"/>
      <c r="AC53" s="954">
        <f>SUM(AC47:AC52)</f>
        <v>23245.647599999997</v>
      </c>
      <c r="AD53" s="227"/>
    </row>
    <row r="54" spans="1:30" ht="16.5" customHeight="1" thickBot="1" thickTop="1">
      <c r="A54" s="32"/>
      <c r="B54" s="50"/>
      <c r="C54" s="98"/>
      <c r="D54" s="201"/>
      <c r="E54" s="201"/>
      <c r="F54" s="405"/>
      <c r="G54" s="630"/>
      <c r="H54" s="631"/>
      <c r="I54" s="632"/>
      <c r="J54" s="478" t="s">
        <v>41</v>
      </c>
      <c r="K54" s="479">
        <f>+AC44+AC36+AC53</f>
        <v>23245.647599999997</v>
      </c>
      <c r="L54" s="635"/>
      <c r="M54" s="631"/>
      <c r="N54" s="641"/>
      <c r="O54" s="642"/>
      <c r="P54" s="637"/>
      <c r="Q54" s="638"/>
      <c r="R54" s="639"/>
      <c r="S54" s="639"/>
      <c r="T54" s="639"/>
      <c r="U54" s="191"/>
      <c r="V54" s="191"/>
      <c r="W54" s="191"/>
      <c r="X54" s="191"/>
      <c r="Y54" s="191"/>
      <c r="Z54" s="191"/>
      <c r="AA54" s="191"/>
      <c r="AB54" s="191"/>
      <c r="AC54" s="643"/>
      <c r="AD54" s="227"/>
    </row>
    <row r="55" spans="1:30" ht="13.5" customHeight="1" thickTop="1">
      <c r="A55" s="32"/>
      <c r="B55" s="464"/>
      <c r="C55" s="467"/>
      <c r="D55" s="644"/>
      <c r="E55" s="645"/>
      <c r="F55" s="646"/>
      <c r="G55" s="647"/>
      <c r="H55" s="647"/>
      <c r="I55" s="645"/>
      <c r="J55" s="455"/>
      <c r="K55" s="455"/>
      <c r="L55" s="645"/>
      <c r="M55" s="645"/>
      <c r="N55" s="645"/>
      <c r="O55" s="648"/>
      <c r="P55" s="645"/>
      <c r="Q55" s="645"/>
      <c r="R55" s="649"/>
      <c r="S55" s="650"/>
      <c r="T55" s="650"/>
      <c r="U55" s="651"/>
      <c r="AC55" s="651"/>
      <c r="AD55" s="652"/>
    </row>
    <row r="56" spans="1:30" ht="16.5" customHeight="1">
      <c r="A56" s="32"/>
      <c r="B56" s="464"/>
      <c r="C56" s="653" t="s">
        <v>102</v>
      </c>
      <c r="D56" s="654" t="s">
        <v>132</v>
      </c>
      <c r="E56" s="645"/>
      <c r="F56" s="646"/>
      <c r="G56" s="647"/>
      <c r="H56" s="647"/>
      <c r="I56" s="645"/>
      <c r="J56" s="455"/>
      <c r="K56" s="455"/>
      <c r="L56" s="645"/>
      <c r="M56" s="645"/>
      <c r="N56" s="645"/>
      <c r="O56" s="648"/>
      <c r="P56" s="645"/>
      <c r="Q56" s="645"/>
      <c r="R56" s="649"/>
      <c r="S56" s="650"/>
      <c r="T56" s="650"/>
      <c r="U56" s="651"/>
      <c r="AC56" s="651"/>
      <c r="AD56" s="652"/>
    </row>
    <row r="57" spans="1:30" ht="16.5" customHeight="1">
      <c r="A57" s="32"/>
      <c r="B57" s="464"/>
      <c r="C57" s="653"/>
      <c r="D57" s="644"/>
      <c r="E57" s="645"/>
      <c r="F57" s="646"/>
      <c r="G57" s="647"/>
      <c r="H57" s="647"/>
      <c r="I57" s="645"/>
      <c r="J57" s="455"/>
      <c r="K57" s="455"/>
      <c r="L57" s="645"/>
      <c r="M57" s="645"/>
      <c r="N57" s="645"/>
      <c r="O57" s="648"/>
      <c r="P57" s="645"/>
      <c r="Q57" s="645"/>
      <c r="R57" s="645"/>
      <c r="S57" s="649"/>
      <c r="T57" s="650"/>
      <c r="AD57" s="652"/>
    </row>
    <row r="58" spans="2:30" s="32" customFormat="1" ht="16.5" customHeight="1">
      <c r="B58" s="464"/>
      <c r="C58" s="467"/>
      <c r="D58" s="655" t="s">
        <v>0</v>
      </c>
      <c r="E58" s="550" t="s">
        <v>103</v>
      </c>
      <c r="F58" s="550" t="s">
        <v>42</v>
      </c>
      <c r="G58" s="656" t="s">
        <v>133</v>
      </c>
      <c r="H58" s="551"/>
      <c r="I58" s="550"/>
      <c r="J58"/>
      <c r="K58"/>
      <c r="L58" s="657" t="s">
        <v>134</v>
      </c>
      <c r="M58"/>
      <c r="N58"/>
      <c r="O58"/>
      <c r="P58"/>
      <c r="Q58" s="660"/>
      <c r="R58" s="660"/>
      <c r="S58" s="33"/>
      <c r="T58"/>
      <c r="U58"/>
      <c r="V58"/>
      <c r="W58"/>
      <c r="X58" s="33"/>
      <c r="Y58" s="33"/>
      <c r="Z58" s="33"/>
      <c r="AA58" s="33"/>
      <c r="AB58" s="33"/>
      <c r="AC58" s="661" t="s">
        <v>136</v>
      </c>
      <c r="AD58" s="652"/>
    </row>
    <row r="59" spans="2:30" s="32" customFormat="1" ht="16.5" customHeight="1">
      <c r="B59" s="464"/>
      <c r="C59" s="467"/>
      <c r="D59" s="550" t="s">
        <v>390</v>
      </c>
      <c r="E59" s="663">
        <v>161</v>
      </c>
      <c r="F59" s="663">
        <v>500</v>
      </c>
      <c r="G59" s="664">
        <f>E59*$F$19*$L$20/100</f>
        <v>221361.91391999996</v>
      </c>
      <c r="H59" s="664"/>
      <c r="I59" s="664"/>
      <c r="J59" s="169"/>
      <c r="K59"/>
      <c r="L59" s="665">
        <v>0</v>
      </c>
      <c r="M59" s="169"/>
      <c r="N59" s="666" t="str">
        <f>"(DTE "&amp;DATO!$G$14&amp;DATO!$H$14&amp;")"</f>
        <v>(DTE 0211)</v>
      </c>
      <c r="O59"/>
      <c r="P59"/>
      <c r="Q59" s="660"/>
      <c r="R59" s="660"/>
      <c r="S59" s="33"/>
      <c r="T59"/>
      <c r="U59"/>
      <c r="V59"/>
      <c r="W59"/>
      <c r="X59" s="33"/>
      <c r="Y59" s="33"/>
      <c r="Z59" s="33"/>
      <c r="AA59" s="33"/>
      <c r="AB59" s="667"/>
      <c r="AC59" s="476">
        <f>L59+G59</f>
        <v>221361.91391999996</v>
      </c>
      <c r="AD59" s="652"/>
    </row>
    <row r="60" spans="2:30" s="32" customFormat="1" ht="16.5" customHeight="1">
      <c r="B60" s="464"/>
      <c r="C60" s="467"/>
      <c r="D60" s="668" t="s">
        <v>385</v>
      </c>
      <c r="E60" s="663">
        <v>147</v>
      </c>
      <c r="F60" s="663">
        <v>132</v>
      </c>
      <c r="G60" s="664">
        <f>E60*$F$19*$L$20/100</f>
        <v>202113.05184</v>
      </c>
      <c r="H60" s="668"/>
      <c r="I60" s="669"/>
      <c r="J60" s="169"/>
      <c r="K60"/>
      <c r="L60" s="664">
        <v>0</v>
      </c>
      <c r="M60" s="169"/>
      <c r="N60" s="666" t="str">
        <f>"(DTE "&amp;DATO!$G$14&amp;DATO!$H$14&amp;")"</f>
        <v>(DTE 0211)</v>
      </c>
      <c r="O60" s="670"/>
      <c r="P60"/>
      <c r="Q60" s="660"/>
      <c r="R60" s="660"/>
      <c r="S60" s="33"/>
      <c r="T60"/>
      <c r="U60"/>
      <c r="V60"/>
      <c r="W60"/>
      <c r="X60" s="33"/>
      <c r="Y60" s="33"/>
      <c r="Z60" s="33"/>
      <c r="AA60" s="33"/>
      <c r="AB60" s="33"/>
      <c r="AC60" s="476">
        <f>L60+G60</f>
        <v>202113.05184</v>
      </c>
      <c r="AD60" s="652"/>
    </row>
    <row r="61" spans="2:30" s="32" customFormat="1" ht="16.5" customHeight="1">
      <c r="B61" s="464"/>
      <c r="C61" s="467"/>
      <c r="E61" s="472"/>
      <c r="F61" s="550"/>
      <c r="G61" s="551"/>
      <c r="H61"/>
      <c r="I61" s="550"/>
      <c r="J61" s="550"/>
      <c r="K61"/>
      <c r="L61" s="476"/>
      <c r="M61" s="659"/>
      <c r="N61" s="659"/>
      <c r="O61" s="660"/>
      <c r="P61" s="660"/>
      <c r="Q61" s="660"/>
      <c r="R61" s="660"/>
      <c r="S61" s="33"/>
      <c r="T61"/>
      <c r="U61"/>
      <c r="V61"/>
      <c r="W61"/>
      <c r="X61" s="33"/>
      <c r="Y61" s="33"/>
      <c r="Z61" s="33"/>
      <c r="AA61" s="33"/>
      <c r="AB61" s="33"/>
      <c r="AC61" s="476"/>
      <c r="AD61" s="652"/>
    </row>
    <row r="62" spans="1:30" ht="16.5" customHeight="1">
      <c r="A62" s="32"/>
      <c r="B62" s="464"/>
      <c r="C62" s="467"/>
      <c r="D62" s="655" t="s">
        <v>112</v>
      </c>
      <c r="E62" s="550" t="s">
        <v>113</v>
      </c>
      <c r="F62" s="550" t="s">
        <v>42</v>
      </c>
      <c r="G62" s="656" t="s">
        <v>137</v>
      </c>
      <c r="I62" s="658"/>
      <c r="J62" s="550"/>
      <c r="L62" s="657" t="s">
        <v>135</v>
      </c>
      <c r="M62" s="658"/>
      <c r="N62" s="659"/>
      <c r="O62" s="660"/>
      <c r="P62" s="660"/>
      <c r="Q62" s="660"/>
      <c r="R62" s="660"/>
      <c r="S62" s="660"/>
      <c r="AC62" s="476">
        <f>+L63</f>
        <v>0</v>
      </c>
      <c r="AD62" s="652"/>
    </row>
    <row r="63" spans="1:30" ht="16.5" customHeight="1">
      <c r="A63" s="32"/>
      <c r="B63" s="464"/>
      <c r="C63" s="467"/>
      <c r="D63" s="550" t="s">
        <v>384</v>
      </c>
      <c r="E63" s="663">
        <v>300</v>
      </c>
      <c r="F63" s="663" t="s">
        <v>127</v>
      </c>
      <c r="G63" s="664">
        <f>E63*F20*L20</f>
        <v>112896.00000000001</v>
      </c>
      <c r="H63" s="169"/>
      <c r="I63" s="169"/>
      <c r="J63" s="665"/>
      <c r="L63" s="665">
        <v>0</v>
      </c>
      <c r="M63" s="169"/>
      <c r="N63" s="666" t="str">
        <f>"(DTE "&amp;DATO!$G$14&amp;DATO!$H$14&amp;")"</f>
        <v>(DTE 0211)</v>
      </c>
      <c r="O63" s="698"/>
      <c r="P63" s="698"/>
      <c r="Q63" s="698"/>
      <c r="R63" s="698"/>
      <c r="S63" s="698"/>
      <c r="AC63" s="699">
        <f>G63</f>
        <v>112896.00000000001</v>
      </c>
      <c r="AD63" s="652"/>
    </row>
    <row r="64" spans="1:30" ht="16.5" customHeight="1">
      <c r="A64" s="32"/>
      <c r="B64" s="464"/>
      <c r="C64" s="467"/>
      <c r="D64" s="550"/>
      <c r="E64" s="663"/>
      <c r="F64" s="663"/>
      <c r="G64" s="664"/>
      <c r="H64" s="169"/>
      <c r="I64" s="169"/>
      <c r="J64" s="665"/>
      <c r="L64" s="665"/>
      <c r="M64" s="169"/>
      <c r="N64" s="666"/>
      <c r="O64" s="698"/>
      <c r="P64" s="698"/>
      <c r="Q64" s="698"/>
      <c r="R64" s="698"/>
      <c r="S64" s="698"/>
      <c r="AC64" s="699"/>
      <c r="AD64" s="652"/>
    </row>
    <row r="65" spans="1:30" ht="16.5" customHeight="1">
      <c r="A65" s="32"/>
      <c r="B65" s="464"/>
      <c r="C65" s="467"/>
      <c r="D65" s="655" t="s">
        <v>60</v>
      </c>
      <c r="E65" s="669" t="s">
        <v>365</v>
      </c>
      <c r="F65" s="669"/>
      <c r="G65" s="550" t="s">
        <v>42</v>
      </c>
      <c r="I65" s="658"/>
      <c r="J65" s="656" t="s">
        <v>367</v>
      </c>
      <c r="L65" s="657"/>
      <c r="M65" s="658"/>
      <c r="N65" s="659"/>
      <c r="O65" s="660"/>
      <c r="P65" s="660"/>
      <c r="Q65" s="660"/>
      <c r="R65" s="660"/>
      <c r="S65" s="660"/>
      <c r="AC65" s="476"/>
      <c r="AD65" s="652"/>
    </row>
    <row r="66" spans="1:30" ht="16.5" customHeight="1">
      <c r="A66" s="32"/>
      <c r="B66" s="464"/>
      <c r="C66" s="467"/>
      <c r="D66" s="550" t="s">
        <v>386</v>
      </c>
      <c r="E66" s="955" t="s">
        <v>387</v>
      </c>
      <c r="F66" s="700"/>
      <c r="G66" s="663">
        <v>132</v>
      </c>
      <c r="H66" s="169"/>
      <c r="I66" s="169"/>
      <c r="J66" s="664">
        <f>F21*L20</f>
        <v>59988.768000000004</v>
      </c>
      <c r="L66" s="665"/>
      <c r="M66" s="169"/>
      <c r="N66" s="666"/>
      <c r="O66" s="698"/>
      <c r="P66" s="698"/>
      <c r="Q66" s="698"/>
      <c r="R66" s="698"/>
      <c r="S66" s="698"/>
      <c r="AC66" s="699">
        <f>J66</f>
        <v>59988.768000000004</v>
      </c>
      <c r="AD66" s="652"/>
    </row>
    <row r="67" spans="1:30" ht="16.5" customHeight="1">
      <c r="A67" s="32"/>
      <c r="B67" s="464"/>
      <c r="C67" s="467"/>
      <c r="D67" s="550" t="s">
        <v>386</v>
      </c>
      <c r="E67" s="955" t="s">
        <v>388</v>
      </c>
      <c r="F67" s="700"/>
      <c r="G67" s="663">
        <v>132</v>
      </c>
      <c r="H67" s="169"/>
      <c r="I67" s="169"/>
      <c r="J67" s="664">
        <f>2*F21*L20</f>
        <v>119977.53600000001</v>
      </c>
      <c r="L67" s="665"/>
      <c r="M67" s="169"/>
      <c r="N67" s="666"/>
      <c r="O67" s="698"/>
      <c r="P67" s="698"/>
      <c r="Q67" s="698"/>
      <c r="R67" s="698"/>
      <c r="S67" s="698"/>
      <c r="AC67" s="699">
        <f>J67</f>
        <v>119977.53600000001</v>
      </c>
      <c r="AD67" s="652"/>
    </row>
    <row r="68" spans="1:30" ht="16.5" customHeight="1">
      <c r="A68" s="32"/>
      <c r="B68" s="464"/>
      <c r="C68" s="467"/>
      <c r="D68" s="550" t="s">
        <v>386</v>
      </c>
      <c r="E68" s="955" t="s">
        <v>389</v>
      </c>
      <c r="F68" s="700"/>
      <c r="G68" s="663">
        <v>132</v>
      </c>
      <c r="H68" s="169"/>
      <c r="I68" s="169"/>
      <c r="J68" s="664">
        <f>2*F21*L20</f>
        <v>119977.53600000001</v>
      </c>
      <c r="L68" s="665"/>
      <c r="M68" s="169"/>
      <c r="N68" s="666"/>
      <c r="O68" s="698"/>
      <c r="P68" s="698"/>
      <c r="Q68" s="698"/>
      <c r="R68" s="698"/>
      <c r="S68" s="698"/>
      <c r="AC68" s="701">
        <f>J68</f>
        <v>119977.53600000001</v>
      </c>
      <c r="AD68" s="652"/>
    </row>
    <row r="69" spans="1:30" ht="6" customHeight="1" thickBot="1">
      <c r="A69" s="32"/>
      <c r="B69" s="464"/>
      <c r="C69" s="467"/>
      <c r="D69" s="550"/>
      <c r="E69" s="955"/>
      <c r="F69" s="700"/>
      <c r="G69" s="663"/>
      <c r="H69" s="169"/>
      <c r="I69" s="169"/>
      <c r="J69" s="664"/>
      <c r="L69" s="665"/>
      <c r="M69" s="169"/>
      <c r="N69" s="666"/>
      <c r="O69" s="698"/>
      <c r="P69" s="698"/>
      <c r="Q69" s="698"/>
      <c r="R69" s="698"/>
      <c r="S69" s="698"/>
      <c r="AC69" s="699"/>
      <c r="AD69" s="652"/>
    </row>
    <row r="70" spans="1:30" ht="21" customHeight="1" thickBot="1" thickTop="1">
      <c r="A70" s="32"/>
      <c r="B70" s="464"/>
      <c r="C70" s="467"/>
      <c r="D70" s="455"/>
      <c r="E70" s="472"/>
      <c r="F70" s="550"/>
      <c r="G70" s="550"/>
      <c r="H70" s="551"/>
      <c r="J70" s="550"/>
      <c r="L70" s="672"/>
      <c r="M70" s="659"/>
      <c r="N70" s="659"/>
      <c r="O70" s="660"/>
      <c r="P70" s="660"/>
      <c r="Q70" s="660"/>
      <c r="R70" s="660"/>
      <c r="S70" s="660"/>
      <c r="AB70" s="1037" t="s">
        <v>43</v>
      </c>
      <c r="AC70" s="56">
        <f>SUM(AC59:AC68)</f>
        <v>836314.8057599999</v>
      </c>
      <c r="AD70" s="652"/>
    </row>
    <row r="71" spans="1:30" ht="12" customHeight="1" thickBot="1" thickTop="1">
      <c r="A71" s="32"/>
      <c r="B71" s="464"/>
      <c r="C71" s="467"/>
      <c r="D71" s="455"/>
      <c r="E71" s="472"/>
      <c r="F71" s="550"/>
      <c r="G71" s="550"/>
      <c r="H71" s="551"/>
      <c r="J71" s="550"/>
      <c r="L71" s="672"/>
      <c r="M71" s="659"/>
      <c r="N71" s="659"/>
      <c r="O71" s="660"/>
      <c r="P71" s="660"/>
      <c r="Q71" s="660"/>
      <c r="R71" s="660"/>
      <c r="S71" s="660"/>
      <c r="AB71" s="125"/>
      <c r="AC71" s="125"/>
      <c r="AD71" s="652"/>
    </row>
    <row r="72" spans="1:30" ht="21" customHeight="1" thickBot="1" thickTop="1">
      <c r="A72" s="32"/>
      <c r="B72" s="464"/>
      <c r="C72" s="467"/>
      <c r="D72" s="455"/>
      <c r="E72" s="472"/>
      <c r="F72" s="550"/>
      <c r="G72" s="550"/>
      <c r="H72" s="551"/>
      <c r="J72" s="550"/>
      <c r="L72" s="672"/>
      <c r="M72" s="659"/>
      <c r="N72" s="659"/>
      <c r="O72" s="660"/>
      <c r="P72" s="660"/>
      <c r="Q72" s="660"/>
      <c r="R72" s="660"/>
      <c r="S72" s="660"/>
      <c r="AB72" s="1037" t="s">
        <v>372</v>
      </c>
      <c r="AC72" s="56">
        <v>280702.62528</v>
      </c>
      <c r="AD72" s="652"/>
    </row>
    <row r="73" spans="2:30" ht="16.5" customHeight="1" thickTop="1">
      <c r="B73" s="464"/>
      <c r="C73" s="653" t="s">
        <v>106</v>
      </c>
      <c r="D73" s="673" t="s">
        <v>107</v>
      </c>
      <c r="E73" s="550"/>
      <c r="F73" s="674"/>
      <c r="G73" s="549"/>
      <c r="H73" s="455"/>
      <c r="I73" s="455"/>
      <c r="J73" s="455"/>
      <c r="K73" s="550"/>
      <c r="L73" s="550"/>
      <c r="M73" s="455"/>
      <c r="N73" s="550"/>
      <c r="O73" s="455"/>
      <c r="P73" s="455"/>
      <c r="Q73" s="455"/>
      <c r="R73" s="455"/>
      <c r="S73" s="455"/>
      <c r="T73" s="455"/>
      <c r="U73" s="455"/>
      <c r="AC73" s="455"/>
      <c r="AD73" s="652"/>
    </row>
    <row r="74" spans="2:30" s="32" customFormat="1" ht="16.5" customHeight="1">
      <c r="B74" s="464"/>
      <c r="C74" s="467"/>
      <c r="D74" s="655" t="s">
        <v>108</v>
      </c>
      <c r="E74" s="675">
        <f>10*K54*K25/AC70</f>
        <v>3120.88905408008</v>
      </c>
      <c r="G74" s="549"/>
      <c r="L74" s="550"/>
      <c r="N74" s="550"/>
      <c r="O74" s="551"/>
      <c r="V74"/>
      <c r="W74"/>
      <c r="AD74" s="652"/>
    </row>
    <row r="75" spans="2:30" s="32" customFormat="1" ht="16.5" customHeight="1">
      <c r="B75" s="464"/>
      <c r="C75" s="467"/>
      <c r="E75" s="676"/>
      <c r="F75" s="477"/>
      <c r="G75" s="549"/>
      <c r="J75" s="549"/>
      <c r="K75" s="564"/>
      <c r="L75" s="550"/>
      <c r="M75" s="550"/>
      <c r="N75" s="550"/>
      <c r="O75" s="551"/>
      <c r="P75" s="550"/>
      <c r="Q75" s="550"/>
      <c r="R75" s="563"/>
      <c r="S75" s="563"/>
      <c r="T75" s="563"/>
      <c r="U75" s="677"/>
      <c r="V75"/>
      <c r="W75"/>
      <c r="AC75" s="677"/>
      <c r="AD75" s="652"/>
    </row>
    <row r="76" spans="2:30" ht="16.5" customHeight="1">
      <c r="B76" s="464"/>
      <c r="C76" s="467"/>
      <c r="D76" s="678" t="s">
        <v>366</v>
      </c>
      <c r="E76" s="679"/>
      <c r="F76" s="477"/>
      <c r="G76" s="549"/>
      <c r="H76" s="455"/>
      <c r="I76" s="455"/>
      <c r="N76" s="550"/>
      <c r="O76" s="551"/>
      <c r="P76" s="550"/>
      <c r="Q76" s="550"/>
      <c r="R76" s="658"/>
      <c r="S76" s="658"/>
      <c r="T76" s="658"/>
      <c r="U76" s="659"/>
      <c r="AC76" s="659"/>
      <c r="AD76" s="652"/>
    </row>
    <row r="77" spans="2:30" ht="16.5" customHeight="1" thickBot="1">
      <c r="B77" s="464"/>
      <c r="C77" s="467"/>
      <c r="D77" s="678"/>
      <c r="E77" s="679"/>
      <c r="F77" s="477"/>
      <c r="G77" s="549"/>
      <c r="H77" s="455"/>
      <c r="I77" s="455"/>
      <c r="N77" s="550"/>
      <c r="O77" s="551"/>
      <c r="P77" s="550"/>
      <c r="Q77" s="550"/>
      <c r="R77" s="658"/>
      <c r="S77" s="658"/>
      <c r="T77" s="658"/>
      <c r="U77" s="659"/>
      <c r="AC77" s="659"/>
      <c r="AD77" s="652"/>
    </row>
    <row r="78" spans="2:30" s="680" customFormat="1" ht="21" thickBot="1" thickTop="1">
      <c r="B78" s="681"/>
      <c r="C78" s="682"/>
      <c r="D78" s="683"/>
      <c r="E78" s="684"/>
      <c r="F78" s="685"/>
      <c r="G78" s="686"/>
      <c r="I78"/>
      <c r="J78" s="687" t="s">
        <v>109</v>
      </c>
      <c r="K78" s="688">
        <f>IF(E74&gt;3*K25,K25*3,E74)</f>
        <v>3120.88905408008</v>
      </c>
      <c r="M78" s="689"/>
      <c r="N78" s="689"/>
      <c r="O78" s="690"/>
      <c r="P78" s="689"/>
      <c r="Q78" s="689"/>
      <c r="R78" s="691"/>
      <c r="S78" s="691"/>
      <c r="T78" s="691"/>
      <c r="U78" s="692"/>
      <c r="V78"/>
      <c r="W78"/>
      <c r="AC78" s="692"/>
      <c r="AD78" s="693"/>
    </row>
    <row r="79" spans="2:30" ht="16.5" customHeight="1" thickBot="1" thickTop="1">
      <c r="B79" s="57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192"/>
      <c r="W79" s="192"/>
      <c r="X79" s="192"/>
      <c r="Y79" s="192"/>
      <c r="Z79" s="192"/>
      <c r="AA79" s="192"/>
      <c r="AB79" s="192"/>
      <c r="AC79" s="59"/>
      <c r="AD79" s="694"/>
    </row>
    <row r="80" spans="2:23" ht="16.5" customHeight="1" thickTop="1">
      <c r="B80" s="1"/>
      <c r="C80" s="73"/>
      <c r="W80" s="1"/>
    </row>
  </sheetData>
  <sheetProtection password="CC12"/>
  <mergeCells count="19">
    <mergeCell ref="O47:Q47"/>
    <mergeCell ref="F52:G52"/>
    <mergeCell ref="F50:G50"/>
    <mergeCell ref="F46:G46"/>
    <mergeCell ref="F47:G47"/>
    <mergeCell ref="F49:G49"/>
    <mergeCell ref="F48:G48"/>
    <mergeCell ref="F51:G51"/>
    <mergeCell ref="O51:Q51"/>
    <mergeCell ref="P42:Q42"/>
    <mergeCell ref="O52:Q52"/>
    <mergeCell ref="P39:Q39"/>
    <mergeCell ref="P40:Q40"/>
    <mergeCell ref="P41:Q41"/>
    <mergeCell ref="O49:Q49"/>
    <mergeCell ref="O50:Q50"/>
    <mergeCell ref="P43:Q43"/>
    <mergeCell ref="O48:Q48"/>
    <mergeCell ref="O46:Q46"/>
  </mergeCells>
  <printOptions horizontalCentered="1"/>
  <pageMargins left="0.3937007874015748" right="0.1968503937007874" top="0.7874015748031497" bottom="0.5" header="0.5118110236220472" footer="0.34"/>
  <pageSetup fitToHeight="1" fitToWidth="1" orientation="landscape" paperSize="9" scale="35" r:id="rId4"/>
  <headerFooter alignWithMargins="0">
    <oddFooter>&amp;L&amp;"Times New Roman,Normal"&amp;7&amp;F-&amp;A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69"/>
  <sheetViews>
    <sheetView zoomScale="50" zoomScaleNormal="50" zoomScalePageLayoutView="0" workbookViewId="0" topLeftCell="A1">
      <selection activeCell="G41" sqref="G41"/>
    </sheetView>
  </sheetViews>
  <sheetFormatPr defaultColWidth="11.421875" defaultRowHeight="12.75"/>
  <cols>
    <col min="1" max="1" width="24.28125" style="0" customWidth="1"/>
    <col min="2" max="2" width="19.14062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8.71093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19.14062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4"/>
      <c r="AD1" s="702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1" customFormat="1" ht="30.75">
      <c r="A3" s="458"/>
      <c r="B3" s="459" t="str">
        <f>+'TOT-0211'!B2</f>
        <v>ANEXO III al Memorándum D.T.E.E. N°  1088 /2012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AB3" s="460"/>
      <c r="AC3" s="460"/>
      <c r="AD3" s="460"/>
    </row>
    <row r="4" spans="1:2" s="25" customFormat="1" ht="11.25">
      <c r="A4" s="695" t="s">
        <v>1</v>
      </c>
      <c r="B4" s="696"/>
    </row>
    <row r="5" spans="1:2" s="25" customFormat="1" ht="12" thickBot="1">
      <c r="A5" s="695" t="s">
        <v>2</v>
      </c>
      <c r="B5" s="695"/>
    </row>
    <row r="6" spans="1:23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1" t="s">
        <v>90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1" t="s">
        <v>91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 s="195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1" t="s">
        <v>218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 s="195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'TOT-0211'!B14</f>
        <v>Desde el 01 al 28 de febrero de 2011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59" t="s">
        <v>92</v>
      </c>
      <c r="D17" s="54" t="s">
        <v>93</v>
      </c>
      <c r="E17" s="66"/>
      <c r="F17" s="66"/>
      <c r="G17" s="4"/>
      <c r="H17" s="4"/>
      <c r="I17" s="4"/>
      <c r="J17" s="46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64"/>
      <c r="C18" s="33"/>
      <c r="D18" s="465"/>
      <c r="E18" s="473"/>
      <c r="F18" s="664"/>
      <c r="G18" s="666"/>
      <c r="H18" s="33"/>
      <c r="I18" s="33"/>
      <c r="J18" s="468"/>
      <c r="K18" s="33"/>
      <c r="L18" s="33"/>
      <c r="M18" s="33"/>
      <c r="N18" s="703" t="s">
        <v>36</v>
      </c>
      <c r="P18" s="33"/>
      <c r="Q18" s="33"/>
      <c r="R18" s="33"/>
      <c r="S18" s="33"/>
      <c r="T18" s="33"/>
      <c r="U18" s="33"/>
      <c r="V18" s="33"/>
      <c r="W18" s="469"/>
    </row>
    <row r="19" spans="2:23" s="32" customFormat="1" ht="16.5" customHeight="1">
      <c r="B19" s="464"/>
      <c r="C19" s="33"/>
      <c r="D19" s="881"/>
      <c r="E19" s="473" t="s">
        <v>39</v>
      </c>
      <c r="F19" s="474">
        <v>0.025</v>
      </c>
      <c r="G19" s="471"/>
      <c r="H19" s="33"/>
      <c r="I19" s="199"/>
      <c r="J19" s="200"/>
      <c r="K19" s="704" t="s">
        <v>114</v>
      </c>
      <c r="L19" s="705"/>
      <c r="M19" s="706">
        <v>111.585</v>
      </c>
      <c r="N19" s="707">
        <v>200</v>
      </c>
      <c r="R19" s="33"/>
      <c r="S19" s="33"/>
      <c r="T19" s="33"/>
      <c r="U19" s="33"/>
      <c r="V19" s="33"/>
      <c r="W19" s="469"/>
    </row>
    <row r="20" spans="2:23" s="32" customFormat="1" ht="16.5" customHeight="1">
      <c r="B20" s="464"/>
      <c r="C20" s="33"/>
      <c r="D20" s="881"/>
      <c r="E20" s="465" t="s">
        <v>37</v>
      </c>
      <c r="F20" s="33">
        <f>MID(B13,16,2)*24</f>
        <v>672</v>
      </c>
      <c r="G20" s="33" t="s">
        <v>38</v>
      </c>
      <c r="H20" s="33"/>
      <c r="I20" s="33"/>
      <c r="J20" s="33"/>
      <c r="K20" s="708" t="s">
        <v>82</v>
      </c>
      <c r="L20" s="709"/>
      <c r="M20" s="710" t="s">
        <v>244</v>
      </c>
      <c r="N20" s="711">
        <v>100</v>
      </c>
      <c r="O20" s="33"/>
      <c r="P20" s="697"/>
      <c r="Q20" s="33"/>
      <c r="R20" s="33"/>
      <c r="S20" s="33"/>
      <c r="T20" s="33"/>
      <c r="U20" s="33"/>
      <c r="V20" s="33"/>
      <c r="W20" s="469"/>
    </row>
    <row r="21" spans="2:23" s="32" customFormat="1" ht="16.5" customHeight="1" thickBot="1">
      <c r="B21" s="464"/>
      <c r="C21" s="33"/>
      <c r="D21" s="881"/>
      <c r="E21" s="465" t="s">
        <v>40</v>
      </c>
      <c r="F21" s="33">
        <v>0.56</v>
      </c>
      <c r="G21" s="32" t="s">
        <v>111</v>
      </c>
      <c r="H21" s="33"/>
      <c r="I21" s="33"/>
      <c r="J21" s="33"/>
      <c r="K21" s="712" t="s">
        <v>115</v>
      </c>
      <c r="L21" s="713"/>
      <c r="M21" s="714">
        <v>89.269</v>
      </c>
      <c r="N21" s="715">
        <v>40</v>
      </c>
      <c r="O21" s="33"/>
      <c r="P21" s="697"/>
      <c r="Q21" s="33"/>
      <c r="R21" s="33"/>
      <c r="S21" s="33"/>
      <c r="T21" s="33"/>
      <c r="U21" s="33"/>
      <c r="V21" s="33"/>
      <c r="W21" s="469"/>
    </row>
    <row r="22" spans="2:23" s="32" customFormat="1" ht="16.5" customHeight="1">
      <c r="B22" s="464"/>
      <c r="C22" s="33"/>
      <c r="D22" s="33"/>
      <c r="E22" s="47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69"/>
    </row>
    <row r="23" spans="1:23" ht="16.5" customHeight="1">
      <c r="A23" s="5"/>
      <c r="B23" s="50"/>
      <c r="C23" s="159" t="s">
        <v>96</v>
      </c>
      <c r="D23" s="3" t="s">
        <v>130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21" customHeight="1" thickBot="1" thickTop="1">
      <c r="B25" s="464"/>
      <c r="C25" s="467"/>
      <c r="D25"/>
      <c r="E25"/>
      <c r="F25"/>
      <c r="G25"/>
      <c r="H25"/>
      <c r="I25" s="1035" t="s">
        <v>44</v>
      </c>
      <c r="J25" s="1034">
        <f>+V60*F19</f>
        <v>19898.579250000003</v>
      </c>
      <c r="L25"/>
      <c r="S25"/>
      <c r="T25"/>
      <c r="U25"/>
      <c r="W25" s="469"/>
    </row>
    <row r="26" spans="2:23" s="32" customFormat="1" ht="11.25" customHeight="1" thickTop="1">
      <c r="B26" s="464"/>
      <c r="C26" s="467"/>
      <c r="D26" s="33"/>
      <c r="E26" s="47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69"/>
    </row>
    <row r="27" spans="1:23" ht="16.5" customHeight="1">
      <c r="A27" s="5"/>
      <c r="B27" s="50"/>
      <c r="C27" s="159" t="s">
        <v>97</v>
      </c>
      <c r="D27" s="3" t="s">
        <v>131</v>
      </c>
      <c r="E27" s="20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67"/>
      <c r="D28" s="467"/>
      <c r="E28" s="548"/>
      <c r="F28" s="477"/>
      <c r="G28" s="549"/>
      <c r="H28" s="549"/>
      <c r="I28" s="550"/>
      <c r="J28" s="550"/>
      <c r="K28" s="550"/>
      <c r="L28" s="550"/>
      <c r="M28" s="550"/>
      <c r="N28" s="550"/>
      <c r="O28" s="551"/>
      <c r="P28" s="550"/>
      <c r="Q28" s="550"/>
      <c r="R28" s="717"/>
      <c r="S28" s="718"/>
      <c r="T28" s="719"/>
      <c r="U28" s="719"/>
      <c r="V28" s="719"/>
      <c r="W28" s="227"/>
    </row>
    <row r="29" spans="1:26" s="5" customFormat="1" ht="33.75" customHeight="1" thickBot="1" thickTop="1">
      <c r="A29" s="90"/>
      <c r="B29" s="95"/>
      <c r="C29" s="123" t="s">
        <v>12</v>
      </c>
      <c r="D29" s="119" t="s">
        <v>26</v>
      </c>
      <c r="E29" s="118" t="s">
        <v>27</v>
      </c>
      <c r="F29" s="120" t="s">
        <v>28</v>
      </c>
      <c r="G29" s="121" t="s">
        <v>13</v>
      </c>
      <c r="H29" s="129" t="s">
        <v>15</v>
      </c>
      <c r="I29" s="118" t="s">
        <v>16</v>
      </c>
      <c r="J29" s="118" t="s">
        <v>17</v>
      </c>
      <c r="K29" s="119" t="s">
        <v>29</v>
      </c>
      <c r="L29" s="119" t="s">
        <v>30</v>
      </c>
      <c r="M29" s="88" t="s">
        <v>100</v>
      </c>
      <c r="N29" s="118" t="s">
        <v>31</v>
      </c>
      <c r="O29" s="566" t="s">
        <v>32</v>
      </c>
      <c r="P29" s="129" t="s">
        <v>33</v>
      </c>
      <c r="Q29" s="568" t="s">
        <v>19</v>
      </c>
      <c r="R29" s="569" t="s">
        <v>101</v>
      </c>
      <c r="S29" s="570"/>
      <c r="T29" s="571" t="s">
        <v>21</v>
      </c>
      <c r="U29" s="132" t="s">
        <v>74</v>
      </c>
      <c r="V29" s="121" t="s">
        <v>23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575"/>
      <c r="H30" s="576"/>
      <c r="I30" s="10"/>
      <c r="J30" s="10"/>
      <c r="K30" s="10"/>
      <c r="L30" s="10"/>
      <c r="M30" s="10"/>
      <c r="N30" s="578"/>
      <c r="O30" s="720"/>
      <c r="P30" s="133"/>
      <c r="Q30" s="581"/>
      <c r="R30" s="582"/>
      <c r="S30" s="583"/>
      <c r="T30" s="584"/>
      <c r="U30" s="578"/>
      <c r="V30" s="588"/>
      <c r="W30" s="17"/>
    </row>
    <row r="31" spans="1:23" ht="16.5" customHeight="1">
      <c r="A31" s="5"/>
      <c r="B31" s="50"/>
      <c r="C31" s="823" t="s">
        <v>192</v>
      </c>
      <c r="D31" s="589"/>
      <c r="E31" s="590"/>
      <c r="F31" s="591"/>
      <c r="G31" s="592"/>
      <c r="H31" s="593">
        <f>F31*$F$21</f>
        <v>0</v>
      </c>
      <c r="I31" s="595"/>
      <c r="J31" s="595"/>
      <c r="K31" s="292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721">
        <f>IF(D31="","","NO")</f>
      </c>
      <c r="P31" s="598">
        <f>200*IF(O31="SI",1,0.1)*IF(M31="P",0.1,1)</f>
        <v>20</v>
      </c>
      <c r="Q31" s="599" t="str">
        <f>IF(M31="P",H31*P31*ROUND(L31/60,2),"--")</f>
        <v>--</v>
      </c>
      <c r="R31" s="600" t="str">
        <f>IF(AND(M31="F",N31="NO"),H31*P31,"--")</f>
        <v>--</v>
      </c>
      <c r="S31" s="601" t="str">
        <f>IF(M31="F",H31*P31*ROUND(L31/60,2),"--")</f>
        <v>--</v>
      </c>
      <c r="T31" s="374" t="str">
        <f>IF(M31="RF",H31*P31*ROUND(L31/60,2),"--")</f>
        <v>--</v>
      </c>
      <c r="U31" s="302">
        <f>IF(D31="","","SI")</f>
      </c>
      <c r="V31" s="303">
        <f>IF(D31="","",SUM(Q31:T31)*IF(U31="SI",1,2))</f>
      </c>
      <c r="W31" s="227"/>
    </row>
    <row r="32" spans="1:23" ht="16.5" customHeight="1">
      <c r="A32" s="5"/>
      <c r="B32" s="50"/>
      <c r="C32" s="823" t="s">
        <v>193</v>
      </c>
      <c r="D32" s="589"/>
      <c r="E32" s="590"/>
      <c r="F32" s="591"/>
      <c r="G32" s="592"/>
      <c r="H32" s="593">
        <f>F32*$F$21</f>
        <v>0</v>
      </c>
      <c r="I32" s="595"/>
      <c r="J32" s="595"/>
      <c r="K32" s="292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721">
        <f>IF(D32="","","NO")</f>
      </c>
      <c r="P32" s="598">
        <f>200*IF(O32="SI",1,0.1)*IF(M32="P",0.1,1)</f>
        <v>20</v>
      </c>
      <c r="Q32" s="599" t="str">
        <f>IF(M32="P",H32*P32*ROUND(L32/60,2),"--")</f>
        <v>--</v>
      </c>
      <c r="R32" s="600" t="str">
        <f>IF(AND(M32="F",N32="NO"),H32*P32,"--")</f>
        <v>--</v>
      </c>
      <c r="S32" s="601" t="str">
        <f>IF(M32="F",H32*P32*ROUND(L32/60,2),"--")</f>
        <v>--</v>
      </c>
      <c r="T32" s="374" t="str">
        <f>IF(M32="RF",H32*P32*ROUND(L32/60,2),"--")</f>
        <v>--</v>
      </c>
      <c r="U32" s="302">
        <f>IF(D32="","","SI")</f>
      </c>
      <c r="V32" s="303">
        <f>IF(D32="","",SUM(Q32:T32)*IF(U32="SI",1,2))</f>
      </c>
      <c r="W32" s="227"/>
    </row>
    <row r="33" spans="1:23" ht="16.5" customHeight="1" thickBot="1">
      <c r="A33" s="32"/>
      <c r="B33" s="50"/>
      <c r="C33" s="606"/>
      <c r="D33" s="607"/>
      <c r="E33" s="608"/>
      <c r="F33" s="609"/>
      <c r="G33" s="610"/>
      <c r="H33" s="611"/>
      <c r="I33" s="613"/>
      <c r="J33" s="614"/>
      <c r="K33" s="615"/>
      <c r="L33" s="616"/>
      <c r="M33" s="617"/>
      <c r="N33" s="9"/>
      <c r="O33" s="722"/>
      <c r="P33" s="620"/>
      <c r="Q33" s="621"/>
      <c r="R33" s="622"/>
      <c r="S33" s="623"/>
      <c r="T33" s="624"/>
      <c r="U33" s="628"/>
      <c r="V33" s="629"/>
      <c r="W33" s="227"/>
    </row>
    <row r="34" spans="1:23" ht="16.5" customHeight="1" thickBot="1" thickTop="1">
      <c r="A34" s="32"/>
      <c r="B34" s="50"/>
      <c r="C34" s="98"/>
      <c r="D34" s="201"/>
      <c r="E34" s="201"/>
      <c r="F34" s="405"/>
      <c r="G34" s="630"/>
      <c r="H34" s="631"/>
      <c r="I34" s="632"/>
      <c r="J34" s="633"/>
      <c r="K34" s="634"/>
      <c r="L34" s="635"/>
      <c r="M34" s="631"/>
      <c r="N34" s="636"/>
      <c r="O34" s="190"/>
      <c r="P34" s="637"/>
      <c r="Q34" s="638"/>
      <c r="R34" s="639"/>
      <c r="S34" s="639"/>
      <c r="T34" s="639"/>
      <c r="U34" s="191"/>
      <c r="V34" s="640">
        <f>SUM(V30:V33)</f>
        <v>0</v>
      </c>
      <c r="W34" s="227"/>
    </row>
    <row r="35" spans="1:23" ht="16.5" customHeight="1" thickBot="1" thickTop="1">
      <c r="A35" s="32"/>
      <c r="B35" s="50"/>
      <c r="C35" s="98"/>
      <c r="D35" s="201"/>
      <c r="E35" s="201"/>
      <c r="F35" s="405"/>
      <c r="G35" s="630"/>
      <c r="H35" s="631"/>
      <c r="I35" s="632"/>
      <c r="L35" s="635"/>
      <c r="M35" s="631"/>
      <c r="N35" s="641"/>
      <c r="O35" s="642"/>
      <c r="P35" s="637"/>
      <c r="Q35" s="638"/>
      <c r="R35" s="639"/>
      <c r="S35" s="639"/>
      <c r="T35" s="639"/>
      <c r="U35" s="191"/>
      <c r="V35" s="191"/>
      <c r="W35" s="227"/>
    </row>
    <row r="36" spans="2:23" s="5" customFormat="1" ht="33.75" customHeight="1" thickBot="1" thickTop="1">
      <c r="B36" s="50"/>
      <c r="C36" s="84" t="s">
        <v>12</v>
      </c>
      <c r="D36" s="86" t="s">
        <v>26</v>
      </c>
      <c r="E36" s="1128" t="s">
        <v>27</v>
      </c>
      <c r="F36" s="1154"/>
      <c r="G36" s="132" t="s">
        <v>13</v>
      </c>
      <c r="H36" s="129" t="s">
        <v>15</v>
      </c>
      <c r="I36" s="85" t="s">
        <v>16</v>
      </c>
      <c r="J36" s="357" t="s">
        <v>17</v>
      </c>
      <c r="K36" s="359" t="s">
        <v>35</v>
      </c>
      <c r="L36" s="359" t="s">
        <v>30</v>
      </c>
      <c r="M36" s="88" t="s">
        <v>18</v>
      </c>
      <c r="N36" s="1128" t="s">
        <v>31</v>
      </c>
      <c r="O36" s="1129"/>
      <c r="P36" s="135" t="s">
        <v>36</v>
      </c>
      <c r="Q36" s="360" t="s">
        <v>70</v>
      </c>
      <c r="R36" s="177" t="s">
        <v>34</v>
      </c>
      <c r="S36" s="361"/>
      <c r="T36" s="134" t="s">
        <v>21</v>
      </c>
      <c r="U36" s="132" t="s">
        <v>74</v>
      </c>
      <c r="V36" s="121" t="s">
        <v>23</v>
      </c>
      <c r="W36" s="6"/>
    </row>
    <row r="37" spans="2:23" s="5" customFormat="1" ht="16.5" customHeight="1" thickTop="1">
      <c r="B37" s="50"/>
      <c r="C37" s="7"/>
      <c r="D37" s="369"/>
      <c r="E37" s="1148"/>
      <c r="F37" s="1149"/>
      <c r="G37" s="369"/>
      <c r="H37" s="370"/>
      <c r="I37" s="369"/>
      <c r="J37" s="369"/>
      <c r="K37" s="369"/>
      <c r="L37" s="369"/>
      <c r="M37" s="369"/>
      <c r="N37" s="1155"/>
      <c r="O37" s="1156"/>
      <c r="P37" s="371"/>
      <c r="Q37" s="372"/>
      <c r="R37" s="188"/>
      <c r="S37" s="373"/>
      <c r="T37" s="374"/>
      <c r="U37" s="369"/>
      <c r="V37" s="375"/>
      <c r="W37" s="6"/>
    </row>
    <row r="38" spans="2:23" s="5" customFormat="1" ht="16.5" customHeight="1">
      <c r="B38" s="50"/>
      <c r="C38" s="823" t="s">
        <v>192</v>
      </c>
      <c r="D38" s="369" t="s">
        <v>316</v>
      </c>
      <c r="E38" s="1148" t="s">
        <v>317</v>
      </c>
      <c r="F38" s="1149"/>
      <c r="G38" s="724">
        <v>132</v>
      </c>
      <c r="H38" s="130">
        <f aca="true" t="shared" si="0" ref="H38:H43">IF(G38=500,$M$19,IF(G38=220,$M$20,$M$21))</f>
        <v>89.269</v>
      </c>
      <c r="I38" s="725">
        <v>40581.38888888889</v>
      </c>
      <c r="J38" s="726">
        <v>40581.77361111111</v>
      </c>
      <c r="K38" s="379">
        <f aca="true" t="shared" si="1" ref="K38:K43">IF(D38="","",(J38-I38)*24)</f>
        <v>9.233333333220799</v>
      </c>
      <c r="L38" s="380">
        <f aca="true" t="shared" si="2" ref="L38:L43">IF(D38="","",ROUND((J38-I38)*24*60,0))</f>
        <v>554</v>
      </c>
      <c r="M38" s="515" t="s">
        <v>286</v>
      </c>
      <c r="N38" s="1130" t="str">
        <f aca="true" t="shared" si="3" ref="N38:N43">IF(D38="","",IF(OR(M38="P",M38="RP"),"--","NO"))</f>
        <v>--</v>
      </c>
      <c r="O38" s="1131"/>
      <c r="P38" s="727">
        <f aca="true" t="shared" si="4" ref="P38:P43">IF(G38=500,$N$19,IF(G38=220,$N$20,$N$21))</f>
        <v>40</v>
      </c>
      <c r="Q38" s="728">
        <f aca="true" t="shared" si="5" ref="Q38:Q43">IF(M38="P",H38*P38*ROUND(L38/60,2)*0.1,"--")</f>
        <v>3295.8114800000003</v>
      </c>
      <c r="R38" s="188" t="str">
        <f aca="true" t="shared" si="6" ref="R38:R43">IF(AND(M38="F",N38="NO"),H38*P38,"--")</f>
        <v>--</v>
      </c>
      <c r="S38" s="373" t="str">
        <f aca="true" t="shared" si="7" ref="S38:S43">IF(M38="F",H38*P38*ROUND(L38/60,2),"--")</f>
        <v>--</v>
      </c>
      <c r="T38" s="374" t="str">
        <f aca="true" t="shared" si="8" ref="T38:T43">IF(M38="RF",H38*P38*ROUND(L38/60,2),"--")</f>
        <v>--</v>
      </c>
      <c r="U38" s="729" t="str">
        <f aca="true" t="shared" si="9" ref="U38:U43">IF(D38="","","SI")</f>
        <v>SI</v>
      </c>
      <c r="V38" s="381">
        <f aca="true" t="shared" si="10" ref="V38:V43">IF(D38="","",SUM(Q38:T38)*IF(U38="SI",1,2))</f>
        <v>3295.8114800000003</v>
      </c>
      <c r="W38" s="6"/>
    </row>
    <row r="39" spans="2:23" s="5" customFormat="1" ht="16.5" customHeight="1">
      <c r="B39" s="50"/>
      <c r="C39" s="823" t="s">
        <v>193</v>
      </c>
      <c r="D39" s="369" t="s">
        <v>318</v>
      </c>
      <c r="E39" s="1148" t="s">
        <v>319</v>
      </c>
      <c r="F39" s="1149"/>
      <c r="G39" s="724">
        <v>132</v>
      </c>
      <c r="H39" s="130">
        <f t="shared" si="0"/>
        <v>89.269</v>
      </c>
      <c r="I39" s="725">
        <v>40589.606944444444</v>
      </c>
      <c r="J39" s="726">
        <v>40589.78888888889</v>
      </c>
      <c r="K39" s="379">
        <f t="shared" si="1"/>
        <v>4.366666666755918</v>
      </c>
      <c r="L39" s="380">
        <f t="shared" si="2"/>
        <v>262</v>
      </c>
      <c r="M39" s="515" t="s">
        <v>286</v>
      </c>
      <c r="N39" s="1130" t="str">
        <f t="shared" si="3"/>
        <v>--</v>
      </c>
      <c r="O39" s="1131"/>
      <c r="P39" s="727">
        <f t="shared" si="4"/>
        <v>40</v>
      </c>
      <c r="Q39" s="728">
        <f t="shared" si="5"/>
        <v>1560.4221200000002</v>
      </c>
      <c r="R39" s="188" t="str">
        <f t="shared" si="6"/>
        <v>--</v>
      </c>
      <c r="S39" s="373" t="str">
        <f t="shared" si="7"/>
        <v>--</v>
      </c>
      <c r="T39" s="374" t="str">
        <f t="shared" si="8"/>
        <v>--</v>
      </c>
      <c r="U39" s="729" t="str">
        <f t="shared" si="9"/>
        <v>SI</v>
      </c>
      <c r="V39" s="381">
        <f t="shared" si="10"/>
        <v>1560.4221200000002</v>
      </c>
      <c r="W39" s="6"/>
    </row>
    <row r="40" spans="2:23" s="5" customFormat="1" ht="16.5" customHeight="1">
      <c r="B40" s="50"/>
      <c r="C40" s="823" t="s">
        <v>194</v>
      </c>
      <c r="D40" s="369" t="s">
        <v>316</v>
      </c>
      <c r="E40" s="1148" t="s">
        <v>320</v>
      </c>
      <c r="F40" s="1149"/>
      <c r="G40" s="724">
        <v>132</v>
      </c>
      <c r="H40" s="130">
        <f t="shared" si="0"/>
        <v>89.269</v>
      </c>
      <c r="I40" s="725">
        <v>40591.36319444444</v>
      </c>
      <c r="J40" s="726">
        <v>40591.725</v>
      </c>
      <c r="K40" s="379">
        <f t="shared" si="1"/>
        <v>8.683333333348855</v>
      </c>
      <c r="L40" s="380">
        <f t="shared" si="2"/>
        <v>521</v>
      </c>
      <c r="M40" s="515" t="s">
        <v>286</v>
      </c>
      <c r="N40" s="1130" t="str">
        <f t="shared" si="3"/>
        <v>--</v>
      </c>
      <c r="O40" s="1131"/>
      <c r="P40" s="727">
        <f t="shared" si="4"/>
        <v>40</v>
      </c>
      <c r="Q40" s="728">
        <f t="shared" si="5"/>
        <v>3099.4196800000004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729" t="str">
        <f t="shared" si="9"/>
        <v>SI</v>
      </c>
      <c r="V40" s="381">
        <f t="shared" si="10"/>
        <v>3099.4196800000004</v>
      </c>
      <c r="W40" s="6"/>
    </row>
    <row r="41" spans="2:23" s="5" customFormat="1" ht="16.5" customHeight="1">
      <c r="B41" s="50"/>
      <c r="C41" s="823" t="s">
        <v>195</v>
      </c>
      <c r="D41" s="369" t="s">
        <v>321</v>
      </c>
      <c r="E41" s="1148" t="s">
        <v>322</v>
      </c>
      <c r="F41" s="1149"/>
      <c r="G41" s="724">
        <v>132</v>
      </c>
      <c r="H41" s="130">
        <f t="shared" si="0"/>
        <v>89.269</v>
      </c>
      <c r="I41" s="725">
        <v>40602.384722222225</v>
      </c>
      <c r="J41" s="726">
        <v>40602.60486111111</v>
      </c>
      <c r="K41" s="379">
        <f t="shared" si="1"/>
        <v>5.283333333267365</v>
      </c>
      <c r="L41" s="380">
        <f t="shared" si="2"/>
        <v>317</v>
      </c>
      <c r="M41" s="515" t="s">
        <v>286</v>
      </c>
      <c r="N41" s="1130" t="str">
        <f t="shared" si="3"/>
        <v>--</v>
      </c>
      <c r="O41" s="1131"/>
      <c r="P41" s="727">
        <f t="shared" si="4"/>
        <v>40</v>
      </c>
      <c r="Q41" s="728">
        <f t="shared" si="5"/>
        <v>1885.3612800000003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729" t="str">
        <f t="shared" si="9"/>
        <v>SI</v>
      </c>
      <c r="V41" s="381">
        <f t="shared" si="10"/>
        <v>1885.3612800000003</v>
      </c>
      <c r="W41" s="6"/>
    </row>
    <row r="42" spans="2:23" s="5" customFormat="1" ht="16.5" customHeight="1">
      <c r="B42" s="50"/>
      <c r="C42" s="823" t="s">
        <v>196</v>
      </c>
      <c r="D42" s="369"/>
      <c r="E42" s="1148"/>
      <c r="F42" s="1149"/>
      <c r="G42" s="724"/>
      <c r="H42" s="130">
        <f t="shared" si="0"/>
        <v>89.269</v>
      </c>
      <c r="I42" s="725"/>
      <c r="J42" s="726"/>
      <c r="K42" s="379">
        <f t="shared" si="1"/>
      </c>
      <c r="L42" s="380">
        <f t="shared" si="2"/>
      </c>
      <c r="M42" s="515"/>
      <c r="N42" s="1130">
        <f t="shared" si="3"/>
      </c>
      <c r="O42" s="1131"/>
      <c r="P42" s="727">
        <f t="shared" si="4"/>
        <v>40</v>
      </c>
      <c r="Q42" s="728" t="str">
        <f t="shared" si="5"/>
        <v>--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729">
        <f t="shared" si="9"/>
      </c>
      <c r="V42" s="381">
        <f t="shared" si="10"/>
      </c>
      <c r="W42" s="6"/>
    </row>
    <row r="43" spans="2:23" s="5" customFormat="1" ht="16.5" customHeight="1">
      <c r="B43" s="50"/>
      <c r="C43" s="823" t="s">
        <v>197</v>
      </c>
      <c r="D43" s="369"/>
      <c r="E43" s="1148"/>
      <c r="F43" s="1149"/>
      <c r="G43" s="724"/>
      <c r="H43" s="130">
        <f t="shared" si="0"/>
        <v>89.269</v>
      </c>
      <c r="I43" s="725"/>
      <c r="J43" s="726"/>
      <c r="K43" s="379">
        <f t="shared" si="1"/>
      </c>
      <c r="L43" s="380">
        <f t="shared" si="2"/>
      </c>
      <c r="M43" s="515"/>
      <c r="N43" s="1130">
        <f t="shared" si="3"/>
      </c>
      <c r="O43" s="1131"/>
      <c r="P43" s="727">
        <f t="shared" si="4"/>
        <v>40</v>
      </c>
      <c r="Q43" s="728" t="str">
        <f t="shared" si="5"/>
        <v>--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729">
        <f t="shared" si="9"/>
      </c>
      <c r="V43" s="381">
        <f t="shared" si="10"/>
      </c>
      <c r="W43" s="6"/>
    </row>
    <row r="44" spans="2:28" s="5" customFormat="1" ht="16.5" customHeight="1" thickBot="1">
      <c r="B44" s="50"/>
      <c r="C44" s="606"/>
      <c r="D44" s="731"/>
      <c r="E44" s="1152"/>
      <c r="F44" s="1153"/>
      <c r="G44" s="732"/>
      <c r="H44" s="733"/>
      <c r="I44" s="734"/>
      <c r="J44" s="735"/>
      <c r="K44" s="736"/>
      <c r="L44" s="737"/>
      <c r="M44" s="738"/>
      <c r="N44" s="1124"/>
      <c r="O44" s="1125"/>
      <c r="P44" s="740"/>
      <c r="Q44" s="741"/>
      <c r="R44" s="742"/>
      <c r="S44" s="743"/>
      <c r="T44" s="744"/>
      <c r="U44" s="745"/>
      <c r="V44" s="746"/>
      <c r="W44" s="6"/>
      <c r="X44"/>
      <c r="Y44"/>
      <c r="Z44"/>
      <c r="AA44"/>
      <c r="AB44"/>
    </row>
    <row r="45" spans="1:23" ht="17.25" thickBot="1" thickTop="1">
      <c r="A45" s="32"/>
      <c r="B45" s="464"/>
      <c r="C45" s="467"/>
      <c r="D45" s="644"/>
      <c r="E45" s="645"/>
      <c r="F45" s="646"/>
      <c r="G45" s="647"/>
      <c r="H45" s="647"/>
      <c r="I45" s="645"/>
      <c r="J45" s="455"/>
      <c r="K45" s="455"/>
      <c r="L45" s="645"/>
      <c r="M45" s="645"/>
      <c r="N45" s="645"/>
      <c r="O45" s="648"/>
      <c r="P45" s="645"/>
      <c r="Q45" s="645"/>
      <c r="R45" s="649"/>
      <c r="S45" s="650"/>
      <c r="T45" s="650"/>
      <c r="U45" s="651"/>
      <c r="V45" s="640">
        <f>SUM(V38:V44)</f>
        <v>9841.014560000001</v>
      </c>
      <c r="W45" s="652"/>
    </row>
    <row r="46" spans="1:23" ht="21" customHeight="1" thickBot="1" thickTop="1">
      <c r="A46" s="32"/>
      <c r="B46" s="464"/>
      <c r="C46" s="467"/>
      <c r="D46" s="644"/>
      <c r="E46" s="645"/>
      <c r="F46" s="646"/>
      <c r="G46" s="647"/>
      <c r="H46" s="647"/>
      <c r="I46" s="1035" t="s">
        <v>41</v>
      </c>
      <c r="J46" s="1034">
        <f>+V45+V34</f>
        <v>9841.014560000001</v>
      </c>
      <c r="L46" s="645"/>
      <c r="M46" s="645"/>
      <c r="N46" s="645"/>
      <c r="O46" s="648"/>
      <c r="P46" s="645"/>
      <c r="Q46" s="645"/>
      <c r="R46" s="649"/>
      <c r="S46" s="650"/>
      <c r="T46" s="650"/>
      <c r="U46" s="651"/>
      <c r="W46" s="652"/>
    </row>
    <row r="47" spans="1:23" ht="13.5" customHeight="1" thickTop="1">
      <c r="A47" s="32"/>
      <c r="B47" s="464"/>
      <c r="C47" s="467"/>
      <c r="D47" s="644"/>
      <c r="E47" s="645"/>
      <c r="F47" s="646"/>
      <c r="G47" s="647"/>
      <c r="H47" s="647"/>
      <c r="I47" s="645"/>
      <c r="J47" s="455"/>
      <c r="K47" s="455"/>
      <c r="L47" s="645"/>
      <c r="M47" s="645"/>
      <c r="N47" s="645"/>
      <c r="O47" s="648"/>
      <c r="P47" s="645"/>
      <c r="Q47" s="645"/>
      <c r="R47" s="649"/>
      <c r="S47" s="650"/>
      <c r="T47" s="650"/>
      <c r="U47" s="651"/>
      <c r="W47" s="652"/>
    </row>
    <row r="48" spans="1:23" ht="16.5" customHeight="1">
      <c r="A48" s="32"/>
      <c r="B48" s="464"/>
      <c r="C48" s="653" t="s">
        <v>102</v>
      </c>
      <c r="D48" s="654" t="s">
        <v>132</v>
      </c>
      <c r="E48" s="645"/>
      <c r="F48" s="646"/>
      <c r="G48" s="647"/>
      <c r="H48" s="647"/>
      <c r="I48" s="645"/>
      <c r="J48" s="455"/>
      <c r="K48" s="455"/>
      <c r="L48" s="645"/>
      <c r="M48" s="645"/>
      <c r="N48" s="645"/>
      <c r="O48" s="648"/>
      <c r="P48" s="645"/>
      <c r="Q48" s="645"/>
      <c r="R48" s="649"/>
      <c r="S48" s="650"/>
      <c r="T48" s="650"/>
      <c r="U48" s="651"/>
      <c r="W48" s="652"/>
    </row>
    <row r="49" spans="1:23" ht="16.5" customHeight="1">
      <c r="A49" s="32"/>
      <c r="B49" s="464"/>
      <c r="C49" s="653"/>
      <c r="D49" s="644"/>
      <c r="E49" s="645"/>
      <c r="F49" s="646"/>
      <c r="G49" s="647"/>
      <c r="H49" s="647"/>
      <c r="I49" s="645"/>
      <c r="J49" s="455"/>
      <c r="K49" s="455"/>
      <c r="L49" s="645"/>
      <c r="M49" s="645"/>
      <c r="N49" s="645"/>
      <c r="O49" s="648"/>
      <c r="P49" s="645"/>
      <c r="Q49" s="645"/>
      <c r="R49" s="645"/>
      <c r="S49" s="649"/>
      <c r="T49" s="650"/>
      <c r="W49" s="652"/>
    </row>
    <row r="50" spans="2:23" s="32" customFormat="1" ht="16.5" customHeight="1">
      <c r="B50" s="464"/>
      <c r="C50" s="467"/>
      <c r="D50" s="655" t="s">
        <v>112</v>
      </c>
      <c r="E50" s="550" t="s">
        <v>113</v>
      </c>
      <c r="F50" s="550" t="s">
        <v>42</v>
      </c>
      <c r="G50" s="656" t="s">
        <v>137</v>
      </c>
      <c r="H50"/>
      <c r="I50" s="139"/>
      <c r="J50" s="668" t="s">
        <v>60</v>
      </c>
      <c r="K50" s="668"/>
      <c r="L50" s="550" t="s">
        <v>42</v>
      </c>
      <c r="M50" t="s">
        <v>116</v>
      </c>
      <c r="O50" s="656" t="s">
        <v>138</v>
      </c>
      <c r="P50"/>
      <c r="Q50" s="660"/>
      <c r="R50" s="660"/>
      <c r="S50" s="33"/>
      <c r="T50"/>
      <c r="U50"/>
      <c r="V50"/>
      <c r="W50" s="652"/>
    </row>
    <row r="51" spans="2:23" s="32" customFormat="1" ht="16.5" customHeight="1">
      <c r="B51" s="464"/>
      <c r="C51" s="467"/>
      <c r="D51" s="143" t="s">
        <v>117</v>
      </c>
      <c r="E51" s="143">
        <v>300</v>
      </c>
      <c r="F51" s="747">
        <v>500</v>
      </c>
      <c r="G51" s="1151">
        <f>+E51*$F$20*$F$21</f>
        <v>112896.00000000001</v>
      </c>
      <c r="H51" s="1151"/>
      <c r="I51" s="1151"/>
      <c r="J51" s="748" t="s">
        <v>118</v>
      </c>
      <c r="K51" s="748"/>
      <c r="L51" s="143">
        <v>500</v>
      </c>
      <c r="M51" s="143">
        <v>2</v>
      </c>
      <c r="O51" s="1151">
        <f>+M51*$F$20*$M$19</f>
        <v>149970.24</v>
      </c>
      <c r="P51" s="1151"/>
      <c r="Q51" s="1151"/>
      <c r="R51" s="1151"/>
      <c r="S51" s="1151"/>
      <c r="T51" s="1151"/>
      <c r="U51" s="1151"/>
      <c r="V51"/>
      <c r="W51" s="652"/>
    </row>
    <row r="52" spans="2:23" s="32" customFormat="1" ht="16.5" customHeight="1">
      <c r="B52" s="464"/>
      <c r="C52" s="467"/>
      <c r="D52" s="143" t="s">
        <v>119</v>
      </c>
      <c r="E52" s="142">
        <v>300</v>
      </c>
      <c r="F52" s="747">
        <v>500</v>
      </c>
      <c r="G52" s="1151">
        <f>+E52*$F$20*$F$21</f>
        <v>112896.00000000001</v>
      </c>
      <c r="H52" s="1151"/>
      <c r="I52" s="1151"/>
      <c r="J52" s="748" t="s">
        <v>118</v>
      </c>
      <c r="K52" s="748"/>
      <c r="L52" s="143">
        <v>132</v>
      </c>
      <c r="M52" s="143">
        <v>9</v>
      </c>
      <c r="O52" s="1151">
        <f>+M52*$F$20*$M$21</f>
        <v>539898.912</v>
      </c>
      <c r="P52" s="1151"/>
      <c r="Q52" s="1151"/>
      <c r="R52" s="1151"/>
      <c r="S52" s="1151"/>
      <c r="T52" s="1151"/>
      <c r="U52" s="1151"/>
      <c r="V52"/>
      <c r="W52" s="652"/>
    </row>
    <row r="53" spans="2:23" s="32" customFormat="1" ht="16.5" customHeight="1">
      <c r="B53" s="464"/>
      <c r="C53" s="467"/>
      <c r="D53" s="141" t="s">
        <v>120</v>
      </c>
      <c r="E53" s="142">
        <v>300</v>
      </c>
      <c r="F53" s="747">
        <v>500</v>
      </c>
      <c r="G53" s="1151">
        <f>+E53*$F$20*$F$21</f>
        <v>112896.00000000001</v>
      </c>
      <c r="H53" s="1151"/>
      <c r="I53" s="1151"/>
      <c r="J53" s="748" t="s">
        <v>121</v>
      </c>
      <c r="K53" s="748"/>
      <c r="L53" s="143">
        <v>132</v>
      </c>
      <c r="M53" s="143">
        <v>8</v>
      </c>
      <c r="O53" s="1151">
        <f>+M53*$F$20*$M$21</f>
        <v>479910.14400000003</v>
      </c>
      <c r="P53" s="1151"/>
      <c r="Q53" s="1151"/>
      <c r="R53" s="1151"/>
      <c r="S53" s="1151"/>
      <c r="T53" s="1151"/>
      <c r="U53" s="1151"/>
      <c r="V53"/>
      <c r="W53" s="652"/>
    </row>
    <row r="54" spans="1:23" ht="16.5" customHeight="1">
      <c r="A54" s="32"/>
      <c r="B54" s="464"/>
      <c r="C54" s="467"/>
      <c r="D54" s="141" t="s">
        <v>122</v>
      </c>
      <c r="E54" s="142">
        <v>300</v>
      </c>
      <c r="F54" s="747">
        <v>500</v>
      </c>
      <c r="G54" s="1151">
        <f>+E54*$F$20*$F$21</f>
        <v>112896.00000000001</v>
      </c>
      <c r="H54" s="1151"/>
      <c r="I54" s="1151"/>
      <c r="J54" s="748" t="s">
        <v>123</v>
      </c>
      <c r="K54" s="748"/>
      <c r="L54" s="143">
        <v>132</v>
      </c>
      <c r="M54" s="143">
        <v>5</v>
      </c>
      <c r="O54" s="1150">
        <f>+M54*$F$20*$M$21</f>
        <v>299943.84</v>
      </c>
      <c r="P54" s="1150"/>
      <c r="Q54" s="1150"/>
      <c r="R54" s="1150"/>
      <c r="S54" s="1150"/>
      <c r="T54" s="1150"/>
      <c r="U54" s="1150"/>
      <c r="W54" s="652"/>
    </row>
    <row r="55" spans="1:23" ht="16.5" customHeight="1">
      <c r="A55" s="32"/>
      <c r="B55" s="464"/>
      <c r="C55" s="467"/>
      <c r="D55" s="141" t="s">
        <v>222</v>
      </c>
      <c r="E55" s="142">
        <v>600</v>
      </c>
      <c r="F55" s="747">
        <v>500</v>
      </c>
      <c r="G55" s="1150">
        <f>+E55*$F$20*$F$21</f>
        <v>225792.00000000003</v>
      </c>
      <c r="H55" s="1150"/>
      <c r="I55" s="1150"/>
      <c r="M55" s="143"/>
      <c r="O55" s="1151">
        <f>SUM(O51:P54)</f>
        <v>1469723.1360000002</v>
      </c>
      <c r="P55" s="1151"/>
      <c r="Q55" s="1151"/>
      <c r="R55" s="1151"/>
      <c r="S55" s="1151"/>
      <c r="T55" s="1151"/>
      <c r="U55" s="1151"/>
      <c r="W55" s="652"/>
    </row>
    <row r="56" spans="1:23" ht="16.5" customHeight="1">
      <c r="A56" s="32"/>
      <c r="B56" s="464"/>
      <c r="C56" s="467"/>
      <c r="D56" s="141"/>
      <c r="E56" s="142"/>
      <c r="F56" s="747"/>
      <c r="G56" s="1151">
        <f>SUM(G51:G55)</f>
        <v>677376.0000000001</v>
      </c>
      <c r="H56" s="1151"/>
      <c r="I56" s="1151"/>
      <c r="M56" s="143"/>
      <c r="N56" s="139"/>
      <c r="O56" s="139"/>
      <c r="P56" s="698"/>
      <c r="Q56" s="698"/>
      <c r="R56" s="698"/>
      <c r="S56" s="698"/>
      <c r="W56" s="652"/>
    </row>
    <row r="57" spans="1:23" ht="16.5" customHeight="1">
      <c r="A57" s="32"/>
      <c r="B57" s="464"/>
      <c r="C57" s="467"/>
      <c r="D57" s="141"/>
      <c r="E57" s="142"/>
      <c r="F57" s="747"/>
      <c r="G57" s="943"/>
      <c r="H57" s="943"/>
      <c r="I57" s="943"/>
      <c r="M57" s="143"/>
      <c r="N57" s="139"/>
      <c r="O57" s="139"/>
      <c r="P57" s="698"/>
      <c r="Q57" s="698"/>
      <c r="R57" s="698"/>
      <c r="S57" s="698"/>
      <c r="W57" s="652"/>
    </row>
    <row r="58" spans="1:23" ht="16.5" customHeight="1">
      <c r="A58" s="32"/>
      <c r="B58" s="464"/>
      <c r="C58" s="1115" t="s">
        <v>369</v>
      </c>
      <c r="D58" s="1115"/>
      <c r="E58" s="142" t="s">
        <v>370</v>
      </c>
      <c r="F58" s="958">
        <v>10066.05</v>
      </c>
      <c r="G58" s="943"/>
      <c r="H58" s="943"/>
      <c r="I58" s="943"/>
      <c r="M58" s="143"/>
      <c r="N58" s="139"/>
      <c r="O58" s="139"/>
      <c r="P58" s="698"/>
      <c r="Q58" s="698"/>
      <c r="R58" s="698"/>
      <c r="S58" s="698"/>
      <c r="W58" s="652"/>
    </row>
    <row r="59" spans="1:23" ht="16.5" customHeight="1" thickBot="1">
      <c r="A59" s="32"/>
      <c r="B59" s="464"/>
      <c r="C59" s="467"/>
      <c r="D59" s="655"/>
      <c r="E59" s="669"/>
      <c r="F59" s="669"/>
      <c r="G59" s="550"/>
      <c r="I59" s="658"/>
      <c r="J59" s="656"/>
      <c r="L59" s="657"/>
      <c r="M59" s="658"/>
      <c r="N59" s="659"/>
      <c r="O59" s="660"/>
      <c r="P59" s="660"/>
      <c r="Q59" s="660"/>
      <c r="R59" s="660"/>
      <c r="S59" s="660"/>
      <c r="W59" s="652"/>
    </row>
    <row r="60" spans="1:23" ht="21" customHeight="1" thickBot="1" thickTop="1">
      <c r="A60" s="32"/>
      <c r="B60" s="464"/>
      <c r="C60" s="467"/>
      <c r="D60" s="550"/>
      <c r="E60" s="700"/>
      <c r="F60" s="700"/>
      <c r="G60" s="663"/>
      <c r="H60" s="169"/>
      <c r="I60" s="1035" t="s">
        <v>43</v>
      </c>
      <c r="J60" s="1034">
        <f>+G56+O55+F58</f>
        <v>2157165.186</v>
      </c>
      <c r="L60" s="665"/>
      <c r="M60" s="169"/>
      <c r="N60" s="666"/>
      <c r="O60" s="698"/>
      <c r="P60" s="698"/>
      <c r="Q60" s="698"/>
      <c r="R60" s="698"/>
      <c r="S60" s="698"/>
      <c r="U60" s="1035" t="s">
        <v>371</v>
      </c>
      <c r="V60" s="1034">
        <v>795943.17</v>
      </c>
      <c r="W60" s="652"/>
    </row>
    <row r="61" spans="1:23" ht="16.5" customHeight="1" thickTop="1">
      <c r="A61" s="32"/>
      <c r="B61" s="464"/>
      <c r="C61" s="467"/>
      <c r="D61" s="455"/>
      <c r="E61" s="472"/>
      <c r="F61" s="550"/>
      <c r="G61" s="550"/>
      <c r="H61" s="551"/>
      <c r="J61" s="550"/>
      <c r="L61" s="672"/>
      <c r="M61" s="659"/>
      <c r="N61" s="659"/>
      <c r="O61" s="660"/>
      <c r="P61" s="660"/>
      <c r="Q61" s="660"/>
      <c r="R61" s="660"/>
      <c r="S61" s="660"/>
      <c r="W61" s="652"/>
    </row>
    <row r="62" spans="2:23" ht="16.5" customHeight="1">
      <c r="B62" s="464"/>
      <c r="C62" s="653" t="s">
        <v>106</v>
      </c>
      <c r="D62" s="673" t="s">
        <v>107</v>
      </c>
      <c r="E62" s="550"/>
      <c r="F62" s="674"/>
      <c r="G62" s="549"/>
      <c r="H62" s="455"/>
      <c r="I62" s="455"/>
      <c r="J62" s="455"/>
      <c r="K62" s="550"/>
      <c r="L62" s="550"/>
      <c r="M62" s="455"/>
      <c r="N62" s="550"/>
      <c r="O62" s="455"/>
      <c r="P62" s="455"/>
      <c r="Q62" s="455"/>
      <c r="R62" s="455"/>
      <c r="S62" s="455"/>
      <c r="T62" s="455"/>
      <c r="U62" s="455"/>
      <c r="W62" s="652"/>
    </row>
    <row r="63" spans="2:23" s="32" customFormat="1" ht="16.5" customHeight="1">
      <c r="B63" s="464"/>
      <c r="C63" s="467"/>
      <c r="D63" s="655" t="s">
        <v>108</v>
      </c>
      <c r="E63" s="675">
        <f>10*J46*J25/J60</f>
        <v>907.7756742666248</v>
      </c>
      <c r="G63" s="549"/>
      <c r="L63" s="550"/>
      <c r="N63" s="550"/>
      <c r="O63" s="551"/>
      <c r="V63"/>
      <c r="W63" s="652"/>
    </row>
    <row r="64" spans="2:23" s="32" customFormat="1" ht="12.75" customHeight="1">
      <c r="B64" s="464"/>
      <c r="C64" s="467"/>
      <c r="E64" s="676"/>
      <c r="F64" s="477"/>
      <c r="G64" s="549"/>
      <c r="J64" s="549"/>
      <c r="K64" s="564"/>
      <c r="L64" s="550"/>
      <c r="M64" s="550"/>
      <c r="N64" s="550"/>
      <c r="O64" s="551"/>
      <c r="P64" s="550"/>
      <c r="Q64" s="550"/>
      <c r="R64" s="563"/>
      <c r="S64" s="563"/>
      <c r="T64" s="563"/>
      <c r="U64" s="677"/>
      <c r="V64"/>
      <c r="W64" s="652"/>
    </row>
    <row r="65" spans="2:23" ht="16.5" customHeight="1">
      <c r="B65" s="464"/>
      <c r="C65" s="467"/>
      <c r="D65" s="678" t="s">
        <v>281</v>
      </c>
      <c r="E65" s="679"/>
      <c r="F65" s="477"/>
      <c r="G65" s="549"/>
      <c r="H65" s="455"/>
      <c r="I65" s="455"/>
      <c r="N65" s="550"/>
      <c r="O65" s="551"/>
      <c r="P65" s="550"/>
      <c r="Q65" s="550"/>
      <c r="R65" s="658"/>
      <c r="S65" s="658"/>
      <c r="T65" s="658"/>
      <c r="U65" s="659"/>
      <c r="W65" s="652"/>
    </row>
    <row r="66" spans="2:23" ht="13.5" customHeight="1" thickBot="1">
      <c r="B66" s="464"/>
      <c r="C66" s="467"/>
      <c r="D66" s="678"/>
      <c r="E66" s="679"/>
      <c r="F66" s="477"/>
      <c r="G66" s="549"/>
      <c r="H66" s="455"/>
      <c r="I66" s="455"/>
      <c r="N66" s="550"/>
      <c r="O66" s="551"/>
      <c r="P66" s="550"/>
      <c r="Q66" s="550"/>
      <c r="R66" s="658"/>
      <c r="S66" s="658"/>
      <c r="T66" s="658"/>
      <c r="U66" s="659"/>
      <c r="W66" s="652"/>
    </row>
    <row r="67" spans="2:23" s="680" customFormat="1" ht="21" thickBot="1" thickTop="1">
      <c r="B67" s="681"/>
      <c r="C67" s="682"/>
      <c r="D67" s="683"/>
      <c r="E67" s="684"/>
      <c r="F67" s="685"/>
      <c r="G67" s="686"/>
      <c r="I67" s="687" t="s">
        <v>109</v>
      </c>
      <c r="J67" s="688">
        <f>IF(E63&gt;3*J25,J25*3,E63)</f>
        <v>907.7756742666248</v>
      </c>
      <c r="M67" s="960" t="s">
        <v>373</v>
      </c>
      <c r="N67" s="960"/>
      <c r="O67" s="690"/>
      <c r="P67" s="689"/>
      <c r="Q67" s="689"/>
      <c r="R67" s="691"/>
      <c r="S67" s="691"/>
      <c r="T67" s="691"/>
      <c r="U67" s="692"/>
      <c r="V67"/>
      <c r="W67" s="693"/>
    </row>
    <row r="68" spans="2:23" ht="16.5" customHeight="1" thickBot="1" thickTop="1">
      <c r="B68" s="5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192"/>
      <c r="W68" s="694"/>
    </row>
    <row r="69" spans="2:23" ht="16.5" customHeight="1" thickTop="1">
      <c r="B69" s="1"/>
      <c r="C69" s="73"/>
      <c r="W69" s="1"/>
    </row>
  </sheetData>
  <sheetProtection password="CC12"/>
  <mergeCells count="30">
    <mergeCell ref="N43:O43"/>
    <mergeCell ref="E41:F41"/>
    <mergeCell ref="E42:F42"/>
    <mergeCell ref="N37:O37"/>
    <mergeCell ref="N38:O38"/>
    <mergeCell ref="N39:O39"/>
    <mergeCell ref="N40:O40"/>
    <mergeCell ref="N41:O41"/>
    <mergeCell ref="N42:O42"/>
    <mergeCell ref="N36:O36"/>
    <mergeCell ref="E36:F36"/>
    <mergeCell ref="E37:F37"/>
    <mergeCell ref="E38:F38"/>
    <mergeCell ref="E39:F39"/>
    <mergeCell ref="E40:F40"/>
    <mergeCell ref="O54:U54"/>
    <mergeCell ref="O55:U55"/>
    <mergeCell ref="O52:U52"/>
    <mergeCell ref="O53:U53"/>
    <mergeCell ref="O51:U51"/>
    <mergeCell ref="E44:F44"/>
    <mergeCell ref="N44:O44"/>
    <mergeCell ref="C58:D58"/>
    <mergeCell ref="E43:F43"/>
    <mergeCell ref="G55:I55"/>
    <mergeCell ref="G56:I56"/>
    <mergeCell ref="G51:I51"/>
    <mergeCell ref="G52:I52"/>
    <mergeCell ref="G53:I53"/>
    <mergeCell ref="G54:I5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headerFooter alignWithMargins="0">
    <oddFooter>&amp;L&amp;"Times New Roman,Normal"&amp;7&amp;F-&amp;A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5"/>
  <sheetViews>
    <sheetView zoomScale="50" zoomScaleNormal="50" zoomScalePageLayoutView="0" workbookViewId="0" topLeftCell="A1">
      <selection activeCell="G41" sqref="G41"/>
    </sheetView>
  </sheetViews>
  <sheetFormatPr defaultColWidth="11.421875" defaultRowHeight="12.75"/>
  <cols>
    <col min="1" max="1" width="23.28125" style="0" customWidth="1"/>
    <col min="2" max="2" width="19.140625" style="0" customWidth="1"/>
    <col min="3" max="3" width="4.7109375" style="0" customWidth="1"/>
    <col min="4" max="4" width="34.85156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8.710937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19.14062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4"/>
      <c r="AD1" s="702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1" customFormat="1" ht="30.75">
      <c r="A3" s="458"/>
      <c r="B3" s="459" t="str">
        <f>+'TOT-0211'!B2</f>
        <v>ANEXO III al Memorándum D.T.E.E. N°  1088 /2012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AB3" s="460"/>
      <c r="AC3" s="460"/>
      <c r="AD3" s="460"/>
    </row>
    <row r="4" spans="1:2" s="25" customFormat="1" ht="11.25">
      <c r="A4" s="695" t="s">
        <v>1</v>
      </c>
      <c r="B4" s="696"/>
    </row>
    <row r="5" spans="1:2" s="25" customFormat="1" ht="12" thickBot="1">
      <c r="A5" s="695" t="s">
        <v>2</v>
      </c>
      <c r="B5" s="695"/>
    </row>
    <row r="6" spans="1:23" ht="16.5" customHeight="1" thickTop="1">
      <c r="A6" s="5"/>
      <c r="B6" s="69"/>
      <c r="C6" s="70"/>
      <c r="D6" s="70"/>
      <c r="E6" s="19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1" t="s">
        <v>90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1" t="s">
        <v>91</v>
      </c>
      <c r="E9" s="43"/>
      <c r="F9" s="43"/>
      <c r="G9" s="43"/>
      <c r="H9" s="43"/>
      <c r="N9" s="43"/>
      <c r="O9" s="43"/>
      <c r="P9" s="194"/>
      <c r="Q9" s="194"/>
      <c r="R9" s="43"/>
      <c r="S9" s="43"/>
      <c r="T9" s="43"/>
      <c r="U9" s="43"/>
      <c r="V9" s="43"/>
      <c r="W9" s="195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1" t="s">
        <v>124</v>
      </c>
      <c r="E11" s="43"/>
      <c r="F11" s="43"/>
      <c r="G11" s="43"/>
      <c r="H11" s="43"/>
      <c r="N11" s="43"/>
      <c r="O11" s="43"/>
      <c r="P11" s="194"/>
      <c r="Q11" s="194"/>
      <c r="R11" s="43"/>
      <c r="S11" s="43"/>
      <c r="T11" s="43"/>
      <c r="U11" s="43"/>
      <c r="V11" s="43"/>
      <c r="W11" s="195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'TOT-0211'!B14</f>
        <v>Desde el 01 al 28 de febrero de 2011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3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59" t="s">
        <v>92</v>
      </c>
      <c r="D17" s="54" t="s">
        <v>93</v>
      </c>
      <c r="E17" s="66"/>
      <c r="F17" s="66"/>
      <c r="G17" s="4"/>
      <c r="H17" s="4"/>
      <c r="I17" s="4"/>
      <c r="J17" s="463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64"/>
      <c r="C18" s="33"/>
      <c r="D18" s="465"/>
      <c r="E18" s="466"/>
      <c r="F18" s="467"/>
      <c r="G18" s="33"/>
      <c r="H18" s="33"/>
      <c r="I18" s="33"/>
      <c r="J18" s="468"/>
      <c r="K18" s="33"/>
      <c r="L18" s="33"/>
      <c r="M18" s="33"/>
      <c r="N18" s="703" t="s">
        <v>36</v>
      </c>
      <c r="P18" s="33"/>
      <c r="Q18" s="33"/>
      <c r="R18" s="33"/>
      <c r="S18" s="33"/>
      <c r="T18" s="33"/>
      <c r="U18" s="33"/>
      <c r="V18" s="33"/>
      <c r="W18" s="469"/>
    </row>
    <row r="19" spans="2:23" s="32" customFormat="1" ht="16.5" customHeight="1">
      <c r="B19" s="464"/>
      <c r="C19" s="33"/>
      <c r="E19" s="473" t="s">
        <v>39</v>
      </c>
      <c r="F19" s="474">
        <v>0.025</v>
      </c>
      <c r="G19" s="471"/>
      <c r="H19" s="33"/>
      <c r="I19" s="199" t="s">
        <v>125</v>
      </c>
      <c r="J19" s="200"/>
      <c r="K19" s="704" t="s">
        <v>114</v>
      </c>
      <c r="L19" s="705"/>
      <c r="M19" s="706">
        <v>111.585</v>
      </c>
      <c r="N19" s="707">
        <v>200</v>
      </c>
      <c r="R19" s="33"/>
      <c r="S19" s="33"/>
      <c r="T19" s="33"/>
      <c r="U19" s="33"/>
      <c r="V19" s="33"/>
      <c r="W19" s="469"/>
    </row>
    <row r="20" spans="2:23" s="32" customFormat="1" ht="16.5" customHeight="1">
      <c r="B20" s="464"/>
      <c r="C20" s="33"/>
      <c r="E20" s="465" t="s">
        <v>37</v>
      </c>
      <c r="F20" s="33">
        <f>MID(B13,16,2)*24</f>
        <v>672</v>
      </c>
      <c r="G20" s="33" t="s">
        <v>38</v>
      </c>
      <c r="H20" s="33"/>
      <c r="I20" s="33"/>
      <c r="J20" s="33"/>
      <c r="K20" s="708" t="s">
        <v>82</v>
      </c>
      <c r="L20" s="709"/>
      <c r="M20" s="710">
        <v>100.415</v>
      </c>
      <c r="N20" s="711">
        <v>100</v>
      </c>
      <c r="O20" s="33"/>
      <c r="P20" s="697"/>
      <c r="Q20" s="33"/>
      <c r="R20" s="33"/>
      <c r="S20" s="33"/>
      <c r="T20" s="33"/>
      <c r="U20" s="33"/>
      <c r="V20" s="33"/>
      <c r="W20" s="469"/>
    </row>
    <row r="21" spans="2:23" s="32" customFormat="1" ht="16.5" customHeight="1" thickBot="1">
      <c r="B21" s="464"/>
      <c r="C21" s="33"/>
      <c r="E21" s="465" t="s">
        <v>40</v>
      </c>
      <c r="F21" s="33">
        <v>0.56</v>
      </c>
      <c r="G21" s="32" t="s">
        <v>111</v>
      </c>
      <c r="H21" s="33"/>
      <c r="I21" s="33"/>
      <c r="J21" s="33"/>
      <c r="K21" s="712" t="s">
        <v>115</v>
      </c>
      <c r="L21" s="713"/>
      <c r="M21" s="714">
        <v>89.269</v>
      </c>
      <c r="N21" s="715">
        <v>40</v>
      </c>
      <c r="O21" s="33"/>
      <c r="P21" s="697"/>
      <c r="Q21" s="33"/>
      <c r="R21" s="33"/>
      <c r="S21" s="33"/>
      <c r="T21" s="33"/>
      <c r="U21" s="33"/>
      <c r="V21" s="33"/>
      <c r="W21" s="469"/>
    </row>
    <row r="22" spans="2:23" s="32" customFormat="1" ht="16.5" customHeight="1">
      <c r="B22" s="464"/>
      <c r="C22" s="33"/>
      <c r="D22" s="33"/>
      <c r="E22" s="47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69"/>
    </row>
    <row r="23" spans="1:23" ht="16.5" customHeight="1">
      <c r="A23" s="5"/>
      <c r="B23" s="50"/>
      <c r="C23" s="159" t="s">
        <v>96</v>
      </c>
      <c r="D23" s="3" t="s">
        <v>130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464"/>
      <c r="C25" s="467"/>
      <c r="D25"/>
      <c r="E25"/>
      <c r="F25"/>
      <c r="G25"/>
      <c r="H25"/>
      <c r="I25" s="478" t="s">
        <v>44</v>
      </c>
      <c r="J25" s="716">
        <f>+V56*F19</f>
        <v>3466.2186</v>
      </c>
      <c r="L25"/>
      <c r="S25"/>
      <c r="T25"/>
      <c r="U25"/>
      <c r="W25" s="469"/>
    </row>
    <row r="26" spans="2:23" s="32" customFormat="1" ht="11.25" customHeight="1" thickTop="1">
      <c r="B26" s="464"/>
      <c r="C26" s="467"/>
      <c r="D26" s="33"/>
      <c r="E26" s="47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69"/>
    </row>
    <row r="27" spans="1:23" ht="16.5" customHeight="1">
      <c r="A27" s="5"/>
      <c r="B27" s="50"/>
      <c r="C27" s="159" t="s">
        <v>97</v>
      </c>
      <c r="D27" s="3" t="s">
        <v>131</v>
      </c>
      <c r="E27" s="20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67"/>
      <c r="D28" s="467"/>
      <c r="E28" s="548"/>
      <c r="F28" s="477"/>
      <c r="G28" s="549"/>
      <c r="H28" s="549"/>
      <c r="I28" s="550"/>
      <c r="J28" s="550"/>
      <c r="K28" s="550"/>
      <c r="L28" s="550"/>
      <c r="M28" s="550"/>
      <c r="N28" s="550"/>
      <c r="O28" s="551"/>
      <c r="P28" s="550"/>
      <c r="Q28" s="550"/>
      <c r="R28" s="717"/>
      <c r="S28" s="718"/>
      <c r="T28" s="719"/>
      <c r="U28" s="719"/>
      <c r="V28" s="719"/>
      <c r="W28" s="227"/>
    </row>
    <row r="29" spans="1:26" s="5" customFormat="1" ht="33.75" customHeight="1" thickBot="1" thickTop="1">
      <c r="A29" s="90"/>
      <c r="B29" s="95"/>
      <c r="C29" s="123" t="s">
        <v>12</v>
      </c>
      <c r="D29" s="119" t="s">
        <v>26</v>
      </c>
      <c r="E29" s="118" t="s">
        <v>27</v>
      </c>
      <c r="F29" s="120" t="s">
        <v>28</v>
      </c>
      <c r="G29" s="121" t="s">
        <v>13</v>
      </c>
      <c r="H29" s="129" t="s">
        <v>15</v>
      </c>
      <c r="I29" s="118" t="s">
        <v>16</v>
      </c>
      <c r="J29" s="118" t="s">
        <v>17</v>
      </c>
      <c r="K29" s="119" t="s">
        <v>29</v>
      </c>
      <c r="L29" s="119" t="s">
        <v>30</v>
      </c>
      <c r="M29" s="88" t="s">
        <v>100</v>
      </c>
      <c r="N29" s="118" t="s">
        <v>31</v>
      </c>
      <c r="O29" s="566" t="s">
        <v>32</v>
      </c>
      <c r="P29" s="129" t="s">
        <v>33</v>
      </c>
      <c r="Q29" s="568" t="s">
        <v>19</v>
      </c>
      <c r="R29" s="569" t="s">
        <v>101</v>
      </c>
      <c r="S29" s="570"/>
      <c r="T29" s="571" t="s">
        <v>21</v>
      </c>
      <c r="U29" s="132" t="s">
        <v>74</v>
      </c>
      <c r="V29" s="121" t="s">
        <v>23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575"/>
      <c r="H30" s="576"/>
      <c r="I30" s="10"/>
      <c r="J30" s="10"/>
      <c r="K30" s="10"/>
      <c r="L30" s="10"/>
      <c r="M30" s="10"/>
      <c r="N30" s="578"/>
      <c r="O30" s="720"/>
      <c r="P30" s="133"/>
      <c r="Q30" s="581"/>
      <c r="R30" s="582"/>
      <c r="S30" s="583"/>
      <c r="T30" s="584"/>
      <c r="U30" s="578"/>
      <c r="V30" s="588"/>
      <c r="W30" s="17"/>
    </row>
    <row r="31" spans="1:23" ht="16.5" customHeight="1">
      <c r="A31" s="5"/>
      <c r="B31" s="50"/>
      <c r="C31" s="823" t="s">
        <v>192</v>
      </c>
      <c r="D31" s="589" t="s">
        <v>298</v>
      </c>
      <c r="E31" s="590" t="s">
        <v>299</v>
      </c>
      <c r="F31" s="591">
        <v>300</v>
      </c>
      <c r="G31" s="942" t="s">
        <v>127</v>
      </c>
      <c r="H31" s="593">
        <f>F31*$F$21</f>
        <v>168.00000000000003</v>
      </c>
      <c r="I31" s="595">
        <v>40580.291666666664</v>
      </c>
      <c r="J31" s="595">
        <v>40580.46875</v>
      </c>
      <c r="K31" s="292">
        <f>IF(D31="","",(J31-I31)*24)</f>
        <v>4.250000000058208</v>
      </c>
      <c r="L31" s="14">
        <f>IF(D31="","",(J31-I31)*24*60)</f>
        <v>255.00000000349246</v>
      </c>
      <c r="M31" s="13" t="s">
        <v>286</v>
      </c>
      <c r="N31" s="8" t="str">
        <f>IF(D31="","",IF(OR(M31="P",M31="RP"),"--","NO"))</f>
        <v>--</v>
      </c>
      <c r="O31" s="721" t="str">
        <f>IF(D31="","","NO")</f>
        <v>NO</v>
      </c>
      <c r="P31" s="598">
        <f>200*IF(O31="SI",1,0.1)*IF(M31="P",0.1,1)</f>
        <v>2</v>
      </c>
      <c r="Q31" s="599">
        <f>IF(M31="P",H31*P31*ROUND(L31/60,2),"--")</f>
        <v>1428.0000000000002</v>
      </c>
      <c r="R31" s="600" t="str">
        <f>IF(AND(M31="F",N31="NO"),H31*P31,"--")</f>
        <v>--</v>
      </c>
      <c r="S31" s="601" t="str">
        <f>IF(M31="F",H31*P31*ROUND(L31/60,2),"--")</f>
        <v>--</v>
      </c>
      <c r="T31" s="374" t="str">
        <f>IF(M31="RF",H31*P31*ROUND(L31/60,2),"--")</f>
        <v>--</v>
      </c>
      <c r="U31" s="302" t="str">
        <f>IF(D31="","","SI")</f>
        <v>SI</v>
      </c>
      <c r="V31" s="303">
        <f>IF(D31="","",SUM(Q31:T31)*IF(U31="SI",1,2))</f>
        <v>1428.0000000000002</v>
      </c>
      <c r="W31" s="227"/>
    </row>
    <row r="32" spans="1:23" ht="16.5" customHeight="1">
      <c r="A32" s="5"/>
      <c r="B32" s="50"/>
      <c r="C32" s="823" t="s">
        <v>193</v>
      </c>
      <c r="D32" s="589" t="s">
        <v>298</v>
      </c>
      <c r="E32" s="590" t="s">
        <v>299</v>
      </c>
      <c r="F32" s="591">
        <v>300</v>
      </c>
      <c r="G32" s="942" t="s">
        <v>127</v>
      </c>
      <c r="H32" s="593">
        <f>F32*$F$21</f>
        <v>168.00000000000003</v>
      </c>
      <c r="I32" s="595">
        <v>40587.27222222222</v>
      </c>
      <c r="J32" s="595">
        <v>40587.69583333333</v>
      </c>
      <c r="K32" s="292">
        <f>IF(D32="","",(J32-I32)*24)</f>
        <v>10.166666666627862</v>
      </c>
      <c r="L32" s="14">
        <f>IF(D32="","",(J32-I32)*24*60)</f>
        <v>609.9999999976717</v>
      </c>
      <c r="M32" s="13" t="s">
        <v>286</v>
      </c>
      <c r="N32" s="8" t="str">
        <f>IF(D32="","",IF(OR(M32="P",M32="RP"),"--","NO"))</f>
        <v>--</v>
      </c>
      <c r="O32" s="721" t="str">
        <f>IF(D32="","","NO")</f>
        <v>NO</v>
      </c>
      <c r="P32" s="598">
        <f>200*IF(O32="SI",1,0.1)*IF(M32="P",0.1,1)</f>
        <v>2</v>
      </c>
      <c r="Q32" s="599">
        <f>IF(M32="P",H32*P32*ROUND(L32/60,2),"--")</f>
        <v>3417.1200000000003</v>
      </c>
      <c r="R32" s="600" t="str">
        <f>IF(AND(M32="F",N32="NO"),H32*P32,"--")</f>
        <v>--</v>
      </c>
      <c r="S32" s="601" t="str">
        <f>IF(M32="F",H32*P32*ROUND(L32/60,2),"--")</f>
        <v>--</v>
      </c>
      <c r="T32" s="374" t="str">
        <f>IF(M32="RF",H32*P32*ROUND(L32/60,2),"--")</f>
        <v>--</v>
      </c>
      <c r="U32" s="302" t="str">
        <f>IF(D32="","","SI")</f>
        <v>SI</v>
      </c>
      <c r="V32" s="303">
        <f>IF(D32="","",SUM(Q32:T32)*IF(U32="SI",1,2))</f>
        <v>3417.1200000000003</v>
      </c>
      <c r="W32" s="227"/>
    </row>
    <row r="33" spans="1:23" ht="16.5" customHeight="1">
      <c r="A33" s="5"/>
      <c r="B33" s="50"/>
      <c r="C33" s="823" t="s">
        <v>194</v>
      </c>
      <c r="D33" s="589"/>
      <c r="E33" s="590"/>
      <c r="F33" s="591"/>
      <c r="G33" s="592"/>
      <c r="H33" s="593">
        <f>F33*$F$21</f>
        <v>0</v>
      </c>
      <c r="I33" s="595"/>
      <c r="J33" s="595"/>
      <c r="K33" s="292">
        <f>IF(D33="","",(J33-I33)*24)</f>
      </c>
      <c r="L33" s="14">
        <f>IF(D33="","",(J33-I33)*24*60)</f>
      </c>
      <c r="M33" s="13"/>
      <c r="N33" s="8">
        <f>IF(D33="","",IF(OR(M33="P",M33="RP"),"--","NO"))</f>
      </c>
      <c r="O33" s="721">
        <f>IF(D33="","","NO")</f>
      </c>
      <c r="P33" s="598">
        <f>200*IF(O33="SI",1,0.1)*IF(M33="P",0.1,1)</f>
        <v>20</v>
      </c>
      <c r="Q33" s="599" t="str">
        <f>IF(M33="P",H33*P33*ROUND(L33/60,2),"--")</f>
        <v>--</v>
      </c>
      <c r="R33" s="600" t="str">
        <f>IF(AND(M33="F",N33="NO"),H33*P33,"--")</f>
        <v>--</v>
      </c>
      <c r="S33" s="601" t="str">
        <f>IF(M33="F",H33*P33*ROUND(L33/60,2),"--")</f>
        <v>--</v>
      </c>
      <c r="T33" s="374" t="str">
        <f>IF(M33="RF",H33*P33*ROUND(L33/60,2),"--")</f>
        <v>--</v>
      </c>
      <c r="U33" s="302">
        <f>IF(D33="","","SI")</f>
      </c>
      <c r="V33" s="303">
        <f>IF(D33="","",SUM(Q33:T33)*IF(U33="SI",1,2))</f>
      </c>
      <c r="W33" s="227"/>
    </row>
    <row r="34" spans="1:23" ht="16.5" customHeight="1">
      <c r="A34" s="5"/>
      <c r="B34" s="50"/>
      <c r="C34" s="823" t="s">
        <v>195</v>
      </c>
      <c r="D34" s="589"/>
      <c r="E34" s="590"/>
      <c r="F34" s="591"/>
      <c r="G34" s="592"/>
      <c r="H34" s="593">
        <f>F34*$F$21</f>
        <v>0</v>
      </c>
      <c r="I34" s="595"/>
      <c r="J34" s="595"/>
      <c r="K34" s="292">
        <f>IF(D34="","",(J34-I34)*24)</f>
      </c>
      <c r="L34" s="14">
        <f>IF(D34="","",(J34-I34)*24*60)</f>
      </c>
      <c r="M34" s="13"/>
      <c r="N34" s="8">
        <f>IF(D34="","",IF(OR(M34="P",M34="RP"),"--","NO"))</f>
      </c>
      <c r="O34" s="721">
        <f>IF(D34="","","NO")</f>
      </c>
      <c r="P34" s="598">
        <f>200*IF(O34="SI",1,0.1)*IF(M34="P",0.1,1)</f>
        <v>20</v>
      </c>
      <c r="Q34" s="599" t="str">
        <f>IF(M34="P",H34*P34*ROUND(L34/60,2),"--")</f>
        <v>--</v>
      </c>
      <c r="R34" s="600" t="str">
        <f>IF(AND(M34="F",N34="NO"),H34*P34,"--")</f>
        <v>--</v>
      </c>
      <c r="S34" s="601" t="str">
        <f>IF(M34="F",H34*P34*ROUND(L34/60,2),"--")</f>
        <v>--</v>
      </c>
      <c r="T34" s="374" t="str">
        <f>IF(M34="RF",H34*P34*ROUND(L34/60,2),"--")</f>
        <v>--</v>
      </c>
      <c r="U34" s="302">
        <f>IF(D34="","","SI")</f>
      </c>
      <c r="V34" s="303">
        <f>IF(D34="","",SUM(Q34:T34)*IF(U34="SI",1,2))</f>
      </c>
      <c r="W34" s="227"/>
    </row>
    <row r="35" spans="1:23" ht="16.5" customHeight="1" thickBot="1">
      <c r="A35" s="32"/>
      <c r="B35" s="50"/>
      <c r="C35" s="606"/>
      <c r="D35" s="607"/>
      <c r="E35" s="608"/>
      <c r="F35" s="609"/>
      <c r="G35" s="610"/>
      <c r="H35" s="611"/>
      <c r="I35" s="613"/>
      <c r="J35" s="614"/>
      <c r="K35" s="615"/>
      <c r="L35" s="616"/>
      <c r="M35" s="617"/>
      <c r="N35" s="9"/>
      <c r="O35" s="722"/>
      <c r="P35" s="620"/>
      <c r="Q35" s="621"/>
      <c r="R35" s="622"/>
      <c r="S35" s="623"/>
      <c r="T35" s="624"/>
      <c r="U35" s="628"/>
      <c r="V35" s="629"/>
      <c r="W35" s="227"/>
    </row>
    <row r="36" spans="1:23" ht="16.5" customHeight="1" thickBot="1" thickTop="1">
      <c r="A36" s="32"/>
      <c r="B36" s="50"/>
      <c r="C36" s="98"/>
      <c r="D36" s="201"/>
      <c r="E36" s="201"/>
      <c r="F36" s="405"/>
      <c r="G36" s="630"/>
      <c r="H36" s="631"/>
      <c r="I36" s="632"/>
      <c r="J36" s="633"/>
      <c r="K36" s="634"/>
      <c r="L36" s="635"/>
      <c r="M36" s="631"/>
      <c r="N36" s="636"/>
      <c r="O36" s="190"/>
      <c r="P36" s="637"/>
      <c r="Q36" s="638"/>
      <c r="R36" s="639"/>
      <c r="S36" s="639"/>
      <c r="T36" s="639"/>
      <c r="U36" s="191"/>
      <c r="V36" s="640">
        <f>SUM(V30:V35)</f>
        <v>4845.120000000001</v>
      </c>
      <c r="W36" s="227"/>
    </row>
    <row r="37" spans="1:23" ht="16.5" customHeight="1" thickBot="1" thickTop="1">
      <c r="A37" s="32"/>
      <c r="B37" s="50"/>
      <c r="C37" s="98"/>
      <c r="D37" s="201"/>
      <c r="E37" s="201"/>
      <c r="F37" s="405"/>
      <c r="G37" s="630"/>
      <c r="H37" s="631"/>
      <c r="I37" s="632"/>
      <c r="L37" s="635"/>
      <c r="M37" s="631"/>
      <c r="N37" s="641"/>
      <c r="O37" s="642"/>
      <c r="P37" s="637"/>
      <c r="Q37" s="638"/>
      <c r="R37" s="639"/>
      <c r="S37" s="639"/>
      <c r="T37" s="639"/>
      <c r="U37" s="191"/>
      <c r="V37" s="191"/>
      <c r="W37" s="227"/>
    </row>
    <row r="38" spans="2:23" s="5" customFormat="1" ht="33.75" customHeight="1" thickBot="1" thickTop="1">
      <c r="B38" s="50"/>
      <c r="C38" s="84" t="s">
        <v>12</v>
      </c>
      <c r="D38" s="86" t="s">
        <v>26</v>
      </c>
      <c r="E38" s="1128" t="s">
        <v>27</v>
      </c>
      <c r="F38" s="1154"/>
      <c r="G38" s="132" t="s">
        <v>13</v>
      </c>
      <c r="H38" s="129" t="s">
        <v>15</v>
      </c>
      <c r="I38" s="85" t="s">
        <v>16</v>
      </c>
      <c r="J38" s="357" t="s">
        <v>17</v>
      </c>
      <c r="K38" s="359" t="s">
        <v>35</v>
      </c>
      <c r="L38" s="359" t="s">
        <v>30</v>
      </c>
      <c r="M38" s="88" t="s">
        <v>18</v>
      </c>
      <c r="N38" s="1128" t="s">
        <v>31</v>
      </c>
      <c r="O38" s="1129"/>
      <c r="P38" s="135" t="s">
        <v>36</v>
      </c>
      <c r="Q38" s="360" t="s">
        <v>70</v>
      </c>
      <c r="R38" s="177" t="s">
        <v>34</v>
      </c>
      <c r="S38" s="361"/>
      <c r="T38" s="134" t="s">
        <v>21</v>
      </c>
      <c r="U38" s="132" t="s">
        <v>74</v>
      </c>
      <c r="V38" s="121" t="s">
        <v>23</v>
      </c>
      <c r="W38" s="6"/>
    </row>
    <row r="39" spans="2:23" s="5" customFormat="1" ht="16.5" customHeight="1" thickTop="1">
      <c r="B39" s="50"/>
      <c r="C39" s="7"/>
      <c r="D39" s="369"/>
      <c r="E39" s="1148"/>
      <c r="F39" s="1149"/>
      <c r="G39" s="369"/>
      <c r="H39" s="370"/>
      <c r="I39" s="369"/>
      <c r="J39" s="369"/>
      <c r="K39" s="369"/>
      <c r="L39" s="369"/>
      <c r="M39" s="369"/>
      <c r="N39" s="369"/>
      <c r="O39" s="723"/>
      <c r="P39" s="371"/>
      <c r="Q39" s="372"/>
      <c r="R39" s="188"/>
      <c r="S39" s="373"/>
      <c r="T39" s="374"/>
      <c r="U39" s="369"/>
      <c r="V39" s="375"/>
      <c r="W39" s="6"/>
    </row>
    <row r="40" spans="2:23" s="5" customFormat="1" ht="16.5" customHeight="1">
      <c r="B40" s="50"/>
      <c r="C40" s="823" t="s">
        <v>192</v>
      </c>
      <c r="D40" s="369"/>
      <c r="E40" s="423"/>
      <c r="F40" s="824"/>
      <c r="G40" s="724"/>
      <c r="H40" s="130">
        <f>IF(G40=500,$M$19,IF(G40=220,$M$20,$M$21))</f>
        <v>89.269</v>
      </c>
      <c r="I40" s="725"/>
      <c r="J40" s="726"/>
      <c r="K40" s="379">
        <f>IF(D40="","",(J40-I40)*24)</f>
      </c>
      <c r="L40" s="380">
        <f>IF(D40="","",ROUND((J40-I40)*24*60,0))</f>
      </c>
      <c r="M40" s="515"/>
      <c r="N40" s="454">
        <f>IF(D40="","",IF(OR(M40="P",M40="RP"),"--","NO"))</f>
      </c>
      <c r="O40" s="430"/>
      <c r="P40" s="727">
        <f>IF(G40=500,$N$19,IF(G40=220,$N$20,$N$21))</f>
        <v>40</v>
      </c>
      <c r="Q40" s="728" t="str">
        <f>IF(M40="P",H40*P40*ROUND(L40/60,2)*0.1,"--")</f>
        <v>--</v>
      </c>
      <c r="R40" s="188" t="str">
        <f>IF(AND(M40="F",N40="NO"),H40*P40,"--")</f>
        <v>--</v>
      </c>
      <c r="S40" s="373" t="str">
        <f>IF(M40="F",H40*P40*ROUND(L40/60,2),"--")</f>
        <v>--</v>
      </c>
      <c r="T40" s="374" t="str">
        <f>IF(M40="RF",H40*P40*ROUND(L40/60,2),"--")</f>
        <v>--</v>
      </c>
      <c r="U40" s="729">
        <f>IF(D40="","","SI")</f>
      </c>
      <c r="V40" s="381">
        <f>IF(D40="","",SUM(Q40:T40)*IF(U40="SI",1,2))</f>
      </c>
      <c r="W40" s="6"/>
    </row>
    <row r="41" spans="2:23" s="5" customFormat="1" ht="16.5" customHeight="1">
      <c r="B41" s="50"/>
      <c r="C41" s="823" t="s">
        <v>193</v>
      </c>
      <c r="D41" s="369"/>
      <c r="E41" s="423"/>
      <c r="F41" s="824"/>
      <c r="G41" s="724"/>
      <c r="H41" s="130">
        <f>IF(G41=500,$M$19,IF(G41=220,$M$20,$M$21))</f>
        <v>89.269</v>
      </c>
      <c r="I41" s="725"/>
      <c r="J41" s="726"/>
      <c r="K41" s="379">
        <f>IF(D41="","",(J41-I41)*24)</f>
      </c>
      <c r="L41" s="380">
        <f>IF(D41="","",ROUND((J41-I41)*24*60,0))</f>
      </c>
      <c r="M41" s="515"/>
      <c r="N41" s="454">
        <f>IF(D41="","",IF(OR(M41="P",M41="RP"),"--","NO"))</f>
      </c>
      <c r="O41" s="430"/>
      <c r="P41" s="727">
        <f>IF(G41=500,$N$19,IF(G41=220,$N$20,$N$21))</f>
        <v>40</v>
      </c>
      <c r="Q41" s="728" t="str">
        <f>IF(M41="P",H41*P41*ROUND(L41/60,2)*0.1,"--")</f>
        <v>--</v>
      </c>
      <c r="R41" s="188" t="str">
        <f>IF(AND(M41="F",N41="NO"),H41*P41,"--")</f>
        <v>--</v>
      </c>
      <c r="S41" s="373" t="str">
        <f>IF(M41="F",H41*P41*ROUND(L41/60,2),"--")</f>
        <v>--</v>
      </c>
      <c r="T41" s="374" t="str">
        <f>IF(M41="RF",H41*P41*ROUND(L41/60,2),"--")</f>
        <v>--</v>
      </c>
      <c r="U41" s="729">
        <f>IF(D41="","","SI")</f>
      </c>
      <c r="V41" s="381">
        <f>IF(D41="","",SUM(Q41:T41)*IF(U41="SI",1,2))</f>
      </c>
      <c r="W41" s="6"/>
    </row>
    <row r="42" spans="2:28" s="5" customFormat="1" ht="16.5" customHeight="1" thickBot="1">
      <c r="B42" s="50"/>
      <c r="C42" s="730"/>
      <c r="D42" s="731"/>
      <c r="E42" s="1152"/>
      <c r="F42" s="1153"/>
      <c r="G42" s="732"/>
      <c r="H42" s="733"/>
      <c r="I42" s="734"/>
      <c r="J42" s="735"/>
      <c r="K42" s="736"/>
      <c r="L42" s="737"/>
      <c r="M42" s="738"/>
      <c r="N42" s="739"/>
      <c r="O42" s="738"/>
      <c r="P42" s="740"/>
      <c r="Q42" s="741"/>
      <c r="R42" s="742"/>
      <c r="S42" s="743"/>
      <c r="T42" s="744"/>
      <c r="U42" s="745"/>
      <c r="V42" s="746"/>
      <c r="W42" s="6"/>
      <c r="X42"/>
      <c r="Y42"/>
      <c r="Z42"/>
      <c r="AA42"/>
      <c r="AB42"/>
    </row>
    <row r="43" spans="1:23" ht="17.25" thickBot="1" thickTop="1">
      <c r="A43" s="32"/>
      <c r="B43" s="464"/>
      <c r="C43" s="467"/>
      <c r="D43" s="644"/>
      <c r="E43" s="645"/>
      <c r="F43" s="646"/>
      <c r="G43" s="647"/>
      <c r="H43" s="647"/>
      <c r="I43" s="645"/>
      <c r="J43" s="455"/>
      <c r="K43" s="455"/>
      <c r="L43" s="645"/>
      <c r="M43" s="645"/>
      <c r="N43" s="645"/>
      <c r="O43" s="648"/>
      <c r="P43" s="645"/>
      <c r="Q43" s="645"/>
      <c r="R43" s="649"/>
      <c r="S43" s="650"/>
      <c r="T43" s="650"/>
      <c r="U43" s="651"/>
      <c r="V43" s="640">
        <f>SUM(V40:V42)</f>
        <v>0</v>
      </c>
      <c r="W43" s="652"/>
    </row>
    <row r="44" spans="1:23" ht="17.25" thickBot="1" thickTop="1">
      <c r="A44" s="32"/>
      <c r="B44" s="464"/>
      <c r="C44" s="467"/>
      <c r="D44" s="644"/>
      <c r="E44" s="645"/>
      <c r="F44" s="646"/>
      <c r="G44" s="647"/>
      <c r="H44" s="647"/>
      <c r="I44" s="478" t="s">
        <v>41</v>
      </c>
      <c r="J44" s="716">
        <f>+V43+V36</f>
        <v>4845.120000000001</v>
      </c>
      <c r="L44" s="645"/>
      <c r="M44" s="645"/>
      <c r="N44" s="645"/>
      <c r="O44" s="648"/>
      <c r="P44" s="645"/>
      <c r="Q44" s="645"/>
      <c r="R44" s="649"/>
      <c r="S44" s="650"/>
      <c r="T44" s="650"/>
      <c r="U44" s="651"/>
      <c r="W44" s="652"/>
    </row>
    <row r="45" spans="1:23" ht="13.5" customHeight="1" thickTop="1">
      <c r="A45" s="32"/>
      <c r="B45" s="464"/>
      <c r="C45" s="467"/>
      <c r="D45" s="644"/>
      <c r="E45" s="645"/>
      <c r="F45" s="646"/>
      <c r="G45" s="647"/>
      <c r="H45" s="647"/>
      <c r="I45" s="645"/>
      <c r="J45" s="455"/>
      <c r="K45" s="455"/>
      <c r="L45" s="645"/>
      <c r="M45" s="645"/>
      <c r="N45" s="645"/>
      <c r="O45" s="648"/>
      <c r="P45" s="645"/>
      <c r="Q45" s="645"/>
      <c r="R45" s="649"/>
      <c r="S45" s="650"/>
      <c r="T45" s="650"/>
      <c r="U45" s="651"/>
      <c r="W45" s="652"/>
    </row>
    <row r="46" spans="1:23" ht="16.5" customHeight="1">
      <c r="A46" s="32"/>
      <c r="B46" s="464"/>
      <c r="C46" s="653" t="s">
        <v>102</v>
      </c>
      <c r="D46" s="654" t="s">
        <v>132</v>
      </c>
      <c r="E46" s="645"/>
      <c r="F46" s="646"/>
      <c r="G46" s="647"/>
      <c r="H46" s="647"/>
      <c r="I46" s="645"/>
      <c r="J46" s="455"/>
      <c r="K46" s="455"/>
      <c r="L46" s="645"/>
      <c r="M46" s="645"/>
      <c r="N46" s="645"/>
      <c r="O46" s="648"/>
      <c r="P46" s="645"/>
      <c r="Q46" s="645"/>
      <c r="R46" s="649"/>
      <c r="S46" s="650"/>
      <c r="T46" s="650"/>
      <c r="U46" s="651"/>
      <c r="W46" s="652"/>
    </row>
    <row r="47" spans="1:23" ht="16.5" customHeight="1">
      <c r="A47" s="32"/>
      <c r="B47" s="464"/>
      <c r="C47" s="653"/>
      <c r="D47" s="644"/>
      <c r="E47" s="645"/>
      <c r="F47" s="646"/>
      <c r="G47" s="647"/>
      <c r="H47" s="647"/>
      <c r="I47" s="645"/>
      <c r="J47" s="455"/>
      <c r="K47" s="455"/>
      <c r="L47" s="645"/>
      <c r="M47" s="645"/>
      <c r="N47" s="645"/>
      <c r="O47" s="648"/>
      <c r="P47" s="645"/>
      <c r="Q47" s="645"/>
      <c r="R47" s="645"/>
      <c r="S47" s="649"/>
      <c r="T47" s="650"/>
      <c r="W47" s="652"/>
    </row>
    <row r="48" spans="2:23" s="32" customFormat="1" ht="16.5" customHeight="1">
      <c r="B48" s="464"/>
      <c r="C48" s="467"/>
      <c r="D48" s="655" t="s">
        <v>112</v>
      </c>
      <c r="E48" s="550" t="s">
        <v>113</v>
      </c>
      <c r="F48" s="550" t="s">
        <v>42</v>
      </c>
      <c r="G48" s="656" t="s">
        <v>137</v>
      </c>
      <c r="H48"/>
      <c r="I48" s="139"/>
      <c r="J48" s="668" t="s">
        <v>60</v>
      </c>
      <c r="K48" s="668"/>
      <c r="L48" s="550" t="s">
        <v>42</v>
      </c>
      <c r="M48" t="s">
        <v>116</v>
      </c>
      <c r="O48" s="656" t="s">
        <v>138</v>
      </c>
      <c r="P48"/>
      <c r="Q48" s="660"/>
      <c r="R48" s="660"/>
      <c r="S48" s="33"/>
      <c r="T48"/>
      <c r="U48"/>
      <c r="V48"/>
      <c r="W48" s="652"/>
    </row>
    <row r="49" spans="2:23" s="32" customFormat="1" ht="16.5" customHeight="1">
      <c r="B49" s="464"/>
      <c r="C49" s="467"/>
      <c r="D49" s="143" t="s">
        <v>126</v>
      </c>
      <c r="E49" s="143">
        <v>300</v>
      </c>
      <c r="F49" s="749" t="s">
        <v>127</v>
      </c>
      <c r="G49" s="1150">
        <f>+E49*$F$20*$F$21</f>
        <v>112896.00000000001</v>
      </c>
      <c r="H49" s="1150"/>
      <c r="I49" s="1150"/>
      <c r="J49" s="748" t="s">
        <v>128</v>
      </c>
      <c r="K49" s="748"/>
      <c r="L49" s="143">
        <v>132</v>
      </c>
      <c r="M49" s="143">
        <v>2</v>
      </c>
      <c r="O49" s="1150">
        <f>+M49*$F$20*$M$21</f>
        <v>119977.53600000001</v>
      </c>
      <c r="P49" s="1150"/>
      <c r="Q49" s="1150"/>
      <c r="R49" s="1150"/>
      <c r="S49" s="1150"/>
      <c r="T49" s="1150"/>
      <c r="U49" s="1150"/>
      <c r="V49"/>
      <c r="W49" s="652"/>
    </row>
    <row r="50" spans="1:23" ht="16.5" customHeight="1">
      <c r="A50" s="32"/>
      <c r="B50" s="464"/>
      <c r="C50" s="467"/>
      <c r="D50" s="141"/>
      <c r="E50" s="142"/>
      <c r="F50" s="747"/>
      <c r="G50" s="1151">
        <f>+G49</f>
        <v>112896.00000000001</v>
      </c>
      <c r="H50" s="1151"/>
      <c r="I50" s="1151"/>
      <c r="M50" s="143"/>
      <c r="O50" s="1151">
        <f>SUM(O49:P49)</f>
        <v>119977.53600000001</v>
      </c>
      <c r="P50" s="1151"/>
      <c r="Q50" s="1151"/>
      <c r="R50" s="1151"/>
      <c r="S50" s="1151"/>
      <c r="T50" s="1151"/>
      <c r="U50" s="1151"/>
      <c r="W50" s="652"/>
    </row>
    <row r="51" spans="1:23" ht="16.5" customHeight="1">
      <c r="A51" s="32"/>
      <c r="B51" s="464"/>
      <c r="C51" s="467"/>
      <c r="D51" s="141"/>
      <c r="E51" s="142"/>
      <c r="F51" s="747"/>
      <c r="G51" s="943"/>
      <c r="H51" s="943"/>
      <c r="I51" s="943"/>
      <c r="M51" s="143"/>
      <c r="O51" s="943"/>
      <c r="P51" s="943"/>
      <c r="Q51" s="943"/>
      <c r="R51" s="943"/>
      <c r="S51" s="943"/>
      <c r="T51" s="943"/>
      <c r="U51" s="943"/>
      <c r="W51" s="652"/>
    </row>
    <row r="52" spans="1:23" ht="16.5" customHeight="1">
      <c r="A52" s="32"/>
      <c r="B52" s="464"/>
      <c r="C52" s="467"/>
      <c r="D52" s="1107" t="s">
        <v>405</v>
      </c>
      <c r="E52" s="142" t="s">
        <v>406</v>
      </c>
      <c r="F52" s="747">
        <v>5625</v>
      </c>
      <c r="G52" s="1109" t="s">
        <v>407</v>
      </c>
      <c r="H52" s="943"/>
      <c r="I52" s="943"/>
      <c r="M52" s="143"/>
      <c r="O52" s="943"/>
      <c r="P52" s="943"/>
      <c r="Q52" s="943"/>
      <c r="R52" s="943"/>
      <c r="S52" s="943"/>
      <c r="T52" s="943"/>
      <c r="U52" s="943"/>
      <c r="W52" s="652"/>
    </row>
    <row r="53" spans="1:23" ht="16.5" customHeight="1">
      <c r="A53" s="32"/>
      <c r="B53" s="464"/>
      <c r="C53" s="467"/>
      <c r="D53" s="141"/>
      <c r="E53" s="142"/>
      <c r="F53" s="747"/>
      <c r="G53" s="943"/>
      <c r="H53" s="943"/>
      <c r="I53" s="943"/>
      <c r="M53" s="143"/>
      <c r="O53" s="943"/>
      <c r="P53" s="943"/>
      <c r="Q53" s="943"/>
      <c r="R53" s="943"/>
      <c r="S53" s="943"/>
      <c r="T53" s="943"/>
      <c r="U53" s="943"/>
      <c r="W53" s="652"/>
    </row>
    <row r="54" spans="1:23" ht="16.5" customHeight="1">
      <c r="A54" s="32"/>
      <c r="B54" s="464"/>
      <c r="C54" s="1108" t="s">
        <v>409</v>
      </c>
      <c r="D54" s="141" t="s">
        <v>408</v>
      </c>
      <c r="E54" s="142"/>
      <c r="F54" s="747"/>
      <c r="M54" s="143"/>
      <c r="N54" s="139"/>
      <c r="O54" s="139"/>
      <c r="P54" s="698"/>
      <c r="Q54" s="698"/>
      <c r="R54" s="698"/>
      <c r="S54" s="698"/>
      <c r="W54" s="652"/>
    </row>
    <row r="55" spans="1:23" ht="16.5" customHeight="1" thickBot="1">
      <c r="A55" s="32"/>
      <c r="B55" s="464"/>
      <c r="C55" s="467"/>
      <c r="D55" s="655"/>
      <c r="E55" s="669"/>
      <c r="F55" s="669"/>
      <c r="G55" s="550"/>
      <c r="I55" s="658"/>
      <c r="J55" s="656"/>
      <c r="L55" s="657"/>
      <c r="M55" s="658"/>
      <c r="N55" s="659"/>
      <c r="O55" s="660"/>
      <c r="P55" s="660"/>
      <c r="Q55" s="660"/>
      <c r="R55" s="660"/>
      <c r="S55" s="660"/>
      <c r="W55" s="652"/>
    </row>
    <row r="56" spans="1:23" ht="16.5" customHeight="1" thickBot="1" thickTop="1">
      <c r="A56" s="32"/>
      <c r="B56" s="464"/>
      <c r="C56" s="467"/>
      <c r="D56" s="550"/>
      <c r="E56" s="700"/>
      <c r="F56" s="700"/>
      <c r="G56" s="663"/>
      <c r="H56" s="169"/>
      <c r="I56" s="478" t="s">
        <v>43</v>
      </c>
      <c r="J56" s="716">
        <f>+G50+O50+F52</f>
        <v>238498.53600000002</v>
      </c>
      <c r="L56" s="665"/>
      <c r="M56" s="169"/>
      <c r="N56" s="666"/>
      <c r="O56" s="698"/>
      <c r="P56" s="698"/>
      <c r="Q56" s="698"/>
      <c r="R56" s="698"/>
      <c r="S56" s="698"/>
      <c r="U56" s="478" t="s">
        <v>383</v>
      </c>
      <c r="V56" s="716">
        <v>138648.744</v>
      </c>
      <c r="W56" s="652"/>
    </row>
    <row r="57" spans="1:23" ht="16.5" customHeight="1" thickTop="1">
      <c r="A57" s="32"/>
      <c r="B57" s="464"/>
      <c r="C57" s="467"/>
      <c r="D57" s="455"/>
      <c r="E57" s="472"/>
      <c r="F57" s="550"/>
      <c r="G57" s="550"/>
      <c r="H57" s="551"/>
      <c r="J57" s="550"/>
      <c r="L57" s="672"/>
      <c r="M57" s="659"/>
      <c r="N57" s="659"/>
      <c r="O57" s="660"/>
      <c r="P57" s="660"/>
      <c r="Q57" s="660"/>
      <c r="R57" s="660"/>
      <c r="S57" s="660"/>
      <c r="W57" s="652"/>
    </row>
    <row r="58" spans="2:23" ht="16.5" customHeight="1">
      <c r="B58" s="464"/>
      <c r="C58" s="653" t="s">
        <v>106</v>
      </c>
      <c r="D58" s="673" t="s">
        <v>107</v>
      </c>
      <c r="E58" s="550"/>
      <c r="F58" s="674"/>
      <c r="G58" s="549"/>
      <c r="H58" s="455"/>
      <c r="I58" s="455"/>
      <c r="J58" s="455"/>
      <c r="K58" s="550"/>
      <c r="L58" s="550"/>
      <c r="M58" s="455"/>
      <c r="N58" s="550"/>
      <c r="O58" s="455"/>
      <c r="P58" s="455"/>
      <c r="Q58" s="455"/>
      <c r="R58" s="455"/>
      <c r="S58" s="455"/>
      <c r="T58" s="455"/>
      <c r="U58" s="455"/>
      <c r="W58" s="652"/>
    </row>
    <row r="59" spans="2:23" s="32" customFormat="1" ht="16.5" customHeight="1">
      <c r="B59" s="464"/>
      <c r="C59" s="467"/>
      <c r="D59" s="655" t="s">
        <v>108</v>
      </c>
      <c r="E59" s="675">
        <f>10*J44*J25/J56</f>
        <v>704.1655410091072</v>
      </c>
      <c r="G59" s="549"/>
      <c r="L59" s="550"/>
      <c r="N59" s="550"/>
      <c r="O59" s="551"/>
      <c r="V59"/>
      <c r="W59" s="652"/>
    </row>
    <row r="60" spans="2:23" s="32" customFormat="1" ht="12.75" customHeight="1">
      <c r="B60" s="464"/>
      <c r="C60" s="467"/>
      <c r="E60" s="676"/>
      <c r="F60" s="477"/>
      <c r="G60" s="549"/>
      <c r="J60" s="549"/>
      <c r="K60" s="564"/>
      <c r="L60" s="550"/>
      <c r="M60" s="550"/>
      <c r="N60" s="550"/>
      <c r="O60" s="551"/>
      <c r="P60" s="550"/>
      <c r="Q60" s="550"/>
      <c r="R60" s="563"/>
      <c r="S60" s="563"/>
      <c r="T60" s="563"/>
      <c r="U60" s="677"/>
      <c r="V60"/>
      <c r="W60" s="652"/>
    </row>
    <row r="61" spans="2:23" ht="16.5" customHeight="1">
      <c r="B61" s="464"/>
      <c r="C61" s="467"/>
      <c r="D61" s="678" t="s">
        <v>129</v>
      </c>
      <c r="E61" s="679"/>
      <c r="F61" s="477"/>
      <c r="G61" s="549"/>
      <c r="H61" s="455"/>
      <c r="I61" s="455"/>
      <c r="N61" s="550"/>
      <c r="O61" s="551"/>
      <c r="P61" s="550"/>
      <c r="Q61" s="550"/>
      <c r="R61" s="658"/>
      <c r="S61" s="658"/>
      <c r="T61" s="658"/>
      <c r="U61" s="659"/>
      <c r="W61" s="652"/>
    </row>
    <row r="62" spans="2:23" ht="13.5" customHeight="1" thickBot="1">
      <c r="B62" s="464"/>
      <c r="C62" s="467"/>
      <c r="D62" s="678"/>
      <c r="E62" s="679"/>
      <c r="F62" s="477"/>
      <c r="G62" s="549"/>
      <c r="H62" s="455"/>
      <c r="I62" s="455"/>
      <c r="N62" s="550"/>
      <c r="O62" s="551"/>
      <c r="P62" s="550"/>
      <c r="Q62" s="550"/>
      <c r="R62" s="658"/>
      <c r="S62" s="658"/>
      <c r="T62" s="658"/>
      <c r="U62" s="659"/>
      <c r="W62" s="652"/>
    </row>
    <row r="63" spans="2:23" s="680" customFormat="1" ht="21" thickBot="1" thickTop="1">
      <c r="B63" s="681"/>
      <c r="C63" s="682"/>
      <c r="D63" s="683"/>
      <c r="E63" s="684"/>
      <c r="F63" s="685"/>
      <c r="G63" s="686"/>
      <c r="I63" s="687" t="s">
        <v>109</v>
      </c>
      <c r="J63" s="688">
        <f>IF(E59&gt;3*J25,J25*3,E59)</f>
        <v>704.1655410091072</v>
      </c>
      <c r="M63" s="960" t="s">
        <v>391</v>
      </c>
      <c r="N63" s="689"/>
      <c r="O63" s="690"/>
      <c r="P63" s="689"/>
      <c r="Q63" s="689"/>
      <c r="R63" s="691"/>
      <c r="S63" s="691"/>
      <c r="T63" s="691"/>
      <c r="U63" s="692"/>
      <c r="V63"/>
      <c r="W63" s="693"/>
    </row>
    <row r="64" spans="2:23" ht="16.5" customHeight="1" thickBot="1" thickTop="1">
      <c r="B64" s="5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192"/>
      <c r="W64" s="694"/>
    </row>
    <row r="65" spans="2:23" ht="16.5" customHeight="1" thickTop="1">
      <c r="B65" s="1"/>
      <c r="C65" s="73"/>
      <c r="W65" s="1"/>
    </row>
  </sheetData>
  <sheetProtection password="CC12"/>
  <mergeCells count="8">
    <mergeCell ref="E38:F38"/>
    <mergeCell ref="E39:F39"/>
    <mergeCell ref="O50:U50"/>
    <mergeCell ref="G50:I50"/>
    <mergeCell ref="G49:I49"/>
    <mergeCell ref="O49:U49"/>
    <mergeCell ref="N38:O38"/>
    <mergeCell ref="E42:F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3" r:id="rId2"/>
  <headerFooter alignWithMargins="0">
    <oddFooter>&amp;L&amp;"Times New Roman,Normal"&amp;7&amp;F-&amp;A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G81"/>
  <sheetViews>
    <sheetView zoomScale="50" zoomScaleNormal="50" zoomScalePageLayoutView="0" workbookViewId="0" topLeftCell="A1">
      <selection activeCell="G41" sqref="G41"/>
    </sheetView>
  </sheetViews>
  <sheetFormatPr defaultColWidth="11.421875" defaultRowHeight="12.75"/>
  <cols>
    <col min="1" max="1" width="15.7109375" style="0" customWidth="1"/>
    <col min="2" max="2" width="16.281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3.00390625" style="0" customWidth="1"/>
    <col min="8" max="8" width="15.574218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421875" style="0" customWidth="1"/>
    <col min="18" max="19" width="12.140625" style="0" hidden="1" customWidth="1"/>
    <col min="20" max="20" width="11.57421875" style="0" hidden="1" customWidth="1"/>
    <col min="21" max="21" width="13.00390625" style="0" hidden="1" customWidth="1"/>
    <col min="22" max="22" width="8.421875" style="0" hidden="1" customWidth="1"/>
    <col min="23" max="23" width="15.7109375" style="0" hidden="1" customWidth="1"/>
    <col min="24" max="27" width="8.421875" style="0" hidden="1" customWidth="1"/>
    <col min="28" max="28" width="10.8515625" style="0" customWidth="1"/>
    <col min="29" max="29" width="23.85156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1" customFormat="1" ht="30.75">
      <c r="A3" s="458"/>
      <c r="B3" s="459" t="str">
        <f>+'TOT-0211'!B2</f>
        <v>ANEXO III al Memorándum D.T.E.E. N°  1088 /2012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AB3" s="460"/>
      <c r="AC3" s="460"/>
      <c r="AD3" s="460"/>
    </row>
    <row r="4" spans="1:2" s="25" customFormat="1" ht="11.25">
      <c r="A4" s="23" t="s">
        <v>1</v>
      </c>
      <c r="B4" s="23"/>
    </row>
    <row r="5" spans="1:2" s="25" customFormat="1" ht="11.25">
      <c r="A5" s="23" t="s">
        <v>2</v>
      </c>
      <c r="B5" s="23"/>
    </row>
    <row r="6" s="25" customFormat="1" ht="12" thickBot="1">
      <c r="A6" s="23"/>
    </row>
    <row r="7" spans="1:30" ht="16.5" customHeight="1" thickTop="1">
      <c r="A7" s="5"/>
      <c r="B7" s="69"/>
      <c r="C7" s="70"/>
      <c r="D7" s="70"/>
      <c r="E7" s="19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73"/>
      <c r="X7" s="173"/>
      <c r="Y7" s="173"/>
      <c r="Z7" s="173"/>
      <c r="AA7" s="173"/>
      <c r="AB7" s="173"/>
      <c r="AC7" s="173"/>
      <c r="AD7" s="94"/>
    </row>
    <row r="8" spans="1:30" ht="20.25">
      <c r="A8" s="5"/>
      <c r="B8" s="50"/>
      <c r="C8" s="4"/>
      <c r="D8" s="171" t="s">
        <v>90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7"/>
      <c r="Q8" s="77"/>
      <c r="R8" s="4"/>
      <c r="S8" s="4"/>
      <c r="T8" s="4"/>
      <c r="U8" s="4"/>
      <c r="V8" s="4"/>
      <c r="AD8" s="17"/>
    </row>
    <row r="9" spans="1:30" ht="16.5" customHeight="1">
      <c r="A9" s="5"/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D9" s="17"/>
    </row>
    <row r="10" spans="2:30" s="36" customFormat="1" ht="20.25">
      <c r="B10" s="44"/>
      <c r="C10" s="43"/>
      <c r="D10" s="171" t="s">
        <v>91</v>
      </c>
      <c r="E10" s="43"/>
      <c r="F10" s="43"/>
      <c r="G10" s="43"/>
      <c r="H10" s="43"/>
      <c r="N10" s="43"/>
      <c r="O10" s="43"/>
      <c r="P10" s="194"/>
      <c r="Q10" s="194"/>
      <c r="R10" s="43"/>
      <c r="S10" s="43"/>
      <c r="T10" s="43"/>
      <c r="U10" s="43"/>
      <c r="V10" s="43"/>
      <c r="W10"/>
      <c r="X10" s="43"/>
      <c r="Y10" s="43"/>
      <c r="Z10" s="43"/>
      <c r="AA10" s="43"/>
      <c r="AB10" s="43"/>
      <c r="AC10"/>
      <c r="AD10" s="195"/>
    </row>
    <row r="11" spans="1:30" ht="16.5" customHeight="1">
      <c r="A11" s="5"/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D11" s="17"/>
    </row>
    <row r="12" spans="2:30" s="36" customFormat="1" ht="20.25">
      <c r="B12" s="44"/>
      <c r="C12" s="43"/>
      <c r="D12" s="171" t="s">
        <v>360</v>
      </c>
      <c r="E12" s="43"/>
      <c r="F12" s="43"/>
      <c r="G12" s="43"/>
      <c r="H12" s="43"/>
      <c r="N12" s="43"/>
      <c r="O12" s="43"/>
      <c r="P12" s="194"/>
      <c r="Q12" s="194"/>
      <c r="R12" s="43"/>
      <c r="S12" s="43"/>
      <c r="T12" s="43"/>
      <c r="U12" s="43"/>
      <c r="V12" s="43"/>
      <c r="W12"/>
      <c r="X12" s="43"/>
      <c r="Y12" s="43"/>
      <c r="Z12" s="43"/>
      <c r="AA12" s="43"/>
      <c r="AB12" s="43"/>
      <c r="AC12"/>
      <c r="AD12" s="195"/>
    </row>
    <row r="13" spans="1:30" ht="16.5" customHeight="1">
      <c r="A13" s="5"/>
      <c r="B13" s="50"/>
      <c r="C13" s="4"/>
      <c r="D13" s="4"/>
      <c r="E13" s="5"/>
      <c r="F13" s="5"/>
      <c r="G13" s="5"/>
      <c r="H13" s="5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AD13" s="17"/>
    </row>
    <row r="14" spans="2:30" s="36" customFormat="1" ht="19.5">
      <c r="B14" s="37" t="str">
        <f>'TOT-0211'!B14</f>
        <v>Desde el 01 al 28 de febrero de 2011</v>
      </c>
      <c r="C14" s="38"/>
      <c r="D14" s="40"/>
      <c r="E14" s="40"/>
      <c r="F14" s="40"/>
      <c r="G14" s="40"/>
      <c r="H14" s="40"/>
      <c r="I14" s="41"/>
      <c r="J14" s="16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126"/>
      <c r="V14" s="126"/>
      <c r="W14"/>
      <c r="X14" s="462"/>
      <c r="Y14" s="462"/>
      <c r="Z14" s="462"/>
      <c r="AA14" s="462"/>
      <c r="AB14" s="126"/>
      <c r="AC14" s="169"/>
      <c r="AD14" s="42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4"/>
      <c r="J15" s="463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4"/>
      <c r="D17" s="4"/>
      <c r="E17" s="66"/>
      <c r="F17" s="66"/>
      <c r="G17" s="4"/>
      <c r="H17" s="4"/>
      <c r="I17" s="140"/>
      <c r="J17" s="4"/>
      <c r="K17" s="1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1:30" ht="16.5" customHeight="1">
      <c r="A18" s="5"/>
      <c r="B18" s="50"/>
      <c r="C18" s="159" t="s">
        <v>92</v>
      </c>
      <c r="D18" s="54" t="s">
        <v>93</v>
      </c>
      <c r="E18" s="66"/>
      <c r="F18" s="66"/>
      <c r="G18" s="4"/>
      <c r="H18" s="4"/>
      <c r="I18" s="4"/>
      <c r="J18" s="463"/>
      <c r="K18" s="4"/>
      <c r="L18" s="4"/>
      <c r="M18" s="4"/>
      <c r="N18" s="5"/>
      <c r="O18" s="5"/>
      <c r="P18" s="4"/>
      <c r="Q18" s="4"/>
      <c r="R18" s="4"/>
      <c r="S18" s="4"/>
      <c r="T18" s="4"/>
      <c r="U18" s="4"/>
      <c r="V18" s="4"/>
      <c r="AD18" s="17"/>
    </row>
    <row r="19" spans="2:30" s="32" customFormat="1" ht="16.5" customHeight="1">
      <c r="B19" s="464"/>
      <c r="C19" s="33"/>
      <c r="D19" s="465"/>
      <c r="E19" s="466"/>
      <c r="F19" s="467"/>
      <c r="G19" s="33"/>
      <c r="H19" s="33"/>
      <c r="I19" s="33"/>
      <c r="J19" s="468"/>
      <c r="K19" s="33"/>
      <c r="L19" s="33"/>
      <c r="M19" s="33"/>
      <c r="P19" s="33"/>
      <c r="Q19" s="33"/>
      <c r="R19" s="33"/>
      <c r="S19" s="33"/>
      <c r="T19" s="33"/>
      <c r="U19" s="33"/>
      <c r="V19" s="33"/>
      <c r="W19"/>
      <c r="AD19" s="469"/>
    </row>
    <row r="20" spans="2:30" s="32" customFormat="1" ht="16.5" customHeight="1">
      <c r="B20" s="464"/>
      <c r="C20" s="33"/>
      <c r="D20" s="470" t="s">
        <v>94</v>
      </c>
      <c r="F20" s="471">
        <v>204.601</v>
      </c>
      <c r="G20" s="470" t="s">
        <v>95</v>
      </c>
      <c r="H20" s="33"/>
      <c r="I20" s="33"/>
      <c r="J20" s="472"/>
      <c r="K20" s="473" t="s">
        <v>39</v>
      </c>
      <c r="L20" s="474">
        <v>0.025</v>
      </c>
      <c r="R20" s="33"/>
      <c r="S20" s="33"/>
      <c r="T20" s="33"/>
      <c r="U20" s="33"/>
      <c r="V20" s="33"/>
      <c r="W20"/>
      <c r="AD20" s="469"/>
    </row>
    <row r="21" spans="2:30" s="32" customFormat="1" ht="16.5" customHeight="1">
      <c r="B21" s="464"/>
      <c r="C21" s="33"/>
      <c r="D21" s="470" t="s">
        <v>110</v>
      </c>
      <c r="E21" s="475"/>
      <c r="F21" s="563">
        <v>0.56</v>
      </c>
      <c r="G21" s="476" t="s">
        <v>111</v>
      </c>
      <c r="H21" s="33"/>
      <c r="I21" s="33"/>
      <c r="J21" s="33"/>
      <c r="K21" s="465" t="s">
        <v>37</v>
      </c>
      <c r="L21" s="33">
        <f>MID(B14,16,2)*24</f>
        <v>672</v>
      </c>
      <c r="M21" s="33" t="s">
        <v>38</v>
      </c>
      <c r="N21" s="33"/>
      <c r="O21" s="199"/>
      <c r="P21" s="200"/>
      <c r="Q21" s="4"/>
      <c r="R21" s="33"/>
      <c r="S21" s="33"/>
      <c r="T21" s="33"/>
      <c r="U21" s="33"/>
      <c r="V21" s="33"/>
      <c r="W21"/>
      <c r="AD21" s="469"/>
    </row>
    <row r="22" spans="2:30" s="32" customFormat="1" ht="16.5" customHeight="1">
      <c r="B22" s="464"/>
      <c r="C22" s="33"/>
      <c r="D22" s="470" t="s">
        <v>419</v>
      </c>
      <c r="E22" s="475"/>
      <c r="F22" s="1113">
        <v>111.585</v>
      </c>
      <c r="G22" s="476" t="s">
        <v>15</v>
      </c>
      <c r="H22" s="33"/>
      <c r="I22" s="33"/>
      <c r="J22" s="33"/>
      <c r="K22" s="465"/>
      <c r="L22" s="33"/>
      <c r="M22" s="33"/>
      <c r="N22" s="33"/>
      <c r="O22" s="199"/>
      <c r="P22" s="200"/>
      <c r="Q22" s="4"/>
      <c r="R22" s="33"/>
      <c r="S22" s="33"/>
      <c r="T22" s="33"/>
      <c r="U22" s="33"/>
      <c r="V22" s="33"/>
      <c r="W22"/>
      <c r="AD22" s="469"/>
    </row>
    <row r="23" spans="2:30" s="32" customFormat="1" ht="16.5" customHeight="1">
      <c r="B23" s="464"/>
      <c r="C23" s="33"/>
      <c r="D23" s="470"/>
      <c r="E23" s="475"/>
      <c r="F23" s="873"/>
      <c r="G23" s="476"/>
      <c r="H23" s="33"/>
      <c r="I23" s="33"/>
      <c r="J23" s="33"/>
      <c r="K23" s="465"/>
      <c r="L23" s="33"/>
      <c r="M23" s="33"/>
      <c r="N23" s="33"/>
      <c r="O23" s="199"/>
      <c r="P23" s="200"/>
      <c r="Q23" s="4"/>
      <c r="R23" s="33"/>
      <c r="S23" s="33"/>
      <c r="T23" s="33"/>
      <c r="U23" s="33"/>
      <c r="V23" s="33"/>
      <c r="W23"/>
      <c r="AD23" s="469"/>
    </row>
    <row r="24" spans="2:30" s="32" customFormat="1" ht="16.5" customHeight="1">
      <c r="B24" s="464"/>
      <c r="C24" s="33"/>
      <c r="D24" s="33"/>
      <c r="E24" s="47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/>
      <c r="AD24" s="469"/>
    </row>
    <row r="25" spans="1:30" ht="16.5" customHeight="1">
      <c r="A25" s="5"/>
      <c r="B25" s="50"/>
      <c r="C25" s="159" t="s">
        <v>96</v>
      </c>
      <c r="D25" s="3" t="s">
        <v>130</v>
      </c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1:30" ht="10.5" customHeight="1" thickBot="1">
      <c r="A26" s="5"/>
      <c r="B26" s="50"/>
      <c r="C26" s="66"/>
      <c r="D26" s="3"/>
      <c r="I26" s="4"/>
      <c r="J26" s="32"/>
      <c r="O26" s="4"/>
      <c r="P26" s="4"/>
      <c r="Q26" s="4"/>
      <c r="R26" s="4"/>
      <c r="S26" s="4"/>
      <c r="T26" s="4"/>
      <c r="V26" s="4"/>
      <c r="X26" s="4"/>
      <c r="Y26" s="4"/>
      <c r="Z26" s="4"/>
      <c r="AA26" s="4"/>
      <c r="AB26" s="4"/>
      <c r="AC26" s="4"/>
      <c r="AD26" s="17"/>
    </row>
    <row r="27" spans="2:30" s="32" customFormat="1" ht="21" customHeight="1" thickBot="1" thickTop="1">
      <c r="B27" s="464"/>
      <c r="C27" s="467"/>
      <c r="D27"/>
      <c r="E27"/>
      <c r="F27"/>
      <c r="G27"/>
      <c r="H27"/>
      <c r="I27"/>
      <c r="J27" s="1035" t="s">
        <v>44</v>
      </c>
      <c r="K27" s="1034">
        <f>AC73*L20</f>
        <v>53482.101801599994</v>
      </c>
      <c r="L27"/>
      <c r="S27"/>
      <c r="T27"/>
      <c r="U27"/>
      <c r="W27"/>
      <c r="AD27" s="469"/>
    </row>
    <row r="28" spans="2:30" s="32" customFormat="1" ht="11.25" customHeight="1" thickTop="1">
      <c r="B28" s="464"/>
      <c r="C28" s="467"/>
      <c r="D28" s="33"/>
      <c r="E28" s="477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/>
      <c r="W28"/>
      <c r="AD28" s="469"/>
    </row>
    <row r="29" spans="1:30" ht="16.5" customHeight="1">
      <c r="A29" s="5"/>
      <c r="B29" s="50"/>
      <c r="C29" s="159" t="s">
        <v>97</v>
      </c>
      <c r="D29" s="3" t="s">
        <v>131</v>
      </c>
      <c r="E29" s="20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1:30" ht="21.75" customHeight="1" thickBot="1">
      <c r="A30" s="5"/>
      <c r="B30" s="50"/>
      <c r="C30" s="4"/>
      <c r="D30" s="4"/>
      <c r="E30" s="20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D30" s="17"/>
    </row>
    <row r="31" spans="2:31" s="5" customFormat="1" ht="33.75" customHeight="1" thickBot="1" thickTop="1">
      <c r="B31" s="50"/>
      <c r="C31" s="84" t="s">
        <v>12</v>
      </c>
      <c r="D31" s="202" t="s">
        <v>0</v>
      </c>
      <c r="E31" s="175" t="s">
        <v>13</v>
      </c>
      <c r="F31" s="87" t="s">
        <v>14</v>
      </c>
      <c r="G31" s="203" t="s">
        <v>71</v>
      </c>
      <c r="H31" s="204" t="s">
        <v>36</v>
      </c>
      <c r="I31" s="135" t="s">
        <v>15</v>
      </c>
      <c r="J31" s="85" t="s">
        <v>16</v>
      </c>
      <c r="K31" s="176" t="s">
        <v>17</v>
      </c>
      <c r="L31" s="88" t="s">
        <v>35</v>
      </c>
      <c r="M31" s="86" t="s">
        <v>30</v>
      </c>
      <c r="N31" s="88" t="s">
        <v>98</v>
      </c>
      <c r="O31" s="88" t="s">
        <v>57</v>
      </c>
      <c r="P31" s="176" t="s">
        <v>58</v>
      </c>
      <c r="Q31" s="85" t="s">
        <v>31</v>
      </c>
      <c r="R31" s="137" t="s">
        <v>19</v>
      </c>
      <c r="S31" s="480" t="s">
        <v>20</v>
      </c>
      <c r="T31" s="481" t="s">
        <v>72</v>
      </c>
      <c r="U31" s="482"/>
      <c r="V31" s="483"/>
      <c r="W31" s="484" t="s">
        <v>99</v>
      </c>
      <c r="X31" s="485"/>
      <c r="Y31" s="486"/>
      <c r="Z31" s="487" t="s">
        <v>21</v>
      </c>
      <c r="AA31" s="488" t="s">
        <v>22</v>
      </c>
      <c r="AB31" s="89" t="s">
        <v>74</v>
      </c>
      <c r="AC31" s="121" t="s">
        <v>23</v>
      </c>
      <c r="AD31" s="210"/>
      <c r="AE31"/>
    </row>
    <row r="32" spans="1:30" ht="16.5" customHeight="1" thickTop="1">
      <c r="A32" s="5"/>
      <c r="B32" s="50"/>
      <c r="C32" s="7"/>
      <c r="D32" s="489"/>
      <c r="E32" s="490"/>
      <c r="F32" s="491"/>
      <c r="G32" s="492"/>
      <c r="H32" s="493"/>
      <c r="I32" s="494"/>
      <c r="J32" s="495"/>
      <c r="K32" s="496"/>
      <c r="L32" s="7"/>
      <c r="M32" s="7"/>
      <c r="N32" s="182"/>
      <c r="O32" s="182"/>
      <c r="P32" s="7"/>
      <c r="Q32" s="179"/>
      <c r="R32" s="497"/>
      <c r="S32" s="498"/>
      <c r="T32" s="499"/>
      <c r="U32" s="500"/>
      <c r="V32" s="501"/>
      <c r="W32" s="502"/>
      <c r="X32" s="503"/>
      <c r="Y32" s="504"/>
      <c r="Z32" s="505"/>
      <c r="AA32" s="506"/>
      <c r="AB32" s="507"/>
      <c r="AC32" s="508"/>
      <c r="AD32" s="17"/>
    </row>
    <row r="33" spans="1:30" ht="16.5" customHeight="1">
      <c r="A33" s="5"/>
      <c r="B33" s="50"/>
      <c r="C33" s="823" t="s">
        <v>192</v>
      </c>
      <c r="D33" s="7"/>
      <c r="E33" s="456"/>
      <c r="F33" s="509"/>
      <c r="G33" s="510"/>
      <c r="H33" s="511">
        <f>IF(G33="A",200,IF(G33="B",60,20))</f>
        <v>20</v>
      </c>
      <c r="I33" s="512">
        <f>IF(F33&gt;100,F33,100)*$F$20/100</f>
        <v>204.601</v>
      </c>
      <c r="J33" s="513"/>
      <c r="K33" s="457"/>
      <c r="L33" s="514">
        <f>IF(D33="","",(K33-J33)*24)</f>
      </c>
      <c r="M33" s="380">
        <f>IF(D33="","",ROUND((K33-J33)*24*60,0))</f>
      </c>
      <c r="N33" s="515"/>
      <c r="O33" s="516">
        <f>IF(D33="","","--")</f>
      </c>
      <c r="P33" s="221">
        <f>IF(D33="","","NO")</f>
      </c>
      <c r="Q33" s="221">
        <f>IF(D33="","",IF(OR(N33="P",N33="RP"),"--","NO"))</f>
      </c>
      <c r="R33" s="517" t="str">
        <f>IF(N33="P",+I33*H33*ROUND(M33/60,2)/100,"--")</f>
        <v>--</v>
      </c>
      <c r="S33" s="518" t="str">
        <f>IF(N33="RP",I33*H33*ROUND(M33/60,2)*0.01*O33/100,"--")</f>
        <v>--</v>
      </c>
      <c r="T33" s="519" t="str">
        <f>IF(AND(N33="F",Q33="NO"),IF(P33="SI",1.2,1)*I33*H33,"--")</f>
        <v>--</v>
      </c>
      <c r="U33" s="520" t="str">
        <f>IF(AND(M33&gt;10,N33="F"),IF(M33&lt;=300,ROUND(M33/60,2),5)*I33*H33*IF(P33="SI",1.2,1),"--")</f>
        <v>--</v>
      </c>
      <c r="V33" s="521" t="str">
        <f>IF(AND(N33="F",M33&gt;300),IF(P33="SI",1.2,1)*(ROUND(M33/60,2)-5)*I33*H33*0.1,"--")</f>
        <v>--</v>
      </c>
      <c r="W33" s="522" t="str">
        <f>IF(AND(N33="R",Q33="NO"),IF(P33="SI",1.2,1)*I33*H33*O33/100,"--")</f>
        <v>--</v>
      </c>
      <c r="X33" s="523" t="str">
        <f>IF(AND(M33&gt;10,N33="R"),IF(M33&lt;=300,ROUND(M33/60,2),5)*I33*H33*O33/100*IF(P33="SI",1.2,1),"--")</f>
        <v>--</v>
      </c>
      <c r="Y33" s="524" t="str">
        <f>IF(AND(N33="R",M33&gt;300),IF(P33="SI",1.2,1)*(ROUND(M33/60,2)-5)*I33*H33*O33/100*0.1,"--")</f>
        <v>--</v>
      </c>
      <c r="Z33" s="525" t="str">
        <f>IF(N33="RF",IF(P33="SI",1.2,1)*ROUND(M33/60,2)*I33*H33*0.1,"--")</f>
        <v>--</v>
      </c>
      <c r="AA33" s="526" t="str">
        <f>IF(N33="RR",IF(P33="SI",1.2,1)*ROUND(M33/60,2)*I33*H33*O33/100*0.1,"--")</f>
        <v>--</v>
      </c>
      <c r="AB33" s="527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823" t="s">
        <v>193</v>
      </c>
      <c r="D34" s="7"/>
      <c r="E34" s="456"/>
      <c r="F34" s="509"/>
      <c r="G34" s="510"/>
      <c r="H34" s="511">
        <f>IF(G34="A",200,IF(G34="B",60,20))</f>
        <v>20</v>
      </c>
      <c r="I34" s="512">
        <f>IF(F34&gt;100,F34,100)*$F$20/100</f>
        <v>204.601</v>
      </c>
      <c r="J34" s="513"/>
      <c r="K34" s="457"/>
      <c r="L34" s="514">
        <f>IF(D34="","",(K34-J34)*24)</f>
      </c>
      <c r="M34" s="380">
        <f>IF(D34="","",ROUND((K34-J34)*24*60,0))</f>
      </c>
      <c r="N34" s="515"/>
      <c r="O34" s="516">
        <f>IF(D34="","","--")</f>
      </c>
      <c r="P34" s="221">
        <f>IF(D34="","","NO")</f>
      </c>
      <c r="Q34" s="221">
        <f>IF(D34="","",IF(OR(N34="P",N34="RP"),"--","NO"))</f>
      </c>
      <c r="R34" s="517" t="str">
        <f>IF(N34="P",+I34*H34*ROUND(M34/60,2)/100,"--")</f>
        <v>--</v>
      </c>
      <c r="S34" s="518" t="str">
        <f>IF(N34="RP",I34*H34*ROUND(M34/60,2)*0.01*O34/100,"--")</f>
        <v>--</v>
      </c>
      <c r="T34" s="519" t="str">
        <f>IF(AND(N34="F",Q34="NO"),IF(P34="SI",1.2,1)*I34*H34,"--")</f>
        <v>--</v>
      </c>
      <c r="U34" s="520" t="str">
        <f>IF(AND(M34&gt;10,N34="F"),IF(M34&lt;=300,ROUND(M34/60,2),5)*I34*H34*IF(P34="SI",1.2,1),"--")</f>
        <v>--</v>
      </c>
      <c r="V34" s="521" t="str">
        <f>IF(AND(N34="F",M34&gt;300),IF(P34="SI",1.2,1)*(ROUND(M34/60,2)-5)*I34*H34*0.1,"--")</f>
        <v>--</v>
      </c>
      <c r="W34" s="522" t="str">
        <f>IF(AND(N34="R",Q34="NO"),IF(P34="SI",1.2,1)*I34*H34*O34/100,"--")</f>
        <v>--</v>
      </c>
      <c r="X34" s="523" t="str">
        <f>IF(AND(M34&gt;10,N34="R"),IF(M34&lt;=300,ROUND(M34/60,2),5)*I34*H34*O34/100*IF(P34="SI",1.2,1),"--")</f>
        <v>--</v>
      </c>
      <c r="Y34" s="524" t="str">
        <f>IF(AND(N34="R",M34&gt;300),IF(P34="SI",1.2,1)*(ROUND(M34/60,2)-5)*I34*H34*O34/100*0.1,"--")</f>
        <v>--</v>
      </c>
      <c r="Z34" s="525" t="str">
        <f>IF(N34="RF",IF(P34="SI",1.2,1)*ROUND(M34/60,2)*I34*H34*0.1,"--")</f>
        <v>--</v>
      </c>
      <c r="AA34" s="526" t="str">
        <f>IF(N34="RR",IF(P34="SI",1.2,1)*ROUND(M34/60,2)*I34*H34*O34/100*0.1,"--")</f>
        <v>--</v>
      </c>
      <c r="AB34" s="527">
        <f>IF(D34="","","SI")</f>
      </c>
      <c r="AC34" s="16">
        <f>IF(D34="","",SUM(R34:AA34)*IF(AB34="SI",1,2))</f>
      </c>
      <c r="AD34" s="17"/>
    </row>
    <row r="35" spans="1:30" ht="16.5" customHeight="1" thickBot="1">
      <c r="A35" s="32"/>
      <c r="B35" s="50"/>
      <c r="C35" s="798"/>
      <c r="D35" s="528"/>
      <c r="E35" s="529"/>
      <c r="F35" s="530"/>
      <c r="G35" s="531"/>
      <c r="H35" s="532"/>
      <c r="I35" s="533"/>
      <c r="J35" s="534"/>
      <c r="K35" s="534"/>
      <c r="L35" s="9"/>
      <c r="M35" s="9"/>
      <c r="N35" s="9"/>
      <c r="O35" s="535"/>
      <c r="P35" s="9"/>
      <c r="Q35" s="9"/>
      <c r="R35" s="536"/>
      <c r="S35" s="537"/>
      <c r="T35" s="538"/>
      <c r="U35" s="539"/>
      <c r="V35" s="540"/>
      <c r="W35" s="541"/>
      <c r="X35" s="542"/>
      <c r="Y35" s="543"/>
      <c r="Z35" s="544"/>
      <c r="AA35" s="545"/>
      <c r="AB35" s="546"/>
      <c r="AC35" s="547"/>
      <c r="AD35" s="227"/>
    </row>
    <row r="36" spans="1:30" ht="17.25" thickBot="1" thickTop="1">
      <c r="A36" s="32"/>
      <c r="B36" s="50"/>
      <c r="C36" s="467"/>
      <c r="D36" s="467"/>
      <c r="E36" s="548"/>
      <c r="F36" s="477"/>
      <c r="G36" s="549"/>
      <c r="H36" s="549"/>
      <c r="I36" s="550"/>
      <c r="J36" s="550"/>
      <c r="K36" s="550"/>
      <c r="L36" s="550"/>
      <c r="M36" s="550"/>
      <c r="N36" s="550"/>
      <c r="O36" s="551"/>
      <c r="P36" s="550"/>
      <c r="Q36" s="550"/>
      <c r="R36" s="552">
        <f aca="true" t="shared" si="0" ref="R36:AA36">SUM(R32:R35)</f>
        <v>0</v>
      </c>
      <c r="S36" s="553">
        <f t="shared" si="0"/>
        <v>0</v>
      </c>
      <c r="T36" s="554">
        <f t="shared" si="0"/>
        <v>0</v>
      </c>
      <c r="U36" s="554">
        <f t="shared" si="0"/>
        <v>0</v>
      </c>
      <c r="V36" s="554">
        <f t="shared" si="0"/>
        <v>0</v>
      </c>
      <c r="W36" s="555">
        <f t="shared" si="0"/>
        <v>0</v>
      </c>
      <c r="X36" s="555">
        <f t="shared" si="0"/>
        <v>0</v>
      </c>
      <c r="Y36" s="555">
        <f t="shared" si="0"/>
        <v>0</v>
      </c>
      <c r="Z36" s="556">
        <f t="shared" si="0"/>
        <v>0</v>
      </c>
      <c r="AA36" s="557">
        <f t="shared" si="0"/>
        <v>0</v>
      </c>
      <c r="AB36" s="558"/>
      <c r="AC36" s="559">
        <f>SUM(AC32:AC35)</f>
        <v>0</v>
      </c>
      <c r="AD36" s="227"/>
    </row>
    <row r="37" spans="1:30" ht="17.25" thickBot="1" thickTop="1">
      <c r="A37" s="32"/>
      <c r="B37" s="50"/>
      <c r="C37" s="872"/>
      <c r="D37" s="142"/>
      <c r="G37" s="879"/>
      <c r="H37" s="878"/>
      <c r="I37" s="880"/>
      <c r="J37" s="880"/>
      <c r="L37" s="550"/>
      <c r="M37" s="550"/>
      <c r="N37" s="550"/>
      <c r="O37" s="551"/>
      <c r="P37" s="550"/>
      <c r="Q37" s="550"/>
      <c r="R37" s="560"/>
      <c r="S37" s="561"/>
      <c r="T37" s="562"/>
      <c r="U37" s="562"/>
      <c r="V37" s="562"/>
      <c r="W37" s="560"/>
      <c r="X37" s="560"/>
      <c r="Y37" s="560"/>
      <c r="Z37" s="560"/>
      <c r="AA37" s="560"/>
      <c r="AB37" s="563"/>
      <c r="AC37" s="564"/>
      <c r="AD37" s="227"/>
    </row>
    <row r="38" spans="1:33" s="5" customFormat="1" ht="27" thickBot="1" thickTop="1">
      <c r="A38" s="90"/>
      <c r="B38" s="95"/>
      <c r="C38" s="123" t="s">
        <v>12</v>
      </c>
      <c r="D38" s="119" t="s">
        <v>26</v>
      </c>
      <c r="E38" s="118" t="s">
        <v>27</v>
      </c>
      <c r="F38" s="1146" t="s">
        <v>28</v>
      </c>
      <c r="G38" s="1147"/>
      <c r="H38" s="129" t="s">
        <v>15</v>
      </c>
      <c r="I38" s="565"/>
      <c r="J38" s="118" t="s">
        <v>16</v>
      </c>
      <c r="K38" s="118" t="s">
        <v>17</v>
      </c>
      <c r="L38" s="119" t="s">
        <v>29</v>
      </c>
      <c r="M38" s="119" t="s">
        <v>30</v>
      </c>
      <c r="N38" s="88" t="s">
        <v>100</v>
      </c>
      <c r="O38" s="118" t="s">
        <v>31</v>
      </c>
      <c r="P38" s="1138" t="s">
        <v>215</v>
      </c>
      <c r="Q38" s="1140"/>
      <c r="R38" s="129" t="s">
        <v>33</v>
      </c>
      <c r="S38" s="568" t="s">
        <v>19</v>
      </c>
      <c r="T38" s="569" t="s">
        <v>101</v>
      </c>
      <c r="U38" s="570"/>
      <c r="V38" s="571" t="s">
        <v>21</v>
      </c>
      <c r="W38" s="876" t="s">
        <v>216</v>
      </c>
      <c r="X38" s="573"/>
      <c r="Y38" s="573"/>
      <c r="Z38" s="573"/>
      <c r="AA38" s="574"/>
      <c r="AB38" s="132" t="s">
        <v>74</v>
      </c>
      <c r="AC38" s="121" t="s">
        <v>23</v>
      </c>
      <c r="AD38" s="17"/>
      <c r="AF38"/>
      <c r="AG38"/>
    </row>
    <row r="39" spans="1:30" ht="15.75" thickTop="1">
      <c r="A39" s="5"/>
      <c r="B39" s="50"/>
      <c r="C39" s="10"/>
      <c r="D39" s="10"/>
      <c r="E39" s="10"/>
      <c r="F39" s="1133"/>
      <c r="G39" s="1134"/>
      <c r="H39" s="577"/>
      <c r="I39" s="577"/>
      <c r="J39" s="10"/>
      <c r="K39" s="10"/>
      <c r="L39" s="10"/>
      <c r="M39" s="10"/>
      <c r="N39" s="10"/>
      <c r="O39" s="578"/>
      <c r="P39" s="1133"/>
      <c r="Q39" s="1134"/>
      <c r="R39" s="586"/>
      <c r="S39" s="586"/>
      <c r="T39" s="586"/>
      <c r="U39" s="586"/>
      <c r="V39" s="586"/>
      <c r="W39" s="586"/>
      <c r="X39" s="586"/>
      <c r="Y39" s="586"/>
      <c r="Z39" s="586"/>
      <c r="AA39" s="587"/>
      <c r="AB39" s="578"/>
      <c r="AC39" s="588"/>
      <c r="AD39" s="17"/>
    </row>
    <row r="40" spans="1:30" ht="15">
      <c r="A40" s="5"/>
      <c r="B40" s="50"/>
      <c r="C40" s="823" t="s">
        <v>192</v>
      </c>
      <c r="D40" s="589"/>
      <c r="E40" s="590"/>
      <c r="F40" s="1144"/>
      <c r="G40" s="1145"/>
      <c r="H40" s="593">
        <f>F40*$F$23</f>
        <v>0</v>
      </c>
      <c r="I40" s="594"/>
      <c r="J40" s="378"/>
      <c r="K40" s="185"/>
      <c r="L40" s="292">
        <f>IF(D40="","",(K40-J40)*24)</f>
      </c>
      <c r="M40" s="14">
        <f>IF(D40="","",(K40-J40)*24*60)</f>
      </c>
      <c r="N40" s="13"/>
      <c r="O40" s="8">
        <f>IF(D40="","",IF(N40="P","--","NO"))</f>
      </c>
      <c r="P40" s="1157">
        <f>IF(D40="","","--")</f>
      </c>
      <c r="Q40" s="1158"/>
      <c r="R40" s="440">
        <f>IF(OR(N40="P",N40="RP"),20/10,20)</f>
        <v>20</v>
      </c>
      <c r="S40" s="599" t="str">
        <f>IF(N40="P",H40*R40*ROUND(M40/60,2),"--")</f>
        <v>--</v>
      </c>
      <c r="T40" s="600" t="str">
        <f>IF(AND(N40="F",O40="NO"),H40*R40,"--")</f>
        <v>--</v>
      </c>
      <c r="U40" s="601" t="str">
        <f>IF(N40="F",H40*R40*ROUND(M40/60,2),"--")</f>
        <v>--</v>
      </c>
      <c r="V40" s="374" t="str">
        <f>IF(N40="RF",H40*R40*ROUND(M40/60,2),"--")</f>
        <v>--</v>
      </c>
      <c r="W40" s="877" t="str">
        <f>IF(N40="RP",H40*R40*P40/100*ROUND(M40/60,2),"--")</f>
        <v>--</v>
      </c>
      <c r="X40" s="603"/>
      <c r="Y40" s="603"/>
      <c r="Z40" s="603"/>
      <c r="AA40" s="604"/>
      <c r="AB40" s="302">
        <f>IF(D40="","","SI")</f>
      </c>
      <c r="AC40" s="303">
        <f>IF(D40="","",SUM(S40:W40)*IF(AB40="SI",1,2)*IF(AND(P40&lt;&gt;"--",N40="RF"),P40/100,1))</f>
      </c>
      <c r="AD40" s="227"/>
    </row>
    <row r="41" spans="1:30" ht="15">
      <c r="A41" s="5"/>
      <c r="B41" s="50"/>
      <c r="C41" s="823" t="s">
        <v>193</v>
      </c>
      <c r="D41" s="589"/>
      <c r="E41" s="590"/>
      <c r="F41" s="1144"/>
      <c r="G41" s="1145"/>
      <c r="H41" s="593">
        <f>F41*$F$23</f>
        <v>0</v>
      </c>
      <c r="I41" s="594"/>
      <c r="J41" s="605"/>
      <c r="K41" s="595"/>
      <c r="L41" s="292">
        <f>IF(D41="","",(K41-J41)*24)</f>
      </c>
      <c r="M41" s="14">
        <f>IF(D41="","",(K41-J41)*24*60)</f>
      </c>
      <c r="N41" s="13"/>
      <c r="O41" s="8">
        <f>IF(D41="","",IF(N41="P","--","NO"))</f>
      </c>
      <c r="P41" s="1157">
        <f>IF(D41="","","--")</f>
      </c>
      <c r="Q41" s="1158"/>
      <c r="R41" s="440">
        <f>IF(OR(N41="P",N41="RP"),20/10,20)</f>
        <v>20</v>
      </c>
      <c r="S41" s="599" t="str">
        <f>IF(N41="P",H41*R41*ROUND(M41/60,2),"--")</f>
        <v>--</v>
      </c>
      <c r="T41" s="600" t="str">
        <f>IF(AND(N41="F",O41="NO"),H41*R41,"--")</f>
        <v>--</v>
      </c>
      <c r="U41" s="601" t="str">
        <f>IF(N41="F",H41*R41*ROUND(M41/60,2),"--")</f>
        <v>--</v>
      </c>
      <c r="V41" s="374" t="str">
        <f>IF(N41="RF",H41*R41*ROUND(M41/60,2),"--")</f>
        <v>--</v>
      </c>
      <c r="W41" s="877" t="str">
        <f>IF(N41="RP",H41*R41*P41/100*ROUND(M41/60,2),"--")</f>
        <v>--</v>
      </c>
      <c r="X41" s="603"/>
      <c r="Y41" s="603"/>
      <c r="Z41" s="603"/>
      <c r="AA41" s="604"/>
      <c r="AB41" s="302">
        <f>IF(D41="","","SI")</f>
      </c>
      <c r="AC41" s="303">
        <f>IF(D41="","",SUM(S41:W41)*IF(AB41="SI",1,2)*IF(AND(P41&lt;&gt;"--",N41="RF"),P41/100,1))</f>
      </c>
      <c r="AD41" s="227"/>
    </row>
    <row r="42" spans="1:30" ht="15">
      <c r="A42" s="5"/>
      <c r="B42" s="50"/>
      <c r="C42" s="823" t="s">
        <v>194</v>
      </c>
      <c r="D42" s="589"/>
      <c r="E42" s="590"/>
      <c r="F42" s="1144"/>
      <c r="G42" s="1145"/>
      <c r="H42" s="593">
        <f>F42*$F$23</f>
        <v>0</v>
      </c>
      <c r="I42" s="594"/>
      <c r="J42" s="605"/>
      <c r="K42" s="595"/>
      <c r="L42" s="292">
        <f>IF(D42="","",(K42-J42)*24)</f>
      </c>
      <c r="M42" s="14">
        <f>IF(D42="","",(K42-J42)*24*60)</f>
      </c>
      <c r="N42" s="13"/>
      <c r="O42" s="8">
        <f>IF(D42="","",IF(N42="P","--","NO"))</f>
      </c>
      <c r="P42" s="1157">
        <f>IF(D42="","","--")</f>
      </c>
      <c r="Q42" s="1158"/>
      <c r="R42" s="440">
        <f>IF(OR(N42="P",N42="RP"),20/10,20)</f>
        <v>20</v>
      </c>
      <c r="S42" s="599" t="str">
        <f>IF(N42="P",H42*R42*ROUND(M42/60,2),"--")</f>
        <v>--</v>
      </c>
      <c r="T42" s="600" t="str">
        <f>IF(AND(N42="F",O42="NO"),H42*R42,"--")</f>
        <v>--</v>
      </c>
      <c r="U42" s="601" t="str">
        <f>IF(N42="F",H42*R42*ROUND(M42/60,2),"--")</f>
        <v>--</v>
      </c>
      <c r="V42" s="374" t="str">
        <f>IF(N42="RF",H42*R42*ROUND(M42/60,2),"--")</f>
        <v>--</v>
      </c>
      <c r="W42" s="877" t="str">
        <f>IF(N42="RP",H42*R42*P42/100*ROUND(M42/60,2),"--")</f>
        <v>--</v>
      </c>
      <c r="X42" s="603"/>
      <c r="Y42" s="603"/>
      <c r="Z42" s="603"/>
      <c r="AA42" s="604"/>
      <c r="AB42" s="302">
        <f>IF(D42="","","SI")</f>
      </c>
      <c r="AC42" s="303">
        <f>IF(D42="","",SUM(S42:W42)*IF(AB42="SI",1,2)*IF(AND(P42&lt;&gt;"--",N42="RF"),P42/100,1))</f>
      </c>
      <c r="AD42" s="227"/>
    </row>
    <row r="43" spans="1:30" ht="15">
      <c r="A43" s="5"/>
      <c r="B43" s="50"/>
      <c r="C43" s="823" t="s">
        <v>195</v>
      </c>
      <c r="D43" s="589"/>
      <c r="E43" s="590"/>
      <c r="F43" s="1144"/>
      <c r="G43" s="1145"/>
      <c r="H43" s="593">
        <f>F43*$F$23</f>
        <v>0</v>
      </c>
      <c r="I43" s="594"/>
      <c r="J43" s="605"/>
      <c r="K43" s="595"/>
      <c r="L43" s="292">
        <f>IF(D43="","",(K43-J43)*24)</f>
      </c>
      <c r="M43" s="14">
        <f>IF(D43="","",(K43-J43)*24*60)</f>
      </c>
      <c r="N43" s="13"/>
      <c r="O43" s="8">
        <f>IF(D43="","",IF(N43="P","--","NO"))</f>
      </c>
      <c r="P43" s="1157">
        <f>IF(D43="","","--")</f>
      </c>
      <c r="Q43" s="1158"/>
      <c r="R43" s="440">
        <f>IF(OR(N43="P",N43="RP"),20/10,20)</f>
        <v>20</v>
      </c>
      <c r="S43" s="599" t="str">
        <f>IF(N43="P",H43*R43*ROUND(M43/60,2),"--")</f>
        <v>--</v>
      </c>
      <c r="T43" s="600" t="str">
        <f>IF(AND(N43="F",O43="NO"),H43*R43,"--")</f>
        <v>--</v>
      </c>
      <c r="U43" s="601" t="str">
        <f>IF(N43="F",H43*R43*ROUND(M43/60,2),"--")</f>
        <v>--</v>
      </c>
      <c r="V43" s="374" t="str">
        <f>IF(N43="RF",H43*R43*ROUND(M43/60,2),"--")</f>
        <v>--</v>
      </c>
      <c r="W43" s="877" t="str">
        <f>IF(N43="RP",H43*R43*P43/100*ROUND(M43/60,2),"--")</f>
        <v>--</v>
      </c>
      <c r="X43" s="603"/>
      <c r="Y43" s="603"/>
      <c r="Z43" s="603"/>
      <c r="AA43" s="604"/>
      <c r="AB43" s="302">
        <f>IF(D43="","","SI")</f>
      </c>
      <c r="AC43" s="303">
        <f>IF(D43="","",SUM(S43:W43)*IF(AB43="SI",1,2)*IF(AND(P43&lt;&gt;"--",N43="RF"),P43/100,1))</f>
      </c>
      <c r="AD43" s="227"/>
    </row>
    <row r="44" spans="1:30" ht="16.5" thickBot="1">
      <c r="A44" s="32"/>
      <c r="B44" s="50"/>
      <c r="C44" s="606"/>
      <c r="D44" s="607"/>
      <c r="E44" s="608"/>
      <c r="F44" s="1142"/>
      <c r="G44" s="1143"/>
      <c r="H44" s="612"/>
      <c r="I44" s="612"/>
      <c r="J44" s="613"/>
      <c r="K44" s="614"/>
      <c r="L44" s="615"/>
      <c r="M44" s="616"/>
      <c r="N44" s="617"/>
      <c r="O44" s="9"/>
      <c r="P44" s="1124"/>
      <c r="Q44" s="1125"/>
      <c r="R44" s="626"/>
      <c r="S44" s="626"/>
      <c r="T44" s="626"/>
      <c r="U44" s="626"/>
      <c r="V44" s="626"/>
      <c r="W44" s="626"/>
      <c r="X44" s="626"/>
      <c r="Y44" s="626"/>
      <c r="Z44" s="626"/>
      <c r="AA44" s="627"/>
      <c r="AB44" s="628"/>
      <c r="AC44" s="629"/>
      <c r="AD44" s="227"/>
    </row>
    <row r="45" spans="1:30" ht="17.25" thickBot="1" thickTop="1">
      <c r="A45" s="32"/>
      <c r="B45" s="50"/>
      <c r="C45" s="98"/>
      <c r="D45" s="201"/>
      <c r="E45" s="201"/>
      <c r="F45" s="405"/>
      <c r="G45" s="630"/>
      <c r="H45" s="631"/>
      <c r="I45" s="632"/>
      <c r="J45" s="633"/>
      <c r="K45" s="634"/>
      <c r="L45" s="635"/>
      <c r="M45" s="631"/>
      <c r="N45" s="636"/>
      <c r="O45" s="190"/>
      <c r="P45" s="637"/>
      <c r="Q45" s="882"/>
      <c r="R45" s="874"/>
      <c r="S45" s="874"/>
      <c r="T45" s="874"/>
      <c r="U45" s="875"/>
      <c r="V45" s="875"/>
      <c r="W45" s="875"/>
      <c r="X45" s="875"/>
      <c r="Y45" s="875"/>
      <c r="Z45" s="875"/>
      <c r="AA45" s="875"/>
      <c r="AB45" s="875"/>
      <c r="AC45" s="640">
        <f>SUM(AC39:AC44)</f>
        <v>0</v>
      </c>
      <c r="AD45" s="227"/>
    </row>
    <row r="46" spans="1:30" ht="17.25" thickBot="1" thickTop="1">
      <c r="A46" s="32"/>
      <c r="B46" s="50"/>
      <c r="C46" s="98"/>
      <c r="D46" s="4"/>
      <c r="E46" s="98"/>
      <c r="F46" s="4"/>
      <c r="G46" s="98"/>
      <c r="H46" s="4"/>
      <c r="I46" s="98"/>
      <c r="J46" s="4"/>
      <c r="K46" s="98"/>
      <c r="L46" s="4"/>
      <c r="M46" s="98"/>
      <c r="N46" s="4"/>
      <c r="O46" s="98"/>
      <c r="P46" s="4"/>
      <c r="Q46" s="98"/>
      <c r="R46" s="4"/>
      <c r="S46" s="98"/>
      <c r="T46" s="4"/>
      <c r="U46" s="98"/>
      <c r="V46" s="4"/>
      <c r="W46" s="98"/>
      <c r="X46" s="4"/>
      <c r="Y46" s="98"/>
      <c r="Z46" s="4"/>
      <c r="AA46" s="98"/>
      <c r="AB46" s="4"/>
      <c r="AC46" s="98"/>
      <c r="AD46" s="227"/>
    </row>
    <row r="47" spans="1:33" s="5" customFormat="1" ht="31.5" customHeight="1" thickBot="1" thickTop="1">
      <c r="A47" s="90"/>
      <c r="B47" s="95"/>
      <c r="C47" s="123" t="s">
        <v>12</v>
      </c>
      <c r="D47" s="119" t="s">
        <v>26</v>
      </c>
      <c r="E47" s="85" t="s">
        <v>27</v>
      </c>
      <c r="F47" s="1116" t="s">
        <v>224</v>
      </c>
      <c r="G47" s="1117"/>
      <c r="H47" s="129" t="s">
        <v>15</v>
      </c>
      <c r="I47" s="903"/>
      <c r="J47" s="85" t="s">
        <v>16</v>
      </c>
      <c r="K47" s="85" t="s">
        <v>17</v>
      </c>
      <c r="L47" s="86" t="s">
        <v>35</v>
      </c>
      <c r="M47" s="86" t="s">
        <v>30</v>
      </c>
      <c r="N47" s="88" t="s">
        <v>18</v>
      </c>
      <c r="O47" s="88" t="s">
        <v>57</v>
      </c>
      <c r="P47" s="1128" t="s">
        <v>31</v>
      </c>
      <c r="Q47" s="1129"/>
      <c r="R47" s="938" t="s">
        <v>36</v>
      </c>
      <c r="S47" s="407" t="s">
        <v>70</v>
      </c>
      <c r="T47" s="408" t="s">
        <v>220</v>
      </c>
      <c r="U47" s="409"/>
      <c r="V47" s="256" t="s">
        <v>221</v>
      </c>
      <c r="W47" s="257"/>
      <c r="X47" s="410" t="s">
        <v>21</v>
      </c>
      <c r="Y47" s="255" t="s">
        <v>20</v>
      </c>
      <c r="Z47" s="903"/>
      <c r="AA47" s="903"/>
      <c r="AB47" s="132" t="s">
        <v>74</v>
      </c>
      <c r="AC47" s="411" t="s">
        <v>23</v>
      </c>
      <c r="AD47" s="17"/>
      <c r="AF47"/>
      <c r="AG47"/>
    </row>
    <row r="48" spans="1:30" ht="15.75" thickTop="1">
      <c r="A48" s="5"/>
      <c r="B48" s="50"/>
      <c r="C48" s="10"/>
      <c r="D48" s="10"/>
      <c r="E48" s="10"/>
      <c r="F48" s="1133"/>
      <c r="G48" s="1134"/>
      <c r="H48" s="577"/>
      <c r="I48" s="577"/>
      <c r="J48" s="10"/>
      <c r="K48" s="10"/>
      <c r="L48" s="10"/>
      <c r="M48" s="10"/>
      <c r="N48" s="1032"/>
      <c r="O48" s="1029"/>
      <c r="P48" s="1028"/>
      <c r="Q48" s="1029"/>
      <c r="R48" s="586"/>
      <c r="S48" s="586"/>
      <c r="T48" s="586"/>
      <c r="U48" s="586"/>
      <c r="V48" s="586"/>
      <c r="W48" s="586"/>
      <c r="X48" s="586"/>
      <c r="Y48" s="586"/>
      <c r="Z48" s="586"/>
      <c r="AA48" s="587"/>
      <c r="AB48" s="302">
        <f>IF(D48="","","SI")</f>
      </c>
      <c r="AC48" s="588"/>
      <c r="AD48" s="17"/>
    </row>
    <row r="49" spans="1:30" ht="15">
      <c r="A49" s="5"/>
      <c r="B49" s="50"/>
      <c r="C49" s="823" t="s">
        <v>192</v>
      </c>
      <c r="D49" s="438" t="s">
        <v>350</v>
      </c>
      <c r="E49" s="376" t="s">
        <v>351</v>
      </c>
      <c r="F49" s="1159">
        <v>80</v>
      </c>
      <c r="G49" s="1160"/>
      <c r="H49" s="291">
        <f>F49*$F$21</f>
        <v>44.800000000000004</v>
      </c>
      <c r="I49" s="903"/>
      <c r="J49" s="378">
        <v>40589.32361111111</v>
      </c>
      <c r="K49" s="185">
        <v>40589.55625</v>
      </c>
      <c r="L49" s="379">
        <f>IF(D49="","",(K49-J49)*24)</f>
        <v>5.583333333372138</v>
      </c>
      <c r="M49" s="380">
        <f>IF(D49="","",ROUND((K49-J49)*24*60,0))</f>
        <v>335</v>
      </c>
      <c r="N49" s="220" t="s">
        <v>286</v>
      </c>
      <c r="O49" s="516" t="str">
        <f>IF(D49="","","--")</f>
        <v>--</v>
      </c>
      <c r="P49" s="1130" t="str">
        <f>IF(D49="","",IF(OR(N49="P",N49="RP"),"--","NO"))</f>
        <v>--</v>
      </c>
      <c r="Q49" s="1131"/>
      <c r="R49" s="899">
        <f>IF(OR(N49="P",N49="RP"),200/10,200)</f>
        <v>20</v>
      </c>
      <c r="S49" s="900">
        <f>IF(N49="P",H49*R49*ROUND(M49/60,2),"--")</f>
        <v>4999.68</v>
      </c>
      <c r="T49" s="434" t="str">
        <f>IF(AND(N49="F",P49="NO"),H49*R49,"--")</f>
        <v>--</v>
      </c>
      <c r="U49" s="435" t="str">
        <f>IF(N49="F",H49*R49*ROUND(M49/60,2),"--")</f>
        <v>--</v>
      </c>
      <c r="V49" s="298" t="str">
        <f>IF(AND(N49="R",P49="NO"),H49*R49*O49/100,"--")</f>
        <v>--</v>
      </c>
      <c r="W49" s="299" t="str">
        <f>IF(N49="R",H49*R49*O49/100*ROUND(M49/60,2),"--")</f>
        <v>--</v>
      </c>
      <c r="X49" s="436" t="str">
        <f>IF(N49="RF",H49*R49*ROUND(M49/60,2),"--")</f>
        <v>--</v>
      </c>
      <c r="Y49" s="896" t="str">
        <f>IF(N49="RP",H49*R49*O49/100*ROUND(M49/60,2),"--")</f>
        <v>--</v>
      </c>
      <c r="Z49" s="903"/>
      <c r="AA49" s="903"/>
      <c r="AB49" s="221" t="str">
        <f>IF(D49="","","SI")</f>
        <v>SI</v>
      </c>
      <c r="AC49" s="381">
        <f>IF(D49="","",SUM(S49:Y49)*IF(AB49="SI",1,2)*IF(AND(O49&lt;&gt;"--",N49="RF"),O49/100,1))</f>
        <v>4999.68</v>
      </c>
      <c r="AD49" s="227"/>
    </row>
    <row r="50" spans="2:30" s="32" customFormat="1" ht="16.5" customHeight="1">
      <c r="B50" s="464"/>
      <c r="C50" s="823" t="s">
        <v>193</v>
      </c>
      <c r="D50" s="438" t="s">
        <v>350</v>
      </c>
      <c r="E50" s="376" t="s">
        <v>351</v>
      </c>
      <c r="F50" s="1159">
        <v>80</v>
      </c>
      <c r="G50" s="1160"/>
      <c r="H50" s="291">
        <f>F50*$F$21</f>
        <v>44.800000000000004</v>
      </c>
      <c r="I50" s="903"/>
      <c r="J50" s="378">
        <v>40590.319444444445</v>
      </c>
      <c r="K50" s="185">
        <v>40590.58888888889</v>
      </c>
      <c r="L50" s="379">
        <f>IF(D50="","",(K50-J50)*24)</f>
        <v>6.46666666661622</v>
      </c>
      <c r="M50" s="380">
        <f>IF(D50="","",ROUND((K50-J50)*24*60,0))</f>
        <v>388</v>
      </c>
      <c r="N50" s="220" t="s">
        <v>286</v>
      </c>
      <c r="O50" s="516" t="str">
        <f>IF(D50="","","--")</f>
        <v>--</v>
      </c>
      <c r="P50" s="1130" t="str">
        <f>IF(D50="","",IF(OR(N50="P",N50="RP"),"--","NO"))</f>
        <v>--</v>
      </c>
      <c r="Q50" s="1131"/>
      <c r="R50" s="899">
        <f>IF(OR(N50="P",N50="RP"),200/10,200)</f>
        <v>20</v>
      </c>
      <c r="S50" s="900">
        <f>IF(N50="P",H50*R50*ROUND(M50/60,2),"--")</f>
        <v>5797.120000000001</v>
      </c>
      <c r="T50" s="434" t="str">
        <f>IF(AND(N50="F",P50="NO"),H50*R50,"--")</f>
        <v>--</v>
      </c>
      <c r="U50" s="435" t="str">
        <f>IF(N50="F",H50*R50*ROUND(M50/60,2),"--")</f>
        <v>--</v>
      </c>
      <c r="V50" s="298" t="str">
        <f>IF(AND(N50="R",P50="NO"),H50*R50*O50/100,"--")</f>
        <v>--</v>
      </c>
      <c r="W50" s="299" t="str">
        <f>IF(N50="R",H50*R50*O50/100*ROUND(M50/60,2),"--")</f>
        <v>--</v>
      </c>
      <c r="X50" s="436" t="str">
        <f>IF(N50="RF",H50*R50*ROUND(M50/60,2),"--")</f>
        <v>--</v>
      </c>
      <c r="Y50" s="896" t="str">
        <f>IF(N50="RP",H50*R50*O50/100*ROUND(M50/60,2),"--")</f>
        <v>--</v>
      </c>
      <c r="Z50" s="903"/>
      <c r="AA50" s="903"/>
      <c r="AB50" s="221" t="str">
        <f>IF(D50="","","SI")</f>
        <v>SI</v>
      </c>
      <c r="AC50" s="381">
        <f>IF(D50="","",SUM(S50:Y50)*IF(AB50="SI",1,2)*IF(AND(O50&lt;&gt;"--",N50="RF"),O50/100,1))</f>
        <v>5797.120000000001</v>
      </c>
      <c r="AD50" s="652"/>
    </row>
    <row r="51" spans="1:30" ht="15">
      <c r="A51" s="5"/>
      <c r="B51" s="50"/>
      <c r="C51" s="823" t="s">
        <v>194</v>
      </c>
      <c r="D51" s="438" t="s">
        <v>350</v>
      </c>
      <c r="E51" s="376" t="s">
        <v>351</v>
      </c>
      <c r="F51" s="1159">
        <v>80</v>
      </c>
      <c r="G51" s="1160"/>
      <c r="H51" s="291">
        <f>F51*$F$21</f>
        <v>44.800000000000004</v>
      </c>
      <c r="I51" s="903"/>
      <c r="J51" s="378">
        <v>40591.30972222222</v>
      </c>
      <c r="K51" s="185">
        <v>40591.57777777778</v>
      </c>
      <c r="L51" s="379">
        <f>IF(D51="","",(K51-J51)*24)</f>
        <v>6.433333333348855</v>
      </c>
      <c r="M51" s="380">
        <f>IF(D51="","",ROUND((K51-J51)*24*60,0))</f>
        <v>386</v>
      </c>
      <c r="N51" s="220" t="s">
        <v>286</v>
      </c>
      <c r="O51" s="516" t="str">
        <f>IF(D51="","","--")</f>
        <v>--</v>
      </c>
      <c r="P51" s="1130" t="str">
        <f>IF(D51="","",IF(OR(N51="P",N51="RP"),"--","NO"))</f>
        <v>--</v>
      </c>
      <c r="Q51" s="1131"/>
      <c r="R51" s="899">
        <f>IF(OR(N51="P",N51="RP"),200/10,200)</f>
        <v>20</v>
      </c>
      <c r="S51" s="900">
        <f>IF(N51="P",H51*R51*ROUND(M51/60,2),"--")</f>
        <v>5761.280000000001</v>
      </c>
      <c r="T51" s="434" t="str">
        <f>IF(AND(N51="F",P51="NO"),H51*R51,"--")</f>
        <v>--</v>
      </c>
      <c r="U51" s="435" t="str">
        <f>IF(N51="F",H51*R51*ROUND(M51/60,2),"--")</f>
        <v>--</v>
      </c>
      <c r="V51" s="298" t="str">
        <f>IF(AND(N51="R",P51="NO"),H51*R51*O51/100,"--")</f>
        <v>--</v>
      </c>
      <c r="W51" s="299" t="str">
        <f>IF(N51="R",H51*R51*O51/100*ROUND(M51/60,2),"--")</f>
        <v>--</v>
      </c>
      <c r="X51" s="436" t="str">
        <f>IF(N51="RF",H51*R51*ROUND(M51/60,2),"--")</f>
        <v>--</v>
      </c>
      <c r="Y51" s="896" t="str">
        <f>IF(N51="RP",H51*R51*O51/100*ROUND(M51/60,2),"--")</f>
        <v>--</v>
      </c>
      <c r="Z51" s="903"/>
      <c r="AA51" s="903"/>
      <c r="AB51" s="221" t="str">
        <f>IF(D51="","","SI")</f>
        <v>SI</v>
      </c>
      <c r="AC51" s="381">
        <f>IF(D51="","",SUM(S51:Y51)*IF(AB51="SI",1,2)*IF(AND(O51&lt;&gt;"--",N51="RF"),O51/100,1))</f>
        <v>5761.280000000001</v>
      </c>
      <c r="AD51" s="227"/>
    </row>
    <row r="52" spans="1:30" ht="15">
      <c r="A52" s="5"/>
      <c r="B52" s="50"/>
      <c r="C52" s="823" t="s">
        <v>195</v>
      </c>
      <c r="D52" s="438" t="s">
        <v>350</v>
      </c>
      <c r="E52" s="376" t="s">
        <v>351</v>
      </c>
      <c r="F52" s="1159">
        <v>80</v>
      </c>
      <c r="G52" s="1160"/>
      <c r="H52" s="291">
        <f>F52*$F$21</f>
        <v>44.800000000000004</v>
      </c>
      <c r="I52" s="903"/>
      <c r="J52" s="378">
        <v>40592.33125</v>
      </c>
      <c r="K52" s="185">
        <v>40592.53333333333</v>
      </c>
      <c r="L52" s="379">
        <f>IF(D52="","",(K52-J52)*24)</f>
        <v>4.849999999918509</v>
      </c>
      <c r="M52" s="380">
        <f>IF(D52="","",ROUND((K52-J52)*24*60,0))</f>
        <v>291</v>
      </c>
      <c r="N52" s="220" t="s">
        <v>286</v>
      </c>
      <c r="O52" s="516" t="str">
        <f>IF(D52="","","--")</f>
        <v>--</v>
      </c>
      <c r="P52" s="1130" t="str">
        <f>IF(D52="","",IF(OR(N52="P",N52="RP"),"--","NO"))</f>
        <v>--</v>
      </c>
      <c r="Q52" s="1131"/>
      <c r="R52" s="899">
        <f>IF(OR(N52="P",N52="RP"),200/10,200)</f>
        <v>20</v>
      </c>
      <c r="S52" s="900">
        <f>IF(N52="P",H52*R52*ROUND(M52/60,2),"--")</f>
        <v>4345.6</v>
      </c>
      <c r="T52" s="434" t="str">
        <f>IF(AND(N52="F",P52="NO"),H52*R52,"--")</f>
        <v>--</v>
      </c>
      <c r="U52" s="435" t="str">
        <f>IF(N52="F",H52*R52*ROUND(M52/60,2),"--")</f>
        <v>--</v>
      </c>
      <c r="V52" s="298" t="str">
        <f>IF(AND(N52="R",P52="NO"),H52*R52*O52/100,"--")</f>
        <v>--</v>
      </c>
      <c r="W52" s="299" t="str">
        <f>IF(N52="R",H52*R52*O52/100*ROUND(M52/60,2),"--")</f>
        <v>--</v>
      </c>
      <c r="X52" s="436" t="str">
        <f>IF(N52="RF",H52*R52*ROUND(M52/60,2),"--")</f>
        <v>--</v>
      </c>
      <c r="Y52" s="896" t="str">
        <f>IF(N52="RP",H52*R52*O52/100*ROUND(M52/60,2),"--")</f>
        <v>--</v>
      </c>
      <c r="Z52" s="903"/>
      <c r="AA52" s="903"/>
      <c r="AB52" s="221" t="str">
        <f>IF(D52="","","SI")</f>
        <v>SI</v>
      </c>
      <c r="AC52" s="381">
        <f>IF(D52="","",SUM(S52:Y52)*IF(AB52="SI",1,2)*IF(AND(O52&lt;&gt;"--",N52="RF"),O52/100,1))</f>
        <v>4345.6</v>
      </c>
      <c r="AD52" s="227"/>
    </row>
    <row r="53" spans="1:30" ht="16.5" thickBot="1">
      <c r="A53" s="32"/>
      <c r="B53" s="50"/>
      <c r="C53" s="606"/>
      <c r="D53" s="607"/>
      <c r="E53" s="608"/>
      <c r="F53" s="1142"/>
      <c r="G53" s="1143"/>
      <c r="H53" s="612"/>
      <c r="I53" s="612"/>
      <c r="J53" s="613"/>
      <c r="K53" s="614"/>
      <c r="L53" s="615"/>
      <c r="M53" s="616"/>
      <c r="N53" s="1033"/>
      <c r="O53" s="1033"/>
      <c r="P53" s="1030"/>
      <c r="Q53" s="1031"/>
      <c r="R53" s="626"/>
      <c r="S53" s="626"/>
      <c r="T53" s="626"/>
      <c r="U53" s="626"/>
      <c r="V53" s="626"/>
      <c r="W53" s="626"/>
      <c r="X53" s="626"/>
      <c r="Y53" s="626"/>
      <c r="Z53" s="626"/>
      <c r="AA53" s="627"/>
      <c r="AB53" s="628"/>
      <c r="AC53" s="629"/>
      <c r="AD53" s="227"/>
    </row>
    <row r="54" spans="1:30" ht="17.25" thickBot="1" thickTop="1">
      <c r="A54" s="32"/>
      <c r="B54" s="50"/>
      <c r="C54" s="98"/>
      <c r="D54" s="201"/>
      <c r="E54" s="201"/>
      <c r="F54" s="405"/>
      <c r="G54" s="630"/>
      <c r="H54" s="631"/>
      <c r="I54" s="632"/>
      <c r="J54" s="633"/>
      <c r="K54" s="634"/>
      <c r="L54" s="635"/>
      <c r="M54" s="631"/>
      <c r="N54" s="636"/>
      <c r="O54" s="190"/>
      <c r="P54" s="637"/>
      <c r="Q54" s="638"/>
      <c r="R54" s="874"/>
      <c r="S54" s="874"/>
      <c r="T54" s="874"/>
      <c r="U54" s="875"/>
      <c r="V54" s="875"/>
      <c r="W54" s="875"/>
      <c r="X54" s="875"/>
      <c r="Y54" s="875"/>
      <c r="Z54" s="875"/>
      <c r="AA54" s="875"/>
      <c r="AB54" s="191"/>
      <c r="AC54" s="640">
        <f>SUM(AC48:AC53)</f>
        <v>20903.68</v>
      </c>
      <c r="AD54" s="227"/>
    </row>
    <row r="55" spans="1:30" ht="20.25" thickBot="1" thickTop="1">
      <c r="A55" s="32"/>
      <c r="B55" s="50"/>
      <c r="C55" s="98"/>
      <c r="D55" s="201"/>
      <c r="E55" s="201"/>
      <c r="F55" s="405"/>
      <c r="G55" s="630"/>
      <c r="H55" s="631"/>
      <c r="I55" s="632"/>
      <c r="J55" s="1035" t="s">
        <v>41</v>
      </c>
      <c r="K55" s="1034">
        <f>AC36+AC45+AC54</f>
        <v>20903.68</v>
      </c>
      <c r="L55" s="635"/>
      <c r="M55" s="631"/>
      <c r="N55" s="641"/>
      <c r="O55" s="642"/>
      <c r="P55" s="637"/>
      <c r="Q55" s="638"/>
      <c r="R55" s="639"/>
      <c r="S55" s="639"/>
      <c r="T55" s="639"/>
      <c r="U55" s="191"/>
      <c r="V55" s="191"/>
      <c r="W55" s="191"/>
      <c r="X55" s="191"/>
      <c r="Y55" s="191"/>
      <c r="Z55" s="191"/>
      <c r="AA55" s="191"/>
      <c r="AB55" s="191"/>
      <c r="AC55" s="643"/>
      <c r="AD55" s="227"/>
    </row>
    <row r="56" spans="1:30" ht="13.5" customHeight="1" thickTop="1">
      <c r="A56" s="32"/>
      <c r="B56" s="464"/>
      <c r="C56" s="467"/>
      <c r="D56" s="644"/>
      <c r="E56" s="645"/>
      <c r="F56" s="646"/>
      <c r="G56" s="647"/>
      <c r="H56" s="647"/>
      <c r="I56" s="645"/>
      <c r="J56" s="455"/>
      <c r="K56" s="455"/>
      <c r="L56" s="645"/>
      <c r="M56" s="645"/>
      <c r="N56" s="645"/>
      <c r="O56" s="648"/>
      <c r="P56" s="645"/>
      <c r="Q56" s="645"/>
      <c r="R56" s="649"/>
      <c r="S56" s="650"/>
      <c r="T56" s="650"/>
      <c r="U56" s="651"/>
      <c r="AC56" s="651"/>
      <c r="AD56" s="652"/>
    </row>
    <row r="57" spans="1:30" ht="16.5" customHeight="1">
      <c r="A57" s="32"/>
      <c r="B57" s="464"/>
      <c r="C57" s="653" t="s">
        <v>102</v>
      </c>
      <c r="D57" s="654" t="s">
        <v>132</v>
      </c>
      <c r="E57" s="645"/>
      <c r="F57" s="646"/>
      <c r="G57" s="647"/>
      <c r="H57" s="647"/>
      <c r="I57" s="645"/>
      <c r="J57" s="455"/>
      <c r="K57" s="455"/>
      <c r="L57" s="645"/>
      <c r="M57" s="645"/>
      <c r="N57" s="645"/>
      <c r="O57" s="648"/>
      <c r="P57" s="645"/>
      <c r="Q57" s="645"/>
      <c r="R57" s="649"/>
      <c r="S57" s="650"/>
      <c r="T57" s="650"/>
      <c r="U57" s="651"/>
      <c r="AC57" s="651"/>
      <c r="AD57" s="652"/>
    </row>
    <row r="58" spans="1:30" ht="16.5" customHeight="1">
      <c r="A58" s="32"/>
      <c r="B58" s="464"/>
      <c r="C58" s="653"/>
      <c r="D58" s="644"/>
      <c r="E58" s="645"/>
      <c r="F58" s="646"/>
      <c r="G58" s="647"/>
      <c r="H58" s="647"/>
      <c r="I58" s="645"/>
      <c r="J58" s="455"/>
      <c r="K58" s="455"/>
      <c r="L58" s="645"/>
      <c r="M58" s="645"/>
      <c r="N58" s="645"/>
      <c r="O58" s="648"/>
      <c r="P58" s="645"/>
      <c r="Q58" s="645"/>
      <c r="R58" s="645"/>
      <c r="S58" s="649"/>
      <c r="T58" s="650"/>
      <c r="AD58" s="652"/>
    </row>
    <row r="59" spans="2:30" s="32" customFormat="1" ht="16.5" customHeight="1">
      <c r="B59" s="464"/>
      <c r="C59" s="467"/>
      <c r="D59" s="655" t="s">
        <v>0</v>
      </c>
      <c r="E59" s="550" t="s">
        <v>103</v>
      </c>
      <c r="F59" s="550" t="s">
        <v>42</v>
      </c>
      <c r="G59" s="656" t="s">
        <v>133</v>
      </c>
      <c r="H59" s="551"/>
      <c r="I59" s="550"/>
      <c r="J59"/>
      <c r="K59" s="657" t="s">
        <v>134</v>
      </c>
      <c r="L59"/>
      <c r="M59"/>
      <c r="O59" s="657" t="s">
        <v>135</v>
      </c>
      <c r="P59" s="658"/>
      <c r="Q59" s="659"/>
      <c r="R59" s="660"/>
      <c r="S59" s="33"/>
      <c r="T59"/>
      <c r="U59"/>
      <c r="V59"/>
      <c r="W59"/>
      <c r="X59" s="33"/>
      <c r="Y59" s="33"/>
      <c r="Z59" s="33"/>
      <c r="AA59" s="33"/>
      <c r="AB59" s="33"/>
      <c r="AC59" s="661" t="s">
        <v>136</v>
      </c>
      <c r="AD59" s="652"/>
    </row>
    <row r="60" spans="2:30" s="32" customFormat="1" ht="16.5" customHeight="1">
      <c r="B60" s="464"/>
      <c r="C60" s="467"/>
      <c r="D60" s="550" t="s">
        <v>104</v>
      </c>
      <c r="E60" s="662">
        <v>267</v>
      </c>
      <c r="F60" s="663">
        <v>500</v>
      </c>
      <c r="G60" s="664">
        <f>E60*$F$20*$L$21/100</f>
        <v>367103.29824000003</v>
      </c>
      <c r="H60" s="664">
        <f>F60*$F$20*$L$21/100</f>
        <v>687459.36</v>
      </c>
      <c r="I60" s="664">
        <f>G60*$F$20*$L$21/100</f>
        <v>504737196.9239191</v>
      </c>
      <c r="J60" s="169"/>
      <c r="K60" s="665">
        <v>1642036</v>
      </c>
      <c r="L60" s="169"/>
      <c r="M60" s="666" t="str">
        <f>"(DTE "&amp;DATO!$G$14&amp;DATO!$H$14&amp;")"</f>
        <v>(DTE 0211)</v>
      </c>
      <c r="R60" s="660"/>
      <c r="S60" s="33"/>
      <c r="T60"/>
      <c r="U60"/>
      <c r="V60"/>
      <c r="W60"/>
      <c r="X60" s="33"/>
      <c r="Y60" s="33"/>
      <c r="Z60" s="33"/>
      <c r="AA60" s="33"/>
      <c r="AB60" s="667"/>
      <c r="AC60" s="476">
        <f>K60+G60</f>
        <v>2009139.29824</v>
      </c>
      <c r="AD60" s="652"/>
    </row>
    <row r="61" spans="2:30" s="32" customFormat="1" ht="16.5" customHeight="1">
      <c r="B61" s="464"/>
      <c r="C61" s="467"/>
      <c r="D61" s="550" t="s">
        <v>105</v>
      </c>
      <c r="E61" s="662">
        <f>3*3.6</f>
        <v>10.8</v>
      </c>
      <c r="F61" s="663">
        <v>500</v>
      </c>
      <c r="G61" s="664">
        <f>E61*$F$20*$L$21/100</f>
        <v>14849.122176</v>
      </c>
      <c r="H61" s="668"/>
      <c r="I61" s="669"/>
      <c r="J61" s="169"/>
      <c r="K61" s="664">
        <v>63779</v>
      </c>
      <c r="L61" s="169"/>
      <c r="M61" s="666" t="str">
        <f>"(DTE "&amp;DATO!$G$14&amp;DATO!$H$14&amp;")"</f>
        <v>(DTE 0211)</v>
      </c>
      <c r="O61" s="670"/>
      <c r="P61"/>
      <c r="Q61" s="660"/>
      <c r="R61" s="660"/>
      <c r="S61" s="33"/>
      <c r="T61"/>
      <c r="U61"/>
      <c r="V61"/>
      <c r="W61"/>
      <c r="X61" s="33"/>
      <c r="Y61" s="33"/>
      <c r="Z61" s="33"/>
      <c r="AA61" s="33"/>
      <c r="AB61" s="33"/>
      <c r="AC61" s="476">
        <f>K61+G61</f>
        <v>78628.122176</v>
      </c>
      <c r="AD61" s="652"/>
    </row>
    <row r="62" spans="2:30" s="32" customFormat="1" ht="16.5" customHeight="1">
      <c r="B62" s="464"/>
      <c r="C62" s="467"/>
      <c r="E62" s="472"/>
      <c r="F62" s="550"/>
      <c r="G62" s="551"/>
      <c r="H62"/>
      <c r="I62" s="550"/>
      <c r="J62" s="550"/>
      <c r="K62"/>
      <c r="L62" s="476"/>
      <c r="M62" s="659"/>
      <c r="N62" s="659"/>
      <c r="O62" s="665">
        <v>0</v>
      </c>
      <c r="P62" s="169"/>
      <c r="Q62" s="666" t="str">
        <f>"(DTE "&amp;DATO!$G$14&amp;DATO!$H$14&amp;")"</f>
        <v>(DTE 0211)</v>
      </c>
      <c r="R62" s="660"/>
      <c r="S62" s="33"/>
      <c r="T62"/>
      <c r="U62"/>
      <c r="V62"/>
      <c r="W62"/>
      <c r="X62" s="33"/>
      <c r="Y62" s="33"/>
      <c r="Z62" s="33"/>
      <c r="AA62" s="33"/>
      <c r="AB62" s="33"/>
      <c r="AC62" s="476">
        <f>+O62</f>
        <v>0</v>
      </c>
      <c r="AD62" s="652"/>
    </row>
    <row r="63" spans="2:30" s="32" customFormat="1" ht="16.5" customHeight="1">
      <c r="B63" s="464"/>
      <c r="C63" s="467"/>
      <c r="E63" s="472"/>
      <c r="F63" s="550"/>
      <c r="G63" s="551"/>
      <c r="H63"/>
      <c r="I63" s="550"/>
      <c r="J63" s="550"/>
      <c r="K63"/>
      <c r="L63" s="476"/>
      <c r="M63" s="659"/>
      <c r="N63" s="659"/>
      <c r="O63" s="665"/>
      <c r="P63" s="169"/>
      <c r="Q63" s="666"/>
      <c r="R63" s="660"/>
      <c r="S63" s="33"/>
      <c r="T63"/>
      <c r="U63"/>
      <c r="V63"/>
      <c r="W63"/>
      <c r="X63" s="33"/>
      <c r="Y63" s="33"/>
      <c r="Z63" s="33"/>
      <c r="AA63" s="33"/>
      <c r="AB63" s="33"/>
      <c r="AC63" s="476"/>
      <c r="AD63" s="652"/>
    </row>
    <row r="64" spans="2:30" s="32" customFormat="1" ht="16.5" customHeight="1">
      <c r="B64" s="464"/>
      <c r="C64" s="467"/>
      <c r="D64" s="655" t="s">
        <v>60</v>
      </c>
      <c r="E64" s="669" t="s">
        <v>365</v>
      </c>
      <c r="F64" s="669"/>
      <c r="G64" s="550" t="s">
        <v>42</v>
      </c>
      <c r="H64"/>
      <c r="I64" s="658"/>
      <c r="J64" s="656" t="s">
        <v>367</v>
      </c>
      <c r="K64"/>
      <c r="L64" s="476"/>
      <c r="M64" s="659"/>
      <c r="N64" s="659"/>
      <c r="O64" s="665"/>
      <c r="P64" s="169"/>
      <c r="Q64" s="666"/>
      <c r="R64" s="660"/>
      <c r="S64" s="33"/>
      <c r="T64"/>
      <c r="U64"/>
      <c r="V64"/>
      <c r="W64"/>
      <c r="X64" s="33"/>
      <c r="Y64" s="33"/>
      <c r="Z64" s="33"/>
      <c r="AA64" s="33"/>
      <c r="AB64" s="33"/>
      <c r="AC64" s="476"/>
      <c r="AD64" s="652"/>
    </row>
    <row r="65" spans="2:30" s="32" customFormat="1" ht="16.5" customHeight="1">
      <c r="B65" s="464"/>
      <c r="C65" s="467"/>
      <c r="D65" s="32" t="s">
        <v>412</v>
      </c>
      <c r="E65" s="472" t="s">
        <v>414</v>
      </c>
      <c r="F65" s="550"/>
      <c r="G65" s="663">
        <v>500</v>
      </c>
      <c r="H65"/>
      <c r="I65" s="550"/>
      <c r="J65" s="1114">
        <f>+F22*L21</f>
        <v>74985.12</v>
      </c>
      <c r="K65"/>
      <c r="L65" s="476"/>
      <c r="M65" s="659"/>
      <c r="N65" s="659"/>
      <c r="O65" s="665"/>
      <c r="P65" s="169"/>
      <c r="Q65" s="666"/>
      <c r="R65" s="660"/>
      <c r="S65" s="33"/>
      <c r="T65"/>
      <c r="U65"/>
      <c r="V65"/>
      <c r="W65"/>
      <c r="X65" s="33"/>
      <c r="Y65" s="33"/>
      <c r="Z65" s="33"/>
      <c r="AA65" s="33"/>
      <c r="AB65" s="33"/>
      <c r="AC65" s="476">
        <f>+J65</f>
        <v>74985.12</v>
      </c>
      <c r="AD65" s="652"/>
    </row>
    <row r="66" spans="2:30" s="32" customFormat="1" ht="16.5" customHeight="1">
      <c r="B66" s="464"/>
      <c r="C66" s="467"/>
      <c r="D66" s="32" t="s">
        <v>412</v>
      </c>
      <c r="E66" s="472" t="s">
        <v>415</v>
      </c>
      <c r="F66" s="550"/>
      <c r="G66" s="663">
        <v>500</v>
      </c>
      <c r="H66"/>
      <c r="I66" s="550"/>
      <c r="J66" s="1114">
        <f>+F22*L21</f>
        <v>74985.12</v>
      </c>
      <c r="K66"/>
      <c r="L66" s="476"/>
      <c r="M66" s="659"/>
      <c r="N66" s="659"/>
      <c r="O66" s="665"/>
      <c r="P66" s="169"/>
      <c r="Q66" s="666"/>
      <c r="R66" s="660"/>
      <c r="S66" s="33"/>
      <c r="T66"/>
      <c r="U66"/>
      <c r="V66"/>
      <c r="W66"/>
      <c r="X66" s="33"/>
      <c r="Y66" s="33"/>
      <c r="Z66" s="33"/>
      <c r="AA66" s="33"/>
      <c r="AB66" s="33"/>
      <c r="AC66" s="476">
        <f>+J66</f>
        <v>74985.12</v>
      </c>
      <c r="AD66" s="652"/>
    </row>
    <row r="67" spans="2:30" s="32" customFormat="1" ht="16.5" customHeight="1">
      <c r="B67" s="464"/>
      <c r="C67" s="467"/>
      <c r="D67" s="32" t="s">
        <v>413</v>
      </c>
      <c r="E67" s="472" t="s">
        <v>416</v>
      </c>
      <c r="F67" s="550"/>
      <c r="G67" s="663">
        <v>500</v>
      </c>
      <c r="H67"/>
      <c r="I67" s="550"/>
      <c r="J67" s="1114">
        <f>+F22*L21</f>
        <v>74985.12</v>
      </c>
      <c r="K67"/>
      <c r="L67" s="476"/>
      <c r="M67" s="659"/>
      <c r="N67" s="659"/>
      <c r="O67" s="665"/>
      <c r="P67" s="169"/>
      <c r="Q67" s="666"/>
      <c r="R67" s="660"/>
      <c r="S67" s="33"/>
      <c r="T67"/>
      <c r="U67"/>
      <c r="V67"/>
      <c r="W67"/>
      <c r="X67" s="33"/>
      <c r="Y67" s="33"/>
      <c r="Z67" s="33"/>
      <c r="AA67" s="33"/>
      <c r="AB67" s="33"/>
      <c r="AC67" s="476">
        <f>+J67</f>
        <v>74985.12</v>
      </c>
      <c r="AD67" s="652"/>
    </row>
    <row r="68" spans="2:30" s="32" customFormat="1" ht="16.5" customHeight="1">
      <c r="B68" s="464"/>
      <c r="C68" s="467"/>
      <c r="D68" s="32" t="s">
        <v>413</v>
      </c>
      <c r="E68" s="472" t="s">
        <v>417</v>
      </c>
      <c r="F68" s="550"/>
      <c r="G68" s="663">
        <v>500</v>
      </c>
      <c r="H68"/>
      <c r="I68" s="550"/>
      <c r="J68" s="1114">
        <f>+F22*L21</f>
        <v>74985.12</v>
      </c>
      <c r="K68"/>
      <c r="L68" s="476"/>
      <c r="M68" s="659"/>
      <c r="N68" s="659"/>
      <c r="O68" s="665"/>
      <c r="P68" s="169"/>
      <c r="Q68" s="666"/>
      <c r="R68" s="660"/>
      <c r="S68" s="33"/>
      <c r="T68"/>
      <c r="U68"/>
      <c r="V68"/>
      <c r="W68"/>
      <c r="X68" s="33"/>
      <c r="Y68" s="33"/>
      <c r="Z68" s="33"/>
      <c r="AA68" s="33"/>
      <c r="AB68" s="33"/>
      <c r="AC68" s="476">
        <f>+J68</f>
        <v>74985.12</v>
      </c>
      <c r="AD68" s="652"/>
    </row>
    <row r="69" spans="2:30" s="32" customFormat="1" ht="16.5" customHeight="1">
      <c r="B69" s="464"/>
      <c r="C69" s="467"/>
      <c r="D69" s="32" t="s">
        <v>413</v>
      </c>
      <c r="E69" s="472" t="s">
        <v>418</v>
      </c>
      <c r="F69" s="550"/>
      <c r="G69" s="663">
        <v>500</v>
      </c>
      <c r="H69"/>
      <c r="I69" s="550"/>
      <c r="J69" s="1114">
        <f>+F22*L21</f>
        <v>74985.12</v>
      </c>
      <c r="K69"/>
      <c r="L69" s="476"/>
      <c r="M69" s="659"/>
      <c r="N69" s="659"/>
      <c r="O69" s="665"/>
      <c r="P69" s="169"/>
      <c r="Q69" s="666"/>
      <c r="R69" s="660"/>
      <c r="S69" s="33"/>
      <c r="T69"/>
      <c r="U69"/>
      <c r="V69"/>
      <c r="W69"/>
      <c r="X69" s="33"/>
      <c r="Y69" s="33"/>
      <c r="Z69" s="33"/>
      <c r="AA69" s="33"/>
      <c r="AB69" s="33"/>
      <c r="AC69" s="671">
        <f>+J69</f>
        <v>74985.12</v>
      </c>
      <c r="AD69" s="652"/>
    </row>
    <row r="70" spans="2:30" s="32" customFormat="1" ht="10.5" customHeight="1" thickBot="1">
      <c r="B70" s="464"/>
      <c r="C70" s="467"/>
      <c r="E70" s="472"/>
      <c r="F70" s="550"/>
      <c r="G70" s="551"/>
      <c r="H70"/>
      <c r="I70" s="550"/>
      <c r="J70" s="550"/>
      <c r="K70"/>
      <c r="L70" s="476"/>
      <c r="M70" s="659"/>
      <c r="N70" s="659"/>
      <c r="O70" s="665"/>
      <c r="P70" s="169"/>
      <c r="Q70" s="666"/>
      <c r="R70" s="660"/>
      <c r="S70" s="33"/>
      <c r="T70"/>
      <c r="U70"/>
      <c r="V70"/>
      <c r="W70"/>
      <c r="X70" s="33"/>
      <c r="Y70" s="33"/>
      <c r="Z70" s="33"/>
      <c r="AA70" s="33"/>
      <c r="AB70" s="33"/>
      <c r="AC70" s="476"/>
      <c r="AD70" s="652"/>
    </row>
    <row r="71" spans="1:30" ht="21" customHeight="1" thickBot="1" thickTop="1">
      <c r="A71" s="32"/>
      <c r="B71" s="464"/>
      <c r="C71" s="467"/>
      <c r="D71" s="455"/>
      <c r="E71" s="472"/>
      <c r="F71" s="550"/>
      <c r="G71" s="550"/>
      <c r="H71" s="551"/>
      <c r="J71" s="550"/>
      <c r="L71" s="672"/>
      <c r="M71" s="659"/>
      <c r="N71" s="659"/>
      <c r="O71" s="660"/>
      <c r="P71" s="660"/>
      <c r="Q71" s="660"/>
      <c r="R71" s="660"/>
      <c r="S71" s="660"/>
      <c r="AB71" s="55" t="s">
        <v>43</v>
      </c>
      <c r="AC71" s="56">
        <f>SUM(AC60:AC69)</f>
        <v>2462693.0204160004</v>
      </c>
      <c r="AD71" s="652"/>
    </row>
    <row r="72" spans="1:30" ht="16.5" customHeight="1" thickBot="1" thickTop="1">
      <c r="A72" s="32"/>
      <c r="B72" s="464"/>
      <c r="C72" s="467"/>
      <c r="D72" s="455"/>
      <c r="E72" s="472"/>
      <c r="F72" s="550"/>
      <c r="G72" s="550"/>
      <c r="H72" s="551"/>
      <c r="J72" s="550"/>
      <c r="L72" s="672"/>
      <c r="M72" s="659"/>
      <c r="N72" s="659"/>
      <c r="O72" s="660"/>
      <c r="P72" s="660"/>
      <c r="Q72" s="660"/>
      <c r="R72" s="660"/>
      <c r="S72" s="660"/>
      <c r="AC72" s="466"/>
      <c r="AD72" s="652"/>
    </row>
    <row r="73" spans="1:30" ht="21" customHeight="1" thickBot="1" thickTop="1">
      <c r="A73" s="32"/>
      <c r="B73" s="464"/>
      <c r="C73" s="467"/>
      <c r="D73" s="455"/>
      <c r="E73" s="472"/>
      <c r="F73" s="550"/>
      <c r="G73" s="550"/>
      <c r="H73" s="551"/>
      <c r="J73" s="550"/>
      <c r="L73" s="672"/>
      <c r="M73" s="659"/>
      <c r="N73" s="659"/>
      <c r="O73" s="660"/>
      <c r="P73" s="660"/>
      <c r="Q73" s="660"/>
      <c r="R73" s="660"/>
      <c r="S73" s="660"/>
      <c r="AB73" s="55" t="s">
        <v>372</v>
      </c>
      <c r="AC73" s="56">
        <v>2139284.0720639997</v>
      </c>
      <c r="AD73" s="652"/>
    </row>
    <row r="74" spans="2:30" ht="16.5" customHeight="1" thickTop="1">
      <c r="B74" s="464"/>
      <c r="C74" s="653" t="s">
        <v>106</v>
      </c>
      <c r="D74" s="673" t="s">
        <v>107</v>
      </c>
      <c r="E74" s="550"/>
      <c r="F74" s="674"/>
      <c r="G74" s="549"/>
      <c r="H74" s="455"/>
      <c r="I74" s="455"/>
      <c r="J74" s="455"/>
      <c r="K74" s="550"/>
      <c r="L74" s="550"/>
      <c r="M74" s="455"/>
      <c r="N74" s="550"/>
      <c r="O74" s="455"/>
      <c r="P74" s="455"/>
      <c r="Q74" s="455"/>
      <c r="R74" s="455"/>
      <c r="S74" s="455"/>
      <c r="T74" s="455"/>
      <c r="U74" s="455"/>
      <c r="AC74" s="455"/>
      <c r="AD74" s="652"/>
    </row>
    <row r="75" spans="2:30" s="32" customFormat="1" ht="16.5" customHeight="1">
      <c r="B75" s="464"/>
      <c r="C75" s="467"/>
      <c r="D75" s="655" t="s">
        <v>108</v>
      </c>
      <c r="E75" s="675">
        <f>10*K55*K27/AC71</f>
        <v>4539.634995185964</v>
      </c>
      <c r="G75" s="549"/>
      <c r="L75" s="550"/>
      <c r="N75" s="550"/>
      <c r="O75" s="551"/>
      <c r="V75"/>
      <c r="W75"/>
      <c r="AD75" s="652"/>
    </row>
    <row r="76" spans="2:30" s="32" customFormat="1" ht="16.5" customHeight="1">
      <c r="B76" s="464"/>
      <c r="C76" s="467"/>
      <c r="E76" s="676"/>
      <c r="F76" s="477"/>
      <c r="G76" s="549"/>
      <c r="J76" s="549"/>
      <c r="K76" s="564"/>
      <c r="L76" s="550"/>
      <c r="M76" s="550"/>
      <c r="N76" s="550"/>
      <c r="O76" s="551"/>
      <c r="P76" s="550"/>
      <c r="Q76" s="550"/>
      <c r="R76" s="563"/>
      <c r="S76" s="563"/>
      <c r="T76" s="563"/>
      <c r="U76" s="677"/>
      <c r="V76"/>
      <c r="W76"/>
      <c r="AC76" s="677"/>
      <c r="AD76" s="652"/>
    </row>
    <row r="77" spans="2:30" ht="16.5" customHeight="1">
      <c r="B77" s="464"/>
      <c r="C77" s="467"/>
      <c r="D77" s="678" t="s">
        <v>282</v>
      </c>
      <c r="E77" s="679"/>
      <c r="F77" s="477"/>
      <c r="G77" s="549"/>
      <c r="H77" s="455"/>
      <c r="I77" s="455"/>
      <c r="N77" s="550"/>
      <c r="O77" s="551"/>
      <c r="P77" s="550"/>
      <c r="Q77" s="550"/>
      <c r="R77" s="658"/>
      <c r="S77" s="658"/>
      <c r="T77" s="658"/>
      <c r="U77" s="659"/>
      <c r="AC77" s="659"/>
      <c r="AD77" s="652"/>
    </row>
    <row r="78" spans="2:30" ht="16.5" customHeight="1" thickBot="1">
      <c r="B78" s="464"/>
      <c r="C78" s="467"/>
      <c r="D78" s="678"/>
      <c r="E78" s="679"/>
      <c r="F78" s="477"/>
      <c r="G78" s="549"/>
      <c r="H78" s="455"/>
      <c r="I78" s="455"/>
      <c r="N78" s="550"/>
      <c r="O78" s="551"/>
      <c r="P78" s="550"/>
      <c r="Q78" s="550"/>
      <c r="R78" s="658"/>
      <c r="S78" s="658"/>
      <c r="T78" s="658"/>
      <c r="U78" s="659"/>
      <c r="AC78" s="659"/>
      <c r="AD78" s="652"/>
    </row>
    <row r="79" spans="2:30" s="680" customFormat="1" ht="21" thickBot="1" thickTop="1">
      <c r="B79" s="681"/>
      <c r="C79" s="682"/>
      <c r="D79" s="683"/>
      <c r="E79" s="684"/>
      <c r="F79" s="685"/>
      <c r="G79" s="686"/>
      <c r="I79"/>
      <c r="J79" s="687" t="s">
        <v>109</v>
      </c>
      <c r="K79" s="688">
        <f>IF(E75&gt;3*K27,K27*3,E75)</f>
        <v>4539.634995185964</v>
      </c>
      <c r="M79" s="689"/>
      <c r="N79" s="960" t="s">
        <v>382</v>
      </c>
      <c r="O79" s="690"/>
      <c r="P79" s="689"/>
      <c r="Q79" s="689"/>
      <c r="R79" s="691"/>
      <c r="S79" s="691"/>
      <c r="T79" s="691"/>
      <c r="U79" s="692"/>
      <c r="V79"/>
      <c r="W79"/>
      <c r="AC79" s="692"/>
      <c r="AD79" s="693"/>
    </row>
    <row r="80" spans="2:30" ht="16.5" customHeight="1" thickBot="1" thickTop="1">
      <c r="B80" s="57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192"/>
      <c r="W80" s="192"/>
      <c r="X80" s="192"/>
      <c r="Y80" s="192"/>
      <c r="Z80" s="192"/>
      <c r="AA80" s="192"/>
      <c r="AB80" s="192"/>
      <c r="AC80" s="59"/>
      <c r="AD80" s="694"/>
    </row>
    <row r="81" spans="2:23" ht="16.5" customHeight="1" thickTop="1">
      <c r="B81" s="1"/>
      <c r="C81" s="73"/>
      <c r="W81" s="1"/>
    </row>
  </sheetData>
  <sheetProtection password="CC12"/>
  <mergeCells count="26">
    <mergeCell ref="F53:G53"/>
    <mergeCell ref="F47:G47"/>
    <mergeCell ref="F48:G48"/>
    <mergeCell ref="P47:Q47"/>
    <mergeCell ref="F49:G49"/>
    <mergeCell ref="F50:G50"/>
    <mergeCell ref="F51:G51"/>
    <mergeCell ref="F52:G52"/>
    <mergeCell ref="P49:Q49"/>
    <mergeCell ref="P50:Q50"/>
    <mergeCell ref="P43:Q43"/>
    <mergeCell ref="P44:Q44"/>
    <mergeCell ref="P38:Q38"/>
    <mergeCell ref="P39:Q39"/>
    <mergeCell ref="P40:Q40"/>
    <mergeCell ref="P41:Q41"/>
    <mergeCell ref="P51:Q51"/>
    <mergeCell ref="P52:Q52"/>
    <mergeCell ref="F38:G38"/>
    <mergeCell ref="F39:G39"/>
    <mergeCell ref="F40:G40"/>
    <mergeCell ref="F44:G44"/>
    <mergeCell ref="F43:G43"/>
    <mergeCell ref="F41:G41"/>
    <mergeCell ref="F42:G42"/>
    <mergeCell ref="P42:Q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5" r:id="rId2"/>
  <headerFooter alignWithMargins="0">
    <oddFooter>&amp;L&amp;"Times New Roman,Normal"&amp;7&amp;F-&amp;A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GL119"/>
  <sheetViews>
    <sheetView zoomScale="60" zoomScaleNormal="60" zoomScalePageLayoutView="0" workbookViewId="0" topLeftCell="A1">
      <selection activeCell="G41" sqref="G41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1040"/>
      <c r="V1" s="1041"/>
    </row>
    <row r="2" spans="2:22" s="18" customFormat="1" ht="26.25">
      <c r="B2" s="395" t="str">
        <f>'TOT-0211'!B2</f>
        <v>ANEXO III al Memorándum D.T.E.E. N°  1088 /2012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1042"/>
    </row>
    <row r="3" spans="1:22" s="25" customFormat="1" ht="11.25">
      <c r="A3" s="23" t="s">
        <v>1</v>
      </c>
      <c r="B3" s="124"/>
      <c r="U3" s="1043"/>
      <c r="V3" s="1043"/>
    </row>
    <row r="4" spans="1:22" s="25" customFormat="1" ht="11.25">
      <c r="A4" s="23" t="s">
        <v>2</v>
      </c>
      <c r="B4" s="124"/>
      <c r="U4" s="124"/>
      <c r="V4" s="1043"/>
    </row>
    <row r="5" spans="21:22" ht="9.75" customHeight="1">
      <c r="U5" s="22"/>
      <c r="V5" s="1041"/>
    </row>
    <row r="6" spans="2:178" s="1044" customFormat="1" ht="23.25">
      <c r="B6" s="1045" t="s">
        <v>393</v>
      </c>
      <c r="C6" s="1045"/>
      <c r="D6" s="1046"/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7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045"/>
      <c r="AN6" s="1045"/>
      <c r="AO6" s="1045"/>
      <c r="AP6" s="1045"/>
      <c r="AQ6" s="1045"/>
      <c r="AR6" s="1045"/>
      <c r="AS6" s="1045"/>
      <c r="AT6" s="1045"/>
      <c r="AU6" s="1045"/>
      <c r="AV6" s="1045"/>
      <c r="AW6" s="1045"/>
      <c r="AX6" s="1045"/>
      <c r="AY6" s="1045"/>
      <c r="AZ6" s="1045"/>
      <c r="BA6" s="1045"/>
      <c r="BB6" s="1045"/>
      <c r="BC6" s="1045"/>
      <c r="BD6" s="1045"/>
      <c r="BE6" s="1045"/>
      <c r="BF6" s="1045"/>
      <c r="BG6" s="1045"/>
      <c r="BH6" s="1045"/>
      <c r="BI6" s="1045"/>
      <c r="BJ6" s="1045"/>
      <c r="BK6" s="1045"/>
      <c r="BL6" s="1045"/>
      <c r="BM6" s="1045"/>
      <c r="BN6" s="1045"/>
      <c r="BO6" s="1045"/>
      <c r="BP6" s="1045"/>
      <c r="BQ6" s="1045"/>
      <c r="BR6" s="1045"/>
      <c r="BS6" s="1045"/>
      <c r="BT6" s="1045"/>
      <c r="BU6" s="1045"/>
      <c r="BV6" s="1045"/>
      <c r="BW6" s="1045"/>
      <c r="BX6" s="1045"/>
      <c r="BY6" s="1045"/>
      <c r="BZ6" s="1045"/>
      <c r="CA6" s="1045"/>
      <c r="CB6" s="1045"/>
      <c r="CC6" s="1045"/>
      <c r="CD6" s="1045"/>
      <c r="CE6" s="1045"/>
      <c r="CF6" s="1045"/>
      <c r="CG6" s="1045"/>
      <c r="CH6" s="1045"/>
      <c r="CI6" s="1045"/>
      <c r="CJ6" s="1045"/>
      <c r="CK6" s="1045"/>
      <c r="CL6" s="1045"/>
      <c r="CM6" s="1045"/>
      <c r="CN6" s="1045"/>
      <c r="CO6" s="1045"/>
      <c r="CP6" s="1045"/>
      <c r="CQ6" s="1045"/>
      <c r="CR6" s="1045"/>
      <c r="CS6" s="1045"/>
      <c r="CT6" s="1045"/>
      <c r="CU6" s="1045"/>
      <c r="CV6" s="1045"/>
      <c r="CW6" s="1045"/>
      <c r="CX6" s="1045"/>
      <c r="CY6" s="1045"/>
      <c r="CZ6" s="1045"/>
      <c r="DA6" s="1045"/>
      <c r="DB6" s="1045"/>
      <c r="DC6" s="1045"/>
      <c r="DD6" s="1045"/>
      <c r="DE6" s="1045"/>
      <c r="DF6" s="1045"/>
      <c r="DG6" s="1045"/>
      <c r="DH6" s="1045"/>
      <c r="DI6" s="1045"/>
      <c r="DJ6" s="1045"/>
      <c r="DK6" s="1045"/>
      <c r="DL6" s="1045"/>
      <c r="DM6" s="1045"/>
      <c r="DN6" s="1045"/>
      <c r="DO6" s="1045"/>
      <c r="DP6" s="1045"/>
      <c r="DQ6" s="1045"/>
      <c r="DR6" s="1045"/>
      <c r="DS6" s="1045"/>
      <c r="DT6" s="1045"/>
      <c r="DU6" s="1045"/>
      <c r="DV6" s="1045"/>
      <c r="DW6" s="1045"/>
      <c r="DX6" s="1045"/>
      <c r="DY6" s="1045"/>
      <c r="DZ6" s="1045"/>
      <c r="EA6" s="1045"/>
      <c r="EB6" s="1045"/>
      <c r="EC6" s="1045"/>
      <c r="ED6" s="1045"/>
      <c r="EE6" s="1045"/>
      <c r="EF6" s="1045"/>
      <c r="EG6" s="1045"/>
      <c r="EH6" s="1045"/>
      <c r="EI6" s="1045"/>
      <c r="EJ6" s="1045"/>
      <c r="EK6" s="1045"/>
      <c r="EL6" s="1045"/>
      <c r="EM6" s="1045"/>
      <c r="EN6" s="1045"/>
      <c r="EO6" s="1045"/>
      <c r="EP6" s="1045"/>
      <c r="EQ6" s="1045"/>
      <c r="ER6" s="1045"/>
      <c r="ES6" s="1045"/>
      <c r="ET6" s="1045"/>
      <c r="EU6" s="1045"/>
      <c r="EV6" s="1045"/>
      <c r="EW6" s="1045"/>
      <c r="EX6" s="1045"/>
      <c r="EY6" s="1045"/>
      <c r="EZ6" s="1045"/>
      <c r="FA6" s="1045"/>
      <c r="FB6" s="1045"/>
      <c r="FC6" s="1045"/>
      <c r="FD6" s="1045"/>
      <c r="FE6" s="1045"/>
      <c r="FF6" s="1045"/>
      <c r="FG6" s="1045"/>
      <c r="FH6" s="1045"/>
      <c r="FI6" s="1045"/>
      <c r="FJ6" s="1045"/>
      <c r="FK6" s="1045"/>
      <c r="FL6" s="1045"/>
      <c r="FM6" s="1045"/>
      <c r="FN6" s="1045"/>
      <c r="FO6" s="1045"/>
      <c r="FP6" s="1045"/>
      <c r="FQ6" s="1045"/>
      <c r="FR6" s="1045"/>
      <c r="FS6" s="1045"/>
      <c r="FT6" s="1045"/>
      <c r="FU6" s="1045"/>
      <c r="FV6" s="1045"/>
    </row>
    <row r="7" spans="2:178" s="32" customFormat="1" ht="9.75" customHeight="1"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881"/>
      <c r="V7" s="881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68"/>
      <c r="AS7" s="668"/>
      <c r="AT7" s="668"/>
      <c r="AU7" s="668"/>
      <c r="AV7" s="668"/>
      <c r="AW7" s="668"/>
      <c r="AX7" s="668"/>
      <c r="AY7" s="668"/>
      <c r="AZ7" s="668"/>
      <c r="BA7" s="668"/>
      <c r="BB7" s="668"/>
      <c r="BC7" s="668"/>
      <c r="BD7" s="668"/>
      <c r="BE7" s="668"/>
      <c r="BF7" s="668"/>
      <c r="BG7" s="668"/>
      <c r="BH7" s="668"/>
      <c r="BI7" s="668"/>
      <c r="BJ7" s="668"/>
      <c r="BK7" s="668"/>
      <c r="BL7" s="668"/>
      <c r="BM7" s="668"/>
      <c r="BN7" s="668"/>
      <c r="BO7" s="668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8"/>
      <c r="CL7" s="668"/>
      <c r="CM7" s="668"/>
      <c r="CN7" s="668"/>
      <c r="CO7" s="668"/>
      <c r="CP7" s="668"/>
      <c r="CQ7" s="668"/>
      <c r="CR7" s="668"/>
      <c r="CS7" s="668"/>
      <c r="CT7" s="668"/>
      <c r="CU7" s="668"/>
      <c r="CV7" s="668"/>
      <c r="CW7" s="668"/>
      <c r="CX7" s="668"/>
      <c r="CY7" s="668"/>
      <c r="CZ7" s="668"/>
      <c r="DA7" s="668"/>
      <c r="DB7" s="668"/>
      <c r="DC7" s="668"/>
      <c r="DD7" s="668"/>
      <c r="DE7" s="668"/>
      <c r="DF7" s="668"/>
      <c r="DG7" s="668"/>
      <c r="DH7" s="668"/>
      <c r="DI7" s="668"/>
      <c r="DJ7" s="668"/>
      <c r="DK7" s="668"/>
      <c r="DL7" s="668"/>
      <c r="DM7" s="668"/>
      <c r="DN7" s="668"/>
      <c r="DO7" s="668"/>
      <c r="DP7" s="668"/>
      <c r="DQ7" s="668"/>
      <c r="DR7" s="668"/>
      <c r="DS7" s="668"/>
      <c r="DT7" s="668"/>
      <c r="DU7" s="668"/>
      <c r="DV7" s="668"/>
      <c r="DW7" s="668"/>
      <c r="DX7" s="668"/>
      <c r="DY7" s="668"/>
      <c r="DZ7" s="668"/>
      <c r="EA7" s="668"/>
      <c r="EB7" s="668"/>
      <c r="EC7" s="668"/>
      <c r="ED7" s="668"/>
      <c r="EE7" s="668"/>
      <c r="EF7" s="668"/>
      <c r="EG7" s="668"/>
      <c r="EH7" s="668"/>
      <c r="EI7" s="668"/>
      <c r="EJ7" s="668"/>
      <c r="EK7" s="668"/>
      <c r="EL7" s="668"/>
      <c r="EM7" s="668"/>
      <c r="EN7" s="668"/>
      <c r="EO7" s="668"/>
      <c r="EP7" s="668"/>
      <c r="EQ7" s="668"/>
      <c r="ER7" s="668"/>
      <c r="ES7" s="668"/>
      <c r="ET7" s="668"/>
      <c r="EU7" s="668"/>
      <c r="EV7" s="668"/>
      <c r="EW7" s="668"/>
      <c r="EX7" s="668"/>
      <c r="EY7" s="668"/>
      <c r="EZ7" s="668"/>
      <c r="FA7" s="668"/>
      <c r="FB7" s="668"/>
      <c r="FC7" s="668"/>
      <c r="FD7" s="668"/>
      <c r="FE7" s="668"/>
      <c r="FF7" s="668"/>
      <c r="FG7" s="668"/>
      <c r="FH7" s="668"/>
      <c r="FI7" s="668"/>
      <c r="FJ7" s="668"/>
      <c r="FK7" s="668"/>
      <c r="FL7" s="668"/>
      <c r="FM7" s="668"/>
      <c r="FN7" s="668"/>
      <c r="FO7" s="668"/>
      <c r="FP7" s="668"/>
      <c r="FQ7" s="668"/>
      <c r="FR7" s="668"/>
      <c r="FS7" s="668"/>
      <c r="FT7" s="668"/>
      <c r="FU7" s="668"/>
      <c r="FV7" s="668"/>
    </row>
    <row r="8" spans="2:178" s="1048" customFormat="1" ht="23.25">
      <c r="B8" s="1045" t="s">
        <v>61</v>
      </c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9"/>
      <c r="W8" s="1046"/>
      <c r="X8" s="1046"/>
      <c r="Y8" s="1046"/>
      <c r="Z8" s="1046"/>
      <c r="AA8" s="1046"/>
      <c r="AB8" s="1046"/>
      <c r="AC8" s="1046"/>
      <c r="AD8" s="1046"/>
      <c r="AE8" s="1046"/>
      <c r="AF8" s="1046"/>
      <c r="AG8" s="1046"/>
      <c r="AH8" s="1046"/>
      <c r="AI8" s="1046"/>
      <c r="AJ8" s="1046"/>
      <c r="AK8" s="1046"/>
      <c r="AL8" s="1046"/>
      <c r="AM8" s="1046"/>
      <c r="AN8" s="1046"/>
      <c r="AO8" s="1046"/>
      <c r="AP8" s="1046"/>
      <c r="AQ8" s="1046"/>
      <c r="AR8" s="1046"/>
      <c r="AS8" s="1046"/>
      <c r="AT8" s="1046"/>
      <c r="AU8" s="1046"/>
      <c r="AV8" s="1046"/>
      <c r="AW8" s="1046"/>
      <c r="AX8" s="1046"/>
      <c r="AY8" s="1046"/>
      <c r="AZ8" s="1046"/>
      <c r="BA8" s="1046"/>
      <c r="BB8" s="1046"/>
      <c r="BC8" s="1046"/>
      <c r="BD8" s="1046"/>
      <c r="BE8" s="1046"/>
      <c r="BF8" s="1046"/>
      <c r="BG8" s="1046"/>
      <c r="BH8" s="1046"/>
      <c r="BI8" s="1046"/>
      <c r="BJ8" s="1046"/>
      <c r="BK8" s="1046"/>
      <c r="BL8" s="1046"/>
      <c r="BM8" s="1046"/>
      <c r="BN8" s="1046"/>
      <c r="BO8" s="1046"/>
      <c r="BP8" s="1046"/>
      <c r="BQ8" s="1046"/>
      <c r="BR8" s="1046"/>
      <c r="BS8" s="1046"/>
      <c r="BT8" s="1046"/>
      <c r="BU8" s="1046"/>
      <c r="BV8" s="1046"/>
      <c r="BW8" s="1046"/>
      <c r="BX8" s="1046"/>
      <c r="BY8" s="1046"/>
      <c r="BZ8" s="1046"/>
      <c r="CA8" s="1046"/>
      <c r="CB8" s="1046"/>
      <c r="CC8" s="1046"/>
      <c r="CD8" s="1046"/>
      <c r="CE8" s="1046"/>
      <c r="CF8" s="1046"/>
      <c r="CG8" s="1046"/>
      <c r="CH8" s="1046"/>
      <c r="CI8" s="1046"/>
      <c r="CJ8" s="1046"/>
      <c r="CK8" s="1046"/>
      <c r="CL8" s="1046"/>
      <c r="CM8" s="1046"/>
      <c r="CN8" s="1046"/>
      <c r="CO8" s="1046"/>
      <c r="CP8" s="1046"/>
      <c r="CQ8" s="1046"/>
      <c r="CR8" s="1046"/>
      <c r="CS8" s="1046"/>
      <c r="CT8" s="1046"/>
      <c r="CU8" s="1046"/>
      <c r="CV8" s="1046"/>
      <c r="CW8" s="1046"/>
      <c r="CX8" s="1046"/>
      <c r="CY8" s="1046"/>
      <c r="CZ8" s="1046"/>
      <c r="DA8" s="1046"/>
      <c r="DB8" s="1046"/>
      <c r="DC8" s="1046"/>
      <c r="DD8" s="1046"/>
      <c r="DE8" s="1046"/>
      <c r="DF8" s="1046"/>
      <c r="DG8" s="1046"/>
      <c r="DH8" s="1046"/>
      <c r="DI8" s="1046"/>
      <c r="DJ8" s="1046"/>
      <c r="DK8" s="1046"/>
      <c r="DL8" s="1046"/>
      <c r="DM8" s="1046"/>
      <c r="DN8" s="1046"/>
      <c r="DO8" s="1046"/>
      <c r="DP8" s="1046"/>
      <c r="DQ8" s="1046"/>
      <c r="DR8" s="1046"/>
      <c r="DS8" s="1046"/>
      <c r="DT8" s="1046"/>
      <c r="DU8" s="1046"/>
      <c r="DV8" s="1046"/>
      <c r="DW8" s="1046"/>
      <c r="DX8" s="1046"/>
      <c r="DY8" s="1046"/>
      <c r="DZ8" s="1046"/>
      <c r="EA8" s="1046"/>
      <c r="EB8" s="1046"/>
      <c r="EC8" s="1046"/>
      <c r="ED8" s="1046"/>
      <c r="EE8" s="1046"/>
      <c r="EF8" s="1046"/>
      <c r="EG8" s="1046"/>
      <c r="EH8" s="1046"/>
      <c r="EI8" s="1046"/>
      <c r="EJ8" s="1046"/>
      <c r="EK8" s="1046"/>
      <c r="EL8" s="1046"/>
      <c r="EM8" s="1046"/>
      <c r="EN8" s="1046"/>
      <c r="EO8" s="1046"/>
      <c r="EP8" s="1046"/>
      <c r="EQ8" s="1046"/>
      <c r="ER8" s="1046"/>
      <c r="ES8" s="1046"/>
      <c r="ET8" s="1046"/>
      <c r="EU8" s="1046"/>
      <c r="EV8" s="1046"/>
      <c r="EW8" s="1046"/>
      <c r="EX8" s="1046"/>
      <c r="EY8" s="1046"/>
      <c r="EZ8" s="1046"/>
      <c r="FA8" s="1046"/>
      <c r="FB8" s="1046"/>
      <c r="FC8" s="1046"/>
      <c r="FD8" s="1046"/>
      <c r="FE8" s="1046"/>
      <c r="FF8" s="1046"/>
      <c r="FG8" s="1046"/>
      <c r="FH8" s="1046"/>
      <c r="FI8" s="1046"/>
      <c r="FJ8" s="1046"/>
      <c r="FK8" s="1046"/>
      <c r="FL8" s="1046"/>
      <c r="FM8" s="1046"/>
      <c r="FN8" s="1046"/>
      <c r="FO8" s="1046"/>
      <c r="FP8" s="1046"/>
      <c r="FQ8" s="1046"/>
      <c r="FR8" s="1046"/>
      <c r="FS8" s="1046"/>
      <c r="FT8" s="1046"/>
      <c r="FU8" s="1046"/>
      <c r="FV8" s="1046"/>
    </row>
    <row r="9" spans="2:178" s="32" customFormat="1" ht="9.75" customHeight="1"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881"/>
      <c r="V9" s="881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668"/>
      <c r="AQ9" s="668"/>
      <c r="AR9" s="668"/>
      <c r="AS9" s="668"/>
      <c r="AT9" s="668"/>
      <c r="AU9" s="668"/>
      <c r="AV9" s="668"/>
      <c r="AW9" s="668"/>
      <c r="AX9" s="668"/>
      <c r="AY9" s="668"/>
      <c r="AZ9" s="668"/>
      <c r="BA9" s="668"/>
      <c r="BB9" s="668"/>
      <c r="BC9" s="668"/>
      <c r="BD9" s="668"/>
      <c r="BE9" s="668"/>
      <c r="BF9" s="668"/>
      <c r="BG9" s="668"/>
      <c r="BH9" s="668"/>
      <c r="BI9" s="668"/>
      <c r="BJ9" s="668"/>
      <c r="BK9" s="668"/>
      <c r="BL9" s="668"/>
      <c r="BM9" s="668"/>
      <c r="BN9" s="668"/>
      <c r="BO9" s="668"/>
      <c r="BP9" s="668"/>
      <c r="BQ9" s="668"/>
      <c r="BR9" s="668"/>
      <c r="BS9" s="668"/>
      <c r="BT9" s="668"/>
      <c r="BU9" s="668"/>
      <c r="BV9" s="668"/>
      <c r="BW9" s="668"/>
      <c r="BX9" s="668"/>
      <c r="BY9" s="668"/>
      <c r="BZ9" s="668"/>
      <c r="CA9" s="668"/>
      <c r="CB9" s="668"/>
      <c r="CC9" s="668"/>
      <c r="CD9" s="668"/>
      <c r="CE9" s="668"/>
      <c r="CF9" s="668"/>
      <c r="CG9" s="668"/>
      <c r="CH9" s="668"/>
      <c r="CI9" s="668"/>
      <c r="CJ9" s="668"/>
      <c r="CK9" s="668"/>
      <c r="CL9" s="668"/>
      <c r="CM9" s="668"/>
      <c r="CN9" s="668"/>
      <c r="CO9" s="668"/>
      <c r="CP9" s="668"/>
      <c r="CQ9" s="668"/>
      <c r="CR9" s="668"/>
      <c r="CS9" s="668"/>
      <c r="CT9" s="668"/>
      <c r="CU9" s="668"/>
      <c r="CV9" s="668"/>
      <c r="CW9" s="668"/>
      <c r="CX9" s="668"/>
      <c r="CY9" s="668"/>
      <c r="CZ9" s="668"/>
      <c r="DA9" s="668"/>
      <c r="DB9" s="668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68"/>
      <c r="DN9" s="668"/>
      <c r="DO9" s="668"/>
      <c r="DP9" s="668"/>
      <c r="DQ9" s="668"/>
      <c r="DR9" s="668"/>
      <c r="DS9" s="668"/>
      <c r="DT9" s="668"/>
      <c r="DU9" s="668"/>
      <c r="DV9" s="668"/>
      <c r="DW9" s="668"/>
      <c r="DX9" s="668"/>
      <c r="DY9" s="668"/>
      <c r="DZ9" s="668"/>
      <c r="EA9" s="668"/>
      <c r="EB9" s="668"/>
      <c r="EC9" s="668"/>
      <c r="ED9" s="668"/>
      <c r="EE9" s="668"/>
      <c r="EF9" s="668"/>
      <c r="EG9" s="668"/>
      <c r="EH9" s="668"/>
      <c r="EI9" s="668"/>
      <c r="EJ9" s="668"/>
      <c r="EK9" s="668"/>
      <c r="EL9" s="668"/>
      <c r="EM9" s="668"/>
      <c r="EN9" s="668"/>
      <c r="EO9" s="668"/>
      <c r="EP9" s="668"/>
      <c r="EQ9" s="668"/>
      <c r="ER9" s="668"/>
      <c r="ES9" s="668"/>
      <c r="ET9" s="668"/>
      <c r="EU9" s="668"/>
      <c r="EV9" s="668"/>
      <c r="EW9" s="668"/>
      <c r="EX9" s="668"/>
      <c r="EY9" s="668"/>
      <c r="EZ9" s="668"/>
      <c r="FA9" s="668"/>
      <c r="FB9" s="668"/>
      <c r="FC9" s="668"/>
      <c r="FD9" s="668"/>
      <c r="FE9" s="668"/>
      <c r="FF9" s="668"/>
      <c r="FG9" s="668"/>
      <c r="FH9" s="668"/>
      <c r="FI9" s="668"/>
      <c r="FJ9" s="668"/>
      <c r="FK9" s="668"/>
      <c r="FL9" s="668"/>
      <c r="FM9" s="668"/>
      <c r="FN9" s="668"/>
      <c r="FO9" s="668"/>
      <c r="FP9" s="668"/>
      <c r="FQ9" s="668"/>
      <c r="FR9" s="668"/>
      <c r="FS9" s="668"/>
      <c r="FT9" s="668"/>
      <c r="FU9" s="668"/>
      <c r="FV9" s="668"/>
    </row>
    <row r="10" spans="2:178" s="1048" customFormat="1" ht="23.25">
      <c r="B10" s="1045" t="s">
        <v>394</v>
      </c>
      <c r="C10" s="1046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6"/>
      <c r="P10" s="1046"/>
      <c r="Q10" s="1046"/>
      <c r="R10" s="1046"/>
      <c r="S10" s="1046"/>
      <c r="T10" s="1046"/>
      <c r="U10" s="1046"/>
      <c r="V10" s="1049"/>
      <c r="W10" s="1046"/>
      <c r="X10" s="1046"/>
      <c r="Y10" s="1046"/>
      <c r="Z10" s="1046"/>
      <c r="AA10" s="1046"/>
      <c r="AB10" s="1046"/>
      <c r="AC10" s="1046"/>
      <c r="AD10" s="1046"/>
      <c r="AE10" s="1046"/>
      <c r="AF10" s="1046"/>
      <c r="AG10" s="1046"/>
      <c r="AH10" s="1046"/>
      <c r="AI10" s="1046"/>
      <c r="AJ10" s="1046"/>
      <c r="AK10" s="1046"/>
      <c r="AL10" s="1046"/>
      <c r="AM10" s="1046"/>
      <c r="AN10" s="1046"/>
      <c r="AO10" s="1046"/>
      <c r="AP10" s="1046"/>
      <c r="AQ10" s="1046"/>
      <c r="AR10" s="1046"/>
      <c r="AS10" s="1046"/>
      <c r="AT10" s="1046"/>
      <c r="AU10" s="1046"/>
      <c r="AV10" s="1046"/>
      <c r="AW10" s="1046"/>
      <c r="AX10" s="1046"/>
      <c r="AY10" s="1046"/>
      <c r="AZ10" s="1046"/>
      <c r="BA10" s="1046"/>
      <c r="BB10" s="1046"/>
      <c r="BC10" s="1046"/>
      <c r="BD10" s="1046"/>
      <c r="BE10" s="1046"/>
      <c r="BF10" s="1046"/>
      <c r="BG10" s="1046"/>
      <c r="BH10" s="1046"/>
      <c r="BI10" s="1046"/>
      <c r="BJ10" s="1046"/>
      <c r="BK10" s="1046"/>
      <c r="BL10" s="1046"/>
      <c r="BM10" s="1046"/>
      <c r="BN10" s="1046"/>
      <c r="BO10" s="1046"/>
      <c r="BP10" s="1046"/>
      <c r="BQ10" s="1046"/>
      <c r="BR10" s="1046"/>
      <c r="BS10" s="1046"/>
      <c r="BT10" s="1046"/>
      <c r="BU10" s="1046"/>
      <c r="BV10" s="1046"/>
      <c r="BW10" s="1046"/>
      <c r="BX10" s="1046"/>
      <c r="BY10" s="1046"/>
      <c r="BZ10" s="1046"/>
      <c r="CA10" s="1046"/>
      <c r="CB10" s="1046"/>
      <c r="CC10" s="1046"/>
      <c r="CD10" s="1046"/>
      <c r="CE10" s="1046"/>
      <c r="CF10" s="1046"/>
      <c r="CG10" s="1046"/>
      <c r="CH10" s="1046"/>
      <c r="CI10" s="1046"/>
      <c r="CJ10" s="1046"/>
      <c r="CK10" s="1046"/>
      <c r="CL10" s="1046"/>
      <c r="CM10" s="1046"/>
      <c r="CN10" s="1046"/>
      <c r="CO10" s="1046"/>
      <c r="CP10" s="1046"/>
      <c r="CQ10" s="1046"/>
      <c r="CR10" s="1046"/>
      <c r="CS10" s="1046"/>
      <c r="CT10" s="1046"/>
      <c r="CU10" s="1046"/>
      <c r="CV10" s="1046"/>
      <c r="CW10" s="1046"/>
      <c r="CX10" s="1046"/>
      <c r="CY10" s="1046"/>
      <c r="CZ10" s="1046"/>
      <c r="DA10" s="1046"/>
      <c r="DB10" s="1046"/>
      <c r="DC10" s="1046"/>
      <c r="DD10" s="1046"/>
      <c r="DE10" s="1046"/>
      <c r="DF10" s="1046"/>
      <c r="DG10" s="1046"/>
      <c r="DH10" s="1046"/>
      <c r="DI10" s="1046"/>
      <c r="DJ10" s="1046"/>
      <c r="DK10" s="1046"/>
      <c r="DL10" s="1046"/>
      <c r="DM10" s="1046"/>
      <c r="DN10" s="1046"/>
      <c r="DO10" s="1046"/>
      <c r="DP10" s="1046"/>
      <c r="DQ10" s="1046"/>
      <c r="DR10" s="1046"/>
      <c r="DS10" s="1046"/>
      <c r="DT10" s="1046"/>
      <c r="DU10" s="1046"/>
      <c r="DV10" s="1046"/>
      <c r="DW10" s="1046"/>
      <c r="DX10" s="1046"/>
      <c r="DY10" s="1046"/>
      <c r="DZ10" s="1046"/>
      <c r="EA10" s="1046"/>
      <c r="EB10" s="1046"/>
      <c r="EC10" s="1046"/>
      <c r="ED10" s="1046"/>
      <c r="EE10" s="1046"/>
      <c r="EF10" s="1046"/>
      <c r="EG10" s="1046"/>
      <c r="EH10" s="1046"/>
      <c r="EI10" s="1046"/>
      <c r="EJ10" s="1046"/>
      <c r="EK10" s="1046"/>
      <c r="EL10" s="1046"/>
      <c r="EM10" s="1046"/>
      <c r="EN10" s="1046"/>
      <c r="EO10" s="1046"/>
      <c r="EP10" s="1046"/>
      <c r="EQ10" s="1046"/>
      <c r="ER10" s="1046"/>
      <c r="ES10" s="1046"/>
      <c r="ET10" s="1046"/>
      <c r="EU10" s="1046"/>
      <c r="EV10" s="1046"/>
      <c r="EW10" s="1046"/>
      <c r="EX10" s="1046"/>
      <c r="EY10" s="1046"/>
      <c r="EZ10" s="1046"/>
      <c r="FA10" s="1046"/>
      <c r="FB10" s="1046"/>
      <c r="FC10" s="1046"/>
      <c r="FD10" s="1046"/>
      <c r="FE10" s="1046"/>
      <c r="FF10" s="1046"/>
      <c r="FG10" s="1046"/>
      <c r="FH10" s="1046"/>
      <c r="FI10" s="1046"/>
      <c r="FJ10" s="1046"/>
      <c r="FK10" s="1046"/>
      <c r="FL10" s="1046"/>
      <c r="FM10" s="1046"/>
      <c r="FN10" s="1046"/>
      <c r="FO10" s="1046"/>
      <c r="FP10" s="1046"/>
      <c r="FQ10" s="1046"/>
      <c r="FR10" s="1046"/>
      <c r="FS10" s="1046"/>
      <c r="FT10" s="1046"/>
      <c r="FU10" s="1046"/>
      <c r="FV10" s="1046"/>
    </row>
    <row r="11" spans="2:178" s="32" customFormat="1" ht="9.75" customHeight="1" thickBot="1"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881"/>
      <c r="V11" s="881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8"/>
      <c r="AR11" s="668"/>
      <c r="AS11" s="668"/>
      <c r="AT11" s="668"/>
      <c r="AU11" s="668"/>
      <c r="AV11" s="668"/>
      <c r="AW11" s="668"/>
      <c r="AX11" s="668"/>
      <c r="AY11" s="668"/>
      <c r="AZ11" s="668"/>
      <c r="BA11" s="668"/>
      <c r="BB11" s="668"/>
      <c r="BC11" s="668"/>
      <c r="BD11" s="668"/>
      <c r="BE11" s="668"/>
      <c r="BF11" s="668"/>
      <c r="BG11" s="668"/>
      <c r="BH11" s="668"/>
      <c r="BI11" s="668"/>
      <c r="BJ11" s="668"/>
      <c r="BK11" s="668"/>
      <c r="BL11" s="668"/>
      <c r="BM11" s="668"/>
      <c r="BN11" s="668"/>
      <c r="BO11" s="668"/>
      <c r="BP11" s="668"/>
      <c r="BQ11" s="668"/>
      <c r="BR11" s="668"/>
      <c r="BS11" s="668"/>
      <c r="BT11" s="668"/>
      <c r="BU11" s="668"/>
      <c r="BV11" s="668"/>
      <c r="BW11" s="668"/>
      <c r="BX11" s="668"/>
      <c r="BY11" s="668"/>
      <c r="BZ11" s="668"/>
      <c r="CA11" s="668"/>
      <c r="CB11" s="668"/>
      <c r="CC11" s="668"/>
      <c r="CD11" s="668"/>
      <c r="CE11" s="668"/>
      <c r="CF11" s="668"/>
      <c r="CG11" s="668"/>
      <c r="CH11" s="668"/>
      <c r="CI11" s="668"/>
      <c r="CJ11" s="668"/>
      <c r="CK11" s="668"/>
      <c r="CL11" s="668"/>
      <c r="CM11" s="668"/>
      <c r="CN11" s="668"/>
      <c r="CO11" s="668"/>
      <c r="CP11" s="668"/>
      <c r="CQ11" s="668"/>
      <c r="CR11" s="668"/>
      <c r="CS11" s="668"/>
      <c r="CT11" s="668"/>
      <c r="CU11" s="668"/>
      <c r="CV11" s="668"/>
      <c r="CW11" s="668"/>
      <c r="CX11" s="668"/>
      <c r="CY11" s="668"/>
      <c r="CZ11" s="668"/>
      <c r="DA11" s="668"/>
      <c r="DB11" s="668"/>
      <c r="DC11" s="668"/>
      <c r="DD11" s="668"/>
      <c r="DE11" s="668"/>
      <c r="DF11" s="668"/>
      <c r="DG11" s="668"/>
      <c r="DH11" s="668"/>
      <c r="DI11" s="668"/>
      <c r="DJ11" s="668"/>
      <c r="DK11" s="668"/>
      <c r="DL11" s="668"/>
      <c r="DM11" s="668"/>
      <c r="DN11" s="668"/>
      <c r="DO11" s="668"/>
      <c r="DP11" s="668"/>
      <c r="DQ11" s="668"/>
      <c r="DR11" s="668"/>
      <c r="DS11" s="668"/>
      <c r="DT11" s="668"/>
      <c r="DU11" s="668"/>
      <c r="DV11" s="668"/>
      <c r="DW11" s="668"/>
      <c r="DX11" s="668"/>
      <c r="DY11" s="668"/>
      <c r="DZ11" s="668"/>
      <c r="EA11" s="668"/>
      <c r="EB11" s="668"/>
      <c r="EC11" s="668"/>
      <c r="ED11" s="668"/>
      <c r="EE11" s="668"/>
      <c r="EF11" s="668"/>
      <c r="EG11" s="668"/>
      <c r="EH11" s="668"/>
      <c r="EI11" s="668"/>
      <c r="EJ11" s="668"/>
      <c r="EK11" s="668"/>
      <c r="EL11" s="668"/>
      <c r="EM11" s="668"/>
      <c r="EN11" s="668"/>
      <c r="EO11" s="668"/>
      <c r="EP11" s="668"/>
      <c r="EQ11" s="668"/>
      <c r="ER11" s="668"/>
      <c r="ES11" s="668"/>
      <c r="ET11" s="668"/>
      <c r="EU11" s="668"/>
      <c r="EV11" s="668"/>
      <c r="EW11" s="668"/>
      <c r="EX11" s="668"/>
      <c r="EY11" s="668"/>
      <c r="EZ11" s="668"/>
      <c r="FA11" s="668"/>
      <c r="FB11" s="668"/>
      <c r="FC11" s="668"/>
      <c r="FD11" s="668"/>
      <c r="FE11" s="668"/>
      <c r="FF11" s="668"/>
      <c r="FG11" s="668"/>
      <c r="FH11" s="668"/>
      <c r="FI11" s="668"/>
      <c r="FJ11" s="668"/>
      <c r="FK11" s="668"/>
      <c r="FL11" s="668"/>
      <c r="FM11" s="668"/>
      <c r="FN11" s="668"/>
      <c r="FO11" s="668"/>
      <c r="FP11" s="668"/>
      <c r="FQ11" s="668"/>
      <c r="FR11" s="668"/>
      <c r="FS11" s="668"/>
      <c r="FT11" s="668"/>
      <c r="FU11" s="668"/>
      <c r="FV11" s="668"/>
    </row>
    <row r="12" spans="2:177" s="32" customFormat="1" ht="9.75" customHeight="1" thickTop="1">
      <c r="B12" s="1050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2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  <c r="AH12" s="668"/>
      <c r="AI12" s="668"/>
      <c r="AJ12" s="668"/>
      <c r="AK12" s="668"/>
      <c r="AL12" s="668"/>
      <c r="AM12" s="668"/>
      <c r="AN12" s="668"/>
      <c r="AO12" s="668"/>
      <c r="AP12" s="668"/>
      <c r="AQ12" s="668"/>
      <c r="AR12" s="668"/>
      <c r="AS12" s="668"/>
      <c r="AT12" s="668"/>
      <c r="AU12" s="668"/>
      <c r="AV12" s="668"/>
      <c r="AW12" s="668"/>
      <c r="AX12" s="668"/>
      <c r="AY12" s="668"/>
      <c r="AZ12" s="668"/>
      <c r="BA12" s="668"/>
      <c r="BB12" s="668"/>
      <c r="BC12" s="668"/>
      <c r="BD12" s="668"/>
      <c r="BE12" s="668"/>
      <c r="BF12" s="668"/>
      <c r="BG12" s="668"/>
      <c r="BH12" s="668"/>
      <c r="BI12" s="668"/>
      <c r="BJ12" s="668"/>
      <c r="BK12" s="668"/>
      <c r="BL12" s="668"/>
      <c r="BM12" s="668"/>
      <c r="BN12" s="668"/>
      <c r="BO12" s="668"/>
      <c r="BP12" s="668"/>
      <c r="BQ12" s="668"/>
      <c r="BR12" s="668"/>
      <c r="BS12" s="668"/>
      <c r="BT12" s="668"/>
      <c r="BU12" s="668"/>
      <c r="BV12" s="668"/>
      <c r="BW12" s="668"/>
      <c r="BX12" s="668"/>
      <c r="BY12" s="668"/>
      <c r="BZ12" s="668"/>
      <c r="CA12" s="668"/>
      <c r="CB12" s="668"/>
      <c r="CC12" s="668"/>
      <c r="CD12" s="668"/>
      <c r="CE12" s="668"/>
      <c r="CF12" s="668"/>
      <c r="CG12" s="668"/>
      <c r="CH12" s="668"/>
      <c r="CI12" s="668"/>
      <c r="CJ12" s="668"/>
      <c r="CK12" s="668"/>
      <c r="CL12" s="668"/>
      <c r="CM12" s="668"/>
      <c r="CN12" s="668"/>
      <c r="CO12" s="668"/>
      <c r="CP12" s="668"/>
      <c r="CQ12" s="668"/>
      <c r="CR12" s="668"/>
      <c r="CS12" s="668"/>
      <c r="CT12" s="668"/>
      <c r="CU12" s="668"/>
      <c r="CV12" s="668"/>
      <c r="CW12" s="668"/>
      <c r="CX12" s="668"/>
      <c r="CY12" s="668"/>
      <c r="CZ12" s="668"/>
      <c r="DA12" s="668"/>
      <c r="DB12" s="668"/>
      <c r="DC12" s="668"/>
      <c r="DD12" s="668"/>
      <c r="DE12" s="668"/>
      <c r="DF12" s="668"/>
      <c r="DG12" s="668"/>
      <c r="DH12" s="668"/>
      <c r="DI12" s="668"/>
      <c r="DJ12" s="668"/>
      <c r="DK12" s="668"/>
      <c r="DL12" s="668"/>
      <c r="DM12" s="668"/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8"/>
      <c r="DZ12" s="668"/>
      <c r="EA12" s="668"/>
      <c r="EB12" s="668"/>
      <c r="EC12" s="668"/>
      <c r="ED12" s="668"/>
      <c r="EE12" s="668"/>
      <c r="EF12" s="668"/>
      <c r="EG12" s="668"/>
      <c r="EH12" s="668"/>
      <c r="EI12" s="668"/>
      <c r="EJ12" s="668"/>
      <c r="EK12" s="668"/>
      <c r="EL12" s="668"/>
      <c r="EM12" s="668"/>
      <c r="EN12" s="668"/>
      <c r="EO12" s="668"/>
      <c r="EP12" s="668"/>
      <c r="EQ12" s="668"/>
      <c r="ER12" s="668"/>
      <c r="ES12" s="668"/>
      <c r="ET12" s="668"/>
      <c r="EU12" s="668"/>
      <c r="EV12" s="668"/>
      <c r="EW12" s="668"/>
      <c r="EX12" s="668"/>
      <c r="EY12" s="668"/>
      <c r="EZ12" s="668"/>
      <c r="FA12" s="668"/>
      <c r="FB12" s="668"/>
      <c r="FC12" s="668"/>
      <c r="FD12" s="668"/>
      <c r="FE12" s="668"/>
      <c r="FF12" s="668"/>
      <c r="FG12" s="668"/>
      <c r="FH12" s="668"/>
      <c r="FI12" s="668"/>
      <c r="FJ12" s="668"/>
      <c r="FK12" s="668"/>
      <c r="FL12" s="668"/>
      <c r="FM12" s="668"/>
      <c r="FN12" s="668"/>
      <c r="FO12" s="668"/>
      <c r="FP12" s="668"/>
      <c r="FQ12" s="668"/>
      <c r="FR12" s="668"/>
      <c r="FS12" s="668"/>
      <c r="FT12" s="668"/>
      <c r="FU12" s="668"/>
    </row>
    <row r="13" spans="2:177" s="32" customFormat="1" ht="19.5">
      <c r="B13" s="37" t="s">
        <v>395</v>
      </c>
      <c r="C13" s="1053"/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4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  <c r="AM13" s="668"/>
      <c r="AN13" s="668"/>
      <c r="AO13" s="668"/>
      <c r="AP13" s="668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668"/>
      <c r="BH13" s="668"/>
      <c r="BI13" s="668"/>
      <c r="BJ13" s="668"/>
      <c r="BK13" s="668"/>
      <c r="BL13" s="668"/>
      <c r="BM13" s="668"/>
      <c r="BN13" s="668"/>
      <c r="BO13" s="668"/>
      <c r="BP13" s="668"/>
      <c r="BQ13" s="668"/>
      <c r="BR13" s="668"/>
      <c r="BS13" s="668"/>
      <c r="BT13" s="668"/>
      <c r="BU13" s="668"/>
      <c r="BV13" s="668"/>
      <c r="BW13" s="668"/>
      <c r="BX13" s="668"/>
      <c r="BY13" s="668"/>
      <c r="BZ13" s="668"/>
      <c r="CA13" s="668"/>
      <c r="CB13" s="668"/>
      <c r="CC13" s="668"/>
      <c r="CD13" s="668"/>
      <c r="CE13" s="668"/>
      <c r="CF13" s="668"/>
      <c r="CG13" s="668"/>
      <c r="CH13" s="668"/>
      <c r="CI13" s="668"/>
      <c r="CJ13" s="668"/>
      <c r="CK13" s="668"/>
      <c r="CL13" s="668"/>
      <c r="CM13" s="668"/>
      <c r="CN13" s="668"/>
      <c r="CO13" s="668"/>
      <c r="CP13" s="668"/>
      <c r="CQ13" s="668"/>
      <c r="CR13" s="668"/>
      <c r="CS13" s="668"/>
      <c r="CT13" s="668"/>
      <c r="CU13" s="668"/>
      <c r="CV13" s="668"/>
      <c r="CW13" s="668"/>
      <c r="CX13" s="668"/>
      <c r="CY13" s="668"/>
      <c r="CZ13" s="668"/>
      <c r="DA13" s="668"/>
      <c r="DB13" s="668"/>
      <c r="DC13" s="668"/>
      <c r="DD13" s="668"/>
      <c r="DE13" s="668"/>
      <c r="DF13" s="668"/>
      <c r="DG13" s="668"/>
      <c r="DH13" s="668"/>
      <c r="DI13" s="668"/>
      <c r="DJ13" s="668"/>
      <c r="DK13" s="668"/>
      <c r="DL13" s="668"/>
      <c r="DM13" s="668"/>
      <c r="DN13" s="668"/>
      <c r="DO13" s="668"/>
      <c r="DP13" s="668"/>
      <c r="DQ13" s="668"/>
      <c r="DR13" s="668"/>
      <c r="DS13" s="668"/>
      <c r="DT13" s="668"/>
      <c r="DU13" s="668"/>
      <c r="DV13" s="668"/>
      <c r="DW13" s="668"/>
      <c r="DX13" s="668"/>
      <c r="DY13" s="668"/>
      <c r="DZ13" s="668"/>
      <c r="EA13" s="668"/>
      <c r="EB13" s="668"/>
      <c r="EC13" s="668"/>
      <c r="ED13" s="668"/>
      <c r="EE13" s="668"/>
      <c r="EF13" s="668"/>
      <c r="EG13" s="668"/>
      <c r="EH13" s="668"/>
      <c r="EI13" s="668"/>
      <c r="EJ13" s="668"/>
      <c r="EK13" s="668"/>
      <c r="EL13" s="668"/>
      <c r="EM13" s="668"/>
      <c r="EN13" s="668"/>
      <c r="EO13" s="668"/>
      <c r="EP13" s="668"/>
      <c r="EQ13" s="668"/>
      <c r="ER13" s="668"/>
      <c r="ES13" s="668"/>
      <c r="ET13" s="668"/>
      <c r="EU13" s="668"/>
      <c r="EV13" s="668"/>
      <c r="EW13" s="668"/>
      <c r="EX13" s="668"/>
      <c r="EY13" s="668"/>
      <c r="EZ13" s="668"/>
      <c r="FA13" s="668"/>
      <c r="FB13" s="668"/>
      <c r="FC13" s="668"/>
      <c r="FD13" s="668"/>
      <c r="FE13" s="668"/>
      <c r="FF13" s="668"/>
      <c r="FG13" s="668"/>
      <c r="FH13" s="668"/>
      <c r="FI13" s="668"/>
      <c r="FJ13" s="668"/>
      <c r="FK13" s="668"/>
      <c r="FL13" s="668"/>
      <c r="FM13" s="668"/>
      <c r="FN13" s="668"/>
      <c r="FO13" s="668"/>
      <c r="FP13" s="668"/>
      <c r="FQ13" s="668"/>
      <c r="FR13" s="668"/>
      <c r="FS13" s="668"/>
      <c r="FT13" s="668"/>
      <c r="FU13" s="668"/>
    </row>
    <row r="14" spans="2:21" s="32" customFormat="1" ht="9.75" customHeight="1" thickBot="1">
      <c r="B14" s="46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055"/>
    </row>
    <row r="15" spans="2:21" s="1056" customFormat="1" ht="33.75" customHeight="1" thickBot="1" thickTop="1">
      <c r="B15" s="1057"/>
      <c r="C15" s="84"/>
      <c r="D15" s="84" t="s">
        <v>0</v>
      </c>
      <c r="E15" s="132" t="s">
        <v>13</v>
      </c>
      <c r="F15" s="132" t="s">
        <v>14</v>
      </c>
      <c r="G15" s="1058" t="s">
        <v>396</v>
      </c>
      <c r="H15" s="1058">
        <v>40210</v>
      </c>
      <c r="I15" s="1058">
        <v>40238</v>
      </c>
      <c r="J15" s="1058">
        <v>40269</v>
      </c>
      <c r="K15" s="1058">
        <v>40299</v>
      </c>
      <c r="L15" s="1058">
        <v>40330</v>
      </c>
      <c r="M15" s="1058">
        <v>40360</v>
      </c>
      <c r="N15" s="1058">
        <v>40391</v>
      </c>
      <c r="O15" s="1058">
        <v>40422</v>
      </c>
      <c r="P15" s="1058">
        <v>40452</v>
      </c>
      <c r="Q15" s="1058">
        <v>40483</v>
      </c>
      <c r="R15" s="1058">
        <v>40513</v>
      </c>
      <c r="S15" s="1058">
        <v>40544</v>
      </c>
      <c r="T15" s="1058">
        <v>40575</v>
      </c>
      <c r="U15" s="1059"/>
    </row>
    <row r="16" spans="2:21" s="1060" customFormat="1" ht="9.75" customHeight="1" thickTop="1">
      <c r="B16" s="1061"/>
      <c r="C16" s="1062"/>
      <c r="D16" s="1063"/>
      <c r="E16" s="1063"/>
      <c r="F16" s="1063"/>
      <c r="G16" s="1063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5"/>
      <c r="U16" s="1066"/>
    </row>
    <row r="17" spans="2:21" s="1060" customFormat="1" ht="19.5" customHeight="1">
      <c r="B17" s="1061"/>
      <c r="C17" s="1067">
        <f>IF('[3]BASE'!C17=0,"",'[3]BASE'!C17)</f>
        <v>1</v>
      </c>
      <c r="D17" s="1067" t="str">
        <f>IF('[3]BASE'!D17=0,"",'[3]BASE'!D17)</f>
        <v>ABASTO - OLAVARRIA 1</v>
      </c>
      <c r="E17" s="1067">
        <f>IF('[3]BASE'!E17=0,"",'[3]BASE'!E17)</f>
        <v>500</v>
      </c>
      <c r="F17" s="1067">
        <f>IF('[3]BASE'!F17=0,"",'[3]BASE'!F17)</f>
        <v>291</v>
      </c>
      <c r="G17" s="1068" t="str">
        <f>IF('[2]BASE'!G17=0,"",'[2]BASE'!G17)</f>
        <v>B</v>
      </c>
      <c r="H17" s="1069">
        <f>IF('[3]BASE'!GT17=0,"",'[3]BASE'!GT17)</f>
      </c>
      <c r="I17" s="1069">
        <f>IF('[3]BASE'!GU17=0,"",'[3]BASE'!GU17)</f>
      </c>
      <c r="J17" s="1069">
        <f>IF('[3]BASE'!GV17=0,"",'[3]BASE'!GV17)</f>
      </c>
      <c r="K17" s="1069">
        <f>IF('[3]BASE'!GW17=0,"",'[3]BASE'!GW17)</f>
      </c>
      <c r="L17" s="1069">
        <f>IF('[3]BASE'!GX17=0,"",'[3]BASE'!GX17)</f>
      </c>
      <c r="M17" s="1069">
        <f>IF('[3]BASE'!GY17=0,"",'[3]BASE'!GY17)</f>
      </c>
      <c r="N17" s="1069">
        <f>IF('[3]BASE'!GZ17=0,"",'[3]BASE'!GZ17)</f>
      </c>
      <c r="O17" s="1069">
        <f>IF('[3]BASE'!HA17=0,"",'[3]BASE'!HA17)</f>
      </c>
      <c r="P17" s="1069">
        <f>IF('[3]BASE'!HB17=0,"",'[3]BASE'!HB17)</f>
      </c>
      <c r="Q17" s="1069">
        <f>IF('[3]BASE'!HC17=0,"",'[3]BASE'!HC17)</f>
      </c>
      <c r="R17" s="1069">
        <f>IF('[3]BASE'!HD17=0,"",'[3]BASE'!HD17)</f>
      </c>
      <c r="S17" s="1069">
        <f>IF('[3]BASE'!HE17=0,"",'[3]BASE'!HE17)</f>
      </c>
      <c r="T17" s="1070"/>
      <c r="U17" s="1066"/>
    </row>
    <row r="18" spans="2:21" s="1060" customFormat="1" ht="19.5" customHeight="1">
      <c r="B18" s="1061"/>
      <c r="C18" s="1071">
        <f>IF('[3]BASE'!C18=0,"",'[3]BASE'!C18)</f>
        <v>2</v>
      </c>
      <c r="D18" s="1071" t="str">
        <f>IF('[3]BASE'!D18=0,"",'[3]BASE'!D18)</f>
        <v>ABASTO - OLAVARRIA 2</v>
      </c>
      <c r="E18" s="1071">
        <f>IF('[3]BASE'!E18=0,"",'[3]BASE'!E18)</f>
        <v>500</v>
      </c>
      <c r="F18" s="1071">
        <f>IF('[3]BASE'!F18=0,"",'[3]BASE'!F18)</f>
        <v>301.9</v>
      </c>
      <c r="G18" s="1072" t="e">
        <f>IF('[2]BASE'!G18=0,"",'[2]BASE'!G18)</f>
        <v>#REF!</v>
      </c>
      <c r="H18" s="1069">
        <f>IF('[3]BASE'!GT18=0,"",'[3]BASE'!GT18)</f>
      </c>
      <c r="I18" s="1069">
        <f>IF('[3]BASE'!GU18=0,"",'[3]BASE'!GU18)</f>
      </c>
      <c r="J18" s="1069">
        <f>IF('[3]BASE'!GV18=0,"",'[3]BASE'!GV18)</f>
      </c>
      <c r="K18" s="1069">
        <f>IF('[3]BASE'!GW18=0,"",'[3]BASE'!GW18)</f>
      </c>
      <c r="L18" s="1069">
        <f>IF('[3]BASE'!GX18=0,"",'[3]BASE'!GX18)</f>
      </c>
      <c r="M18" s="1069">
        <f>IF('[3]BASE'!GY18=0,"",'[3]BASE'!GY18)</f>
      </c>
      <c r="N18" s="1069">
        <f>IF('[3]BASE'!GZ18=0,"",'[3]BASE'!GZ18)</f>
      </c>
      <c r="O18" s="1069">
        <f>IF('[3]BASE'!HA18=0,"",'[3]BASE'!HA18)</f>
      </c>
      <c r="P18" s="1069">
        <f>IF('[3]BASE'!HB18=0,"",'[3]BASE'!HB18)</f>
      </c>
      <c r="Q18" s="1069">
        <f>IF('[3]BASE'!HC18=0,"",'[3]BASE'!HC18)</f>
      </c>
      <c r="R18" s="1069">
        <f>IF('[3]BASE'!HD18=0,"",'[3]BASE'!HD18)</f>
      </c>
      <c r="S18" s="1069">
        <f>IF('[3]BASE'!HE18=0,"",'[3]BASE'!HE18)</f>
      </c>
      <c r="T18" s="1070"/>
      <c r="U18" s="1066"/>
    </row>
    <row r="19" spans="2:21" s="1060" customFormat="1" ht="19.5" customHeight="1">
      <c r="B19" s="1061"/>
      <c r="C19" s="1073">
        <f>IF('[3]BASE'!C19=0,"",'[3]BASE'!C19)</f>
        <v>3</v>
      </c>
      <c r="D19" s="1073" t="str">
        <f>IF('[3]BASE'!D19=0,"",'[3]BASE'!D19)</f>
        <v>AGUA DEL CAJON - CHOCON OESTE</v>
      </c>
      <c r="E19" s="1073">
        <f>IF('[3]BASE'!E19=0,"",'[3]BASE'!E19)</f>
        <v>500</v>
      </c>
      <c r="F19" s="1073">
        <f>IF('[3]BASE'!F19=0,"",'[3]BASE'!F19)</f>
        <v>52</v>
      </c>
      <c r="G19" s="1074" t="e">
        <f>IF('[2]BASE'!G19=0,"",'[2]BASE'!G19)</f>
        <v>#REF!</v>
      </c>
      <c r="H19" s="1069">
        <f>IF('[3]BASE'!GT19=0,"",'[3]BASE'!GT19)</f>
      </c>
      <c r="I19" s="1069">
        <f>IF('[3]BASE'!GU19=0,"",'[3]BASE'!GU19)</f>
      </c>
      <c r="J19" s="1069">
        <f>IF('[3]BASE'!GV19=0,"",'[3]BASE'!GV19)</f>
      </c>
      <c r="K19" s="1069">
        <f>IF('[3]BASE'!GW19=0,"",'[3]BASE'!GW19)</f>
      </c>
      <c r="L19" s="1069">
        <f>IF('[3]BASE'!GX19=0,"",'[3]BASE'!GX19)</f>
      </c>
      <c r="M19" s="1069">
        <f>IF('[3]BASE'!GY19=0,"",'[3]BASE'!GY19)</f>
      </c>
      <c r="N19" s="1069">
        <f>IF('[3]BASE'!GZ19=0,"",'[3]BASE'!GZ19)</f>
      </c>
      <c r="O19" s="1069">
        <f>IF('[3]BASE'!HA19=0,"",'[3]BASE'!HA19)</f>
      </c>
      <c r="P19" s="1069">
        <f>IF('[3]BASE'!HB19=0,"",'[3]BASE'!HB19)</f>
      </c>
      <c r="Q19" s="1069">
        <f>IF('[3]BASE'!HC19=0,"",'[3]BASE'!HC19)</f>
      </c>
      <c r="R19" s="1069">
        <f>IF('[3]BASE'!HD19=0,"",'[3]BASE'!HD19)</f>
      </c>
      <c r="S19" s="1069">
        <f>IF('[3]BASE'!HE19=0,"",'[3]BASE'!HE19)</f>
      </c>
      <c r="T19" s="1070"/>
      <c r="U19" s="1066"/>
    </row>
    <row r="20" spans="2:21" s="1060" customFormat="1" ht="19.5" customHeight="1">
      <c r="B20" s="1061"/>
      <c r="C20" s="1071">
        <f>IF('[3]BASE'!C20=0,"",'[3]BASE'!C20)</f>
        <v>4</v>
      </c>
      <c r="D20" s="1071" t="str">
        <f>IF('[3]BASE'!D20=0,"",'[3]BASE'!D20)</f>
        <v>ALICURA - E.T. P.del A. 1 (5LG1)</v>
      </c>
      <c r="E20" s="1071">
        <f>IF('[3]BASE'!E20=0,"",'[3]BASE'!E20)</f>
        <v>500</v>
      </c>
      <c r="F20" s="1071">
        <f>IF('[3]BASE'!F20=0,"",'[3]BASE'!F20)</f>
        <v>76</v>
      </c>
      <c r="G20" s="1072" t="str">
        <f>IF('[2]BASE'!G20=0,"",'[2]BASE'!G20)</f>
        <v>C</v>
      </c>
      <c r="H20" s="1069">
        <f>IF('[3]BASE'!GT20=0,"",'[3]BASE'!GT20)</f>
        <v>1</v>
      </c>
      <c r="I20" s="1069">
        <f>IF('[3]BASE'!GU20=0,"",'[3]BASE'!GU20)</f>
      </c>
      <c r="J20" s="1069">
        <f>IF('[3]BASE'!GV20=0,"",'[3]BASE'!GV20)</f>
      </c>
      <c r="K20" s="1069">
        <f>IF('[3]BASE'!GW20=0,"",'[3]BASE'!GW20)</f>
      </c>
      <c r="L20" s="1069">
        <f>IF('[3]BASE'!GX20=0,"",'[3]BASE'!GX20)</f>
      </c>
      <c r="M20" s="1069">
        <f>IF('[3]BASE'!GY20=0,"",'[3]BASE'!GY20)</f>
      </c>
      <c r="N20" s="1069">
        <f>IF('[3]BASE'!GZ20=0,"",'[3]BASE'!GZ20)</f>
        <v>1</v>
      </c>
      <c r="O20" s="1069">
        <f>IF('[3]BASE'!HA20=0,"",'[3]BASE'!HA20)</f>
      </c>
      <c r="P20" s="1069">
        <f>IF('[3]BASE'!HB20=0,"",'[3]BASE'!HB20)</f>
      </c>
      <c r="Q20" s="1069">
        <f>IF('[3]BASE'!HC20=0,"",'[3]BASE'!HC20)</f>
      </c>
      <c r="R20" s="1069">
        <f>IF('[3]BASE'!HD20=0,"",'[3]BASE'!HD20)</f>
      </c>
      <c r="S20" s="1069">
        <f>IF('[3]BASE'!HE20=0,"",'[3]BASE'!HE20)</f>
      </c>
      <c r="T20" s="1070"/>
      <c r="U20" s="1066"/>
    </row>
    <row r="21" spans="2:21" s="1060" customFormat="1" ht="19.5" customHeight="1">
      <c r="B21" s="1061"/>
      <c r="C21" s="1073">
        <f>IF('[3]BASE'!C21=0,"",'[3]BASE'!C21)</f>
        <v>5</v>
      </c>
      <c r="D21" s="1073" t="str">
        <f>IF('[3]BASE'!D21=0,"",'[3]BASE'!D21)</f>
        <v>ALICURA - E.T. P.del A. 2 (5LG2)</v>
      </c>
      <c r="E21" s="1073">
        <f>IF('[3]BASE'!E21=0,"",'[3]BASE'!E21)</f>
        <v>500</v>
      </c>
      <c r="F21" s="1073">
        <f>IF('[3]BASE'!F21=0,"",'[3]BASE'!F21)</f>
        <v>76</v>
      </c>
      <c r="G21" s="1074" t="str">
        <f>IF('[2]BASE'!G21=0,"",'[2]BASE'!G21)</f>
        <v>C</v>
      </c>
      <c r="H21" s="1069">
        <f>IF('[3]BASE'!GT21=0,"",'[3]BASE'!GT21)</f>
      </c>
      <c r="I21" s="1069">
        <f>IF('[3]BASE'!GU21=0,"",'[3]BASE'!GU21)</f>
      </c>
      <c r="J21" s="1069">
        <f>IF('[3]BASE'!GV21=0,"",'[3]BASE'!GV21)</f>
      </c>
      <c r="K21" s="1069">
        <f>IF('[3]BASE'!GW21=0,"",'[3]BASE'!GW21)</f>
      </c>
      <c r="L21" s="1069">
        <f>IF('[3]BASE'!GX21=0,"",'[3]BASE'!GX21)</f>
      </c>
      <c r="M21" s="1069">
        <f>IF('[3]BASE'!GY21=0,"",'[3]BASE'!GY21)</f>
      </c>
      <c r="N21" s="1069">
        <f>IF('[3]BASE'!GZ21=0,"",'[3]BASE'!GZ21)</f>
      </c>
      <c r="O21" s="1069">
        <f>IF('[3]BASE'!HA21=0,"",'[3]BASE'!HA21)</f>
      </c>
      <c r="P21" s="1069">
        <f>IF('[3]BASE'!HB21=0,"",'[3]BASE'!HB21)</f>
      </c>
      <c r="Q21" s="1069">
        <f>IF('[3]BASE'!HC21=0,"",'[3]BASE'!HC21)</f>
      </c>
      <c r="R21" s="1069">
        <f>IF('[3]BASE'!HD21=0,"",'[3]BASE'!HD21)</f>
      </c>
      <c r="S21" s="1069">
        <f>IF('[3]BASE'!HE21=0,"",'[3]BASE'!HE21)</f>
      </c>
      <c r="T21" s="1070"/>
      <c r="U21" s="1066"/>
    </row>
    <row r="22" spans="2:21" s="1060" customFormat="1" ht="19.5" customHeight="1">
      <c r="B22" s="1061"/>
      <c r="C22" s="1071">
        <f>IF('[3]BASE'!C22=0,"",'[3]BASE'!C22)</f>
        <v>6</v>
      </c>
      <c r="D22" s="1071" t="str">
        <f>IF('[3]BASE'!D22=0,"",'[3]BASE'!D22)</f>
        <v>ALMAFUERTE - EMBALSE </v>
      </c>
      <c r="E22" s="1071">
        <f>IF('[3]BASE'!E22=0,"",'[3]BASE'!E22)</f>
        <v>500</v>
      </c>
      <c r="F22" s="1071">
        <f>IF('[3]BASE'!F22=0,"",'[3]BASE'!F22)</f>
        <v>12</v>
      </c>
      <c r="G22" s="1072" t="str">
        <f>IF('[2]BASE'!G22=0,"",'[2]BASE'!G22)</f>
        <v>A</v>
      </c>
      <c r="H22" s="1069">
        <f>IF('[3]BASE'!GT22=0,"",'[3]BASE'!GT22)</f>
      </c>
      <c r="I22" s="1069">
        <f>IF('[3]BASE'!GU22=0,"",'[3]BASE'!GU22)</f>
      </c>
      <c r="J22" s="1069">
        <f>IF('[3]BASE'!GV22=0,"",'[3]BASE'!GV22)</f>
      </c>
      <c r="K22" s="1069">
        <f>IF('[3]BASE'!GW22=0,"",'[3]BASE'!GW22)</f>
      </c>
      <c r="L22" s="1069">
        <f>IF('[3]BASE'!GX22=0,"",'[3]BASE'!GX22)</f>
      </c>
      <c r="M22" s="1069">
        <f>IF('[3]BASE'!GY22=0,"",'[3]BASE'!GY22)</f>
      </c>
      <c r="N22" s="1069">
        <f>IF('[3]BASE'!GZ22=0,"",'[3]BASE'!GZ22)</f>
      </c>
      <c r="O22" s="1069">
        <f>IF('[3]BASE'!HA22=0,"",'[3]BASE'!HA22)</f>
      </c>
      <c r="P22" s="1069">
        <f>IF('[3]BASE'!HB22=0,"",'[3]BASE'!HB22)</f>
      </c>
      <c r="Q22" s="1069">
        <f>IF('[3]BASE'!HC22=0,"",'[3]BASE'!HC22)</f>
      </c>
      <c r="R22" s="1069">
        <f>IF('[3]BASE'!HD22=0,"",'[3]BASE'!HD22)</f>
      </c>
      <c r="S22" s="1069">
        <f>IF('[3]BASE'!HE22=0,"",'[3]BASE'!HE22)</f>
      </c>
      <c r="T22" s="1070"/>
      <c r="U22" s="1066"/>
    </row>
    <row r="23" spans="2:21" s="1060" customFormat="1" ht="19.5" customHeight="1">
      <c r="B23" s="1061"/>
      <c r="C23" s="1073">
        <f>IF('[3]BASE'!C23=0,"",'[3]BASE'!C23)</f>
        <v>7</v>
      </c>
      <c r="D23" s="1073" t="str">
        <f>IF('[3]BASE'!D23=0,"",'[3]BASE'!D23)</f>
        <v> ALMAFUERTE - ROSARIO OESTE</v>
      </c>
      <c r="E23" s="1073">
        <f>IF('[3]BASE'!E23=0,"",'[3]BASE'!E23)</f>
        <v>500</v>
      </c>
      <c r="F23" s="1073">
        <f>IF('[3]BASE'!F23=0,"",'[3]BASE'!F23)</f>
        <v>345</v>
      </c>
      <c r="G23" s="1074" t="str">
        <f>IF('[2]BASE'!G23=0,"",'[2]BASE'!G23)</f>
        <v>B</v>
      </c>
      <c r="H23" s="1069">
        <f>IF('[3]BASE'!GT23=0,"",'[3]BASE'!GT23)</f>
      </c>
      <c r="I23" s="1069">
        <f>IF('[3]BASE'!GU23=0,"",'[3]BASE'!GU23)</f>
        <v>1</v>
      </c>
      <c r="J23" s="1069">
        <f>IF('[3]BASE'!GV23=0,"",'[3]BASE'!GV23)</f>
      </c>
      <c r="K23" s="1069">
        <f>IF('[3]BASE'!GW23=0,"",'[3]BASE'!GW23)</f>
      </c>
      <c r="L23" s="1069">
        <f>IF('[3]BASE'!GX23=0,"",'[3]BASE'!GX23)</f>
      </c>
      <c r="M23" s="1069">
        <f>IF('[3]BASE'!GY23=0,"",'[3]BASE'!GY23)</f>
      </c>
      <c r="N23" s="1069">
        <f>IF('[3]BASE'!GZ23=0,"",'[3]BASE'!GZ23)</f>
      </c>
      <c r="O23" s="1069">
        <f>IF('[3]BASE'!HA23=0,"",'[3]BASE'!HA23)</f>
      </c>
      <c r="P23" s="1069">
        <f>IF('[3]BASE'!HB23=0,"",'[3]BASE'!HB23)</f>
      </c>
      <c r="Q23" s="1069">
        <f>IF('[3]BASE'!HC23=0,"",'[3]BASE'!HC23)</f>
      </c>
      <c r="R23" s="1069">
        <f>IF('[3]BASE'!HD23=0,"",'[3]BASE'!HD23)</f>
      </c>
      <c r="S23" s="1069">
        <f>IF('[3]BASE'!HE23=0,"",'[3]BASE'!HE23)</f>
      </c>
      <c r="T23" s="1070"/>
      <c r="U23" s="1066"/>
    </row>
    <row r="24" spans="2:21" s="1060" customFormat="1" ht="19.5" customHeight="1">
      <c r="B24" s="1061"/>
      <c r="C24" s="1071">
        <f>IF('[3]BASE'!C24=0,"",'[3]BASE'!C24)</f>
        <v>8</v>
      </c>
      <c r="D24" s="1071" t="str">
        <f>IF('[3]BASE'!D24=0,"",'[3]BASE'!D24)</f>
        <v>BAHIA BLANCA - CHOELE CHOEL 1</v>
      </c>
      <c r="E24" s="1071">
        <f>IF('[3]BASE'!E24=0,"",'[3]BASE'!E24)</f>
        <v>500</v>
      </c>
      <c r="F24" s="1071">
        <f>IF('[3]BASE'!F24=0,"",'[3]BASE'!F24)</f>
        <v>346</v>
      </c>
      <c r="G24" s="1072" t="str">
        <f>IF('[2]BASE'!G24=0,"",'[2]BASE'!G24)</f>
        <v>B</v>
      </c>
      <c r="H24" s="1069">
        <f>IF('[3]BASE'!GT24=0,"",'[3]BASE'!GT24)</f>
      </c>
      <c r="I24" s="1069">
        <f>IF('[3]BASE'!GU24=0,"",'[3]BASE'!GU24)</f>
      </c>
      <c r="J24" s="1069">
        <f>IF('[3]BASE'!GV24=0,"",'[3]BASE'!GV24)</f>
      </c>
      <c r="K24" s="1069">
        <f>IF('[3]BASE'!GW24=0,"",'[3]BASE'!GW24)</f>
      </c>
      <c r="L24" s="1069">
        <f>IF('[3]BASE'!GX24=0,"",'[3]BASE'!GX24)</f>
      </c>
      <c r="M24" s="1069">
        <f>IF('[3]BASE'!GY24=0,"",'[3]BASE'!GY24)</f>
      </c>
      <c r="N24" s="1069">
        <f>IF('[3]BASE'!GZ24=0,"",'[3]BASE'!GZ24)</f>
      </c>
      <c r="O24" s="1069">
        <f>IF('[3]BASE'!HA24=0,"",'[3]BASE'!HA24)</f>
      </c>
      <c r="P24" s="1069">
        <f>IF('[3]BASE'!HB24=0,"",'[3]BASE'!HB24)</f>
      </c>
      <c r="Q24" s="1069">
        <f>IF('[3]BASE'!HC24=0,"",'[3]BASE'!HC24)</f>
      </c>
      <c r="R24" s="1069">
        <f>IF('[3]BASE'!HD24=0,"",'[3]BASE'!HD24)</f>
      </c>
      <c r="S24" s="1069">
        <f>IF('[3]BASE'!HE24=0,"",'[3]BASE'!HE24)</f>
      </c>
      <c r="T24" s="1070"/>
      <c r="U24" s="1066"/>
    </row>
    <row r="25" spans="2:21" s="1060" customFormat="1" ht="19.5" customHeight="1">
      <c r="B25" s="1061"/>
      <c r="C25" s="1073">
        <f>IF('[3]BASE'!C25=0,"",'[3]BASE'!C25)</f>
        <v>9</v>
      </c>
      <c r="D25" s="1073" t="str">
        <f>IF('[3]BASE'!D25=0,"",'[3]BASE'!D25)</f>
        <v>BAHIA BLANCA - CHOELE CHOEL 2</v>
      </c>
      <c r="E25" s="1073">
        <f>IF('[3]BASE'!E25=0,"",'[3]BASE'!E25)</f>
        <v>500</v>
      </c>
      <c r="F25" s="1073">
        <f>IF('[3]BASE'!F25=0,"",'[3]BASE'!F25)</f>
        <v>348.4</v>
      </c>
      <c r="G25" s="1074" t="e">
        <f>IF('[2]BASE'!G25=0,"",'[2]BASE'!G25)</f>
        <v>#REF!</v>
      </c>
      <c r="H25" s="1069">
        <f>IF('[3]BASE'!GT25=0,"",'[3]BASE'!GT25)</f>
      </c>
      <c r="I25" s="1069">
        <f>IF('[3]BASE'!GU25=0,"",'[3]BASE'!GU25)</f>
      </c>
      <c r="J25" s="1069">
        <f>IF('[3]BASE'!GV25=0,"",'[3]BASE'!GV25)</f>
      </c>
      <c r="K25" s="1069">
        <f>IF('[3]BASE'!GW25=0,"",'[3]BASE'!GW25)</f>
      </c>
      <c r="L25" s="1069">
        <f>IF('[3]BASE'!GX25=0,"",'[3]BASE'!GX25)</f>
      </c>
      <c r="M25" s="1069">
        <f>IF('[3]BASE'!GY25=0,"",'[3]BASE'!GY25)</f>
      </c>
      <c r="N25" s="1069">
        <f>IF('[3]BASE'!GZ25=0,"",'[3]BASE'!GZ25)</f>
      </c>
      <c r="O25" s="1069">
        <f>IF('[3]BASE'!HA25=0,"",'[3]BASE'!HA25)</f>
      </c>
      <c r="P25" s="1069">
        <f>IF('[3]BASE'!HB25=0,"",'[3]BASE'!HB25)</f>
      </c>
      <c r="Q25" s="1069">
        <f>IF('[3]BASE'!HC25=0,"",'[3]BASE'!HC25)</f>
      </c>
      <c r="R25" s="1069">
        <f>IF('[3]BASE'!HD25=0,"",'[3]BASE'!HD25)</f>
        <v>1</v>
      </c>
      <c r="S25" s="1069">
        <f>IF('[3]BASE'!HE25=0,"",'[3]BASE'!HE25)</f>
      </c>
      <c r="T25" s="1070"/>
      <c r="U25" s="1066"/>
    </row>
    <row r="26" spans="2:21" s="1060" customFormat="1" ht="19.5" customHeight="1">
      <c r="B26" s="1061"/>
      <c r="C26" s="1071">
        <f>IF('[3]BASE'!C26=0,"",'[3]BASE'!C26)</f>
        <v>10</v>
      </c>
      <c r="D26" s="1071" t="str">
        <f>IF('[3]BASE'!D26=0,"",'[3]BASE'!D26)</f>
        <v>CERR. de la CTA - P.BAND. (A3)</v>
      </c>
      <c r="E26" s="1071">
        <f>IF('[3]BASE'!E26=0,"",'[3]BASE'!E26)</f>
        <v>500</v>
      </c>
      <c r="F26" s="1071">
        <f>IF('[3]BASE'!F26=0,"",'[3]BASE'!F26)</f>
        <v>27</v>
      </c>
      <c r="G26" s="1072" t="str">
        <f>IF('[2]BASE'!G26=0,"",'[2]BASE'!G26)</f>
        <v>C</v>
      </c>
      <c r="H26" s="1069">
        <f>IF('[3]BASE'!GT26=0,"",'[3]BASE'!GT26)</f>
      </c>
      <c r="I26" s="1069">
        <f>IF('[3]BASE'!GU26=0,"",'[3]BASE'!GU26)</f>
      </c>
      <c r="J26" s="1069">
        <f>IF('[3]BASE'!GV26=0,"",'[3]BASE'!GV26)</f>
      </c>
      <c r="K26" s="1069">
        <f>IF('[3]BASE'!GW26=0,"",'[3]BASE'!GW26)</f>
      </c>
      <c r="L26" s="1069">
        <f>IF('[3]BASE'!GX26=0,"",'[3]BASE'!GX26)</f>
      </c>
      <c r="M26" s="1069">
        <f>IF('[3]BASE'!GY26=0,"",'[3]BASE'!GY26)</f>
      </c>
      <c r="N26" s="1069">
        <f>IF('[3]BASE'!GZ26=0,"",'[3]BASE'!GZ26)</f>
      </c>
      <c r="O26" s="1069">
        <f>IF('[3]BASE'!HA26=0,"",'[3]BASE'!HA26)</f>
      </c>
      <c r="P26" s="1069">
        <f>IF('[3]BASE'!HB26=0,"",'[3]BASE'!HB26)</f>
      </c>
      <c r="Q26" s="1069">
        <f>IF('[3]BASE'!HC26=0,"",'[3]BASE'!HC26)</f>
      </c>
      <c r="R26" s="1069">
        <f>IF('[3]BASE'!HD26=0,"",'[3]BASE'!HD26)</f>
      </c>
      <c r="S26" s="1069">
        <f>IF('[3]BASE'!HE26=0,"",'[3]BASE'!HE26)</f>
      </c>
      <c r="T26" s="1070"/>
      <c r="U26" s="1066"/>
    </row>
    <row r="27" spans="2:21" s="1060" customFormat="1" ht="19.5" customHeight="1">
      <c r="B27" s="1061"/>
      <c r="C27" s="1073">
        <f>IF('[3]BASE'!C27=0,"",'[3]BASE'!C27)</f>
        <v>11</v>
      </c>
      <c r="D27" s="1073" t="str">
        <f>IF('[3]BASE'!D27=0,"",'[3]BASE'!D27)</f>
        <v>COLONIA ELIA - CAMPANA</v>
      </c>
      <c r="E27" s="1073">
        <f>IF('[3]BASE'!E27=0,"",'[3]BASE'!E27)</f>
        <v>500</v>
      </c>
      <c r="F27" s="1073">
        <f>IF('[3]BASE'!F27=0,"",'[3]BASE'!F27)</f>
        <v>194</v>
      </c>
      <c r="G27" s="1074" t="str">
        <f>IF('[2]BASE'!G27=0,"",'[2]BASE'!G27)</f>
        <v>C</v>
      </c>
      <c r="H27" s="1069">
        <f>IF('[3]BASE'!GT27=0,"",'[3]BASE'!GT27)</f>
      </c>
      <c r="I27" s="1069">
        <f>IF('[3]BASE'!GU27=0,"",'[3]BASE'!GU27)</f>
      </c>
      <c r="J27" s="1069">
        <f>IF('[3]BASE'!GV27=0,"",'[3]BASE'!GV27)</f>
      </c>
      <c r="K27" s="1069">
        <f>IF('[3]BASE'!GW27=0,"",'[3]BASE'!GW27)</f>
      </c>
      <c r="L27" s="1069">
        <f>IF('[3]BASE'!GX27=0,"",'[3]BASE'!GX27)</f>
      </c>
      <c r="M27" s="1069">
        <f>IF('[3]BASE'!GY27=0,"",'[3]BASE'!GY27)</f>
      </c>
      <c r="N27" s="1069">
        <f>IF('[3]BASE'!GZ27=0,"",'[3]BASE'!GZ27)</f>
      </c>
      <c r="O27" s="1069">
        <f>IF('[3]BASE'!HA27=0,"",'[3]BASE'!HA27)</f>
      </c>
      <c r="P27" s="1069">
        <f>IF('[3]BASE'!HB27=0,"",'[3]BASE'!HB27)</f>
      </c>
      <c r="Q27" s="1069">
        <f>IF('[3]BASE'!HC27=0,"",'[3]BASE'!HC27)</f>
        <v>2</v>
      </c>
      <c r="R27" s="1069">
        <f>IF('[3]BASE'!HD27=0,"",'[3]BASE'!HD27)</f>
      </c>
      <c r="S27" s="1069">
        <f>IF('[3]BASE'!HE27=0,"",'[3]BASE'!HE27)</f>
      </c>
      <c r="T27" s="1070"/>
      <c r="U27" s="1066"/>
    </row>
    <row r="28" spans="2:21" s="1060" customFormat="1" ht="19.5" customHeight="1">
      <c r="B28" s="1061"/>
      <c r="C28" s="1071">
        <f>IF('[3]BASE'!C28=0,"",'[3]BASE'!C28)</f>
        <v>12</v>
      </c>
      <c r="D28" s="1071" t="str">
        <f>IF('[3]BASE'!D28=0,"",'[3]BASE'!D28)</f>
        <v>CHO. W. - CHOELE CHOEL (5WH1)</v>
      </c>
      <c r="E28" s="1071">
        <f>IF('[3]BASE'!E28=0,"",'[3]BASE'!E28)</f>
        <v>500</v>
      </c>
      <c r="F28" s="1071">
        <f>IF('[3]BASE'!F28=0,"",'[3]BASE'!F28)</f>
        <v>269</v>
      </c>
      <c r="G28" s="1072" t="str">
        <f>IF('[2]BASE'!G28=0,"",'[2]BASE'!G28)</f>
        <v>B</v>
      </c>
      <c r="H28" s="1069">
        <f>IF('[3]BASE'!GT28=0,"",'[3]BASE'!GT28)</f>
      </c>
      <c r="I28" s="1069">
        <f>IF('[3]BASE'!GU28=0,"",'[3]BASE'!GU28)</f>
      </c>
      <c r="J28" s="1069">
        <f>IF('[3]BASE'!GV28=0,"",'[3]BASE'!GV28)</f>
        <v>1</v>
      </c>
      <c r="K28" s="1069">
        <f>IF('[3]BASE'!GW28=0,"",'[3]BASE'!GW28)</f>
      </c>
      <c r="L28" s="1069">
        <f>IF('[3]BASE'!GX28=0,"",'[3]BASE'!GX28)</f>
      </c>
      <c r="M28" s="1069">
        <f>IF('[3]BASE'!GY28=0,"",'[3]BASE'!GY28)</f>
      </c>
      <c r="N28" s="1069">
        <f>IF('[3]BASE'!GZ28=0,"",'[3]BASE'!GZ28)</f>
      </c>
      <c r="O28" s="1069">
        <f>IF('[3]BASE'!HA28=0,"",'[3]BASE'!HA28)</f>
      </c>
      <c r="P28" s="1069">
        <f>IF('[3]BASE'!HB28=0,"",'[3]BASE'!HB28)</f>
      </c>
      <c r="Q28" s="1069">
        <f>IF('[3]BASE'!HC28=0,"",'[3]BASE'!HC28)</f>
      </c>
      <c r="R28" s="1069">
        <f>IF('[3]BASE'!HD28=0,"",'[3]BASE'!HD28)</f>
      </c>
      <c r="S28" s="1069">
        <f>IF('[3]BASE'!HE28=0,"",'[3]BASE'!HE28)</f>
      </c>
      <c r="T28" s="1070"/>
      <c r="U28" s="1066"/>
    </row>
    <row r="29" spans="2:21" s="1060" customFormat="1" ht="19.5" customHeight="1">
      <c r="B29" s="1061"/>
      <c r="C29" s="1073">
        <f>IF('[3]BASE'!C29=0,"",'[3]BASE'!C29)</f>
        <v>13</v>
      </c>
      <c r="D29" s="1073" t="str">
        <f>IF('[3]BASE'!D29=0,"",'[3]BASE'!D29)</f>
        <v>CHO.W. - CHO. 1 (5WC1)</v>
      </c>
      <c r="E29" s="1073">
        <f>IF('[3]BASE'!E29=0,"",'[3]BASE'!E29)</f>
        <v>500</v>
      </c>
      <c r="F29" s="1073">
        <f>IF('[3]BASE'!F29=0,"",'[3]BASE'!F29)</f>
        <v>4.5</v>
      </c>
      <c r="G29" s="1074" t="str">
        <f>IF('[2]BASE'!G29=0,"",'[2]BASE'!G29)</f>
        <v>C</v>
      </c>
      <c r="H29" s="1069">
        <f>IF('[3]BASE'!GT29=0,"",'[3]BASE'!GT29)</f>
      </c>
      <c r="I29" s="1069">
        <f>IF('[3]BASE'!GU29=0,"",'[3]BASE'!GU29)</f>
      </c>
      <c r="J29" s="1069">
        <f>IF('[3]BASE'!GV29=0,"",'[3]BASE'!GV29)</f>
      </c>
      <c r="K29" s="1069">
        <f>IF('[3]BASE'!GW29=0,"",'[3]BASE'!GW29)</f>
      </c>
      <c r="L29" s="1069">
        <f>IF('[3]BASE'!GX29=0,"",'[3]BASE'!GX29)</f>
      </c>
      <c r="M29" s="1069">
        <f>IF('[3]BASE'!GY29=0,"",'[3]BASE'!GY29)</f>
      </c>
      <c r="N29" s="1069">
        <f>IF('[3]BASE'!GZ29=0,"",'[3]BASE'!GZ29)</f>
      </c>
      <c r="O29" s="1069">
        <f>IF('[3]BASE'!HA29=0,"",'[3]BASE'!HA29)</f>
      </c>
      <c r="P29" s="1069">
        <f>IF('[3]BASE'!HB29=0,"",'[3]BASE'!HB29)</f>
      </c>
      <c r="Q29" s="1069">
        <f>IF('[3]BASE'!HC29=0,"",'[3]BASE'!HC29)</f>
      </c>
      <c r="R29" s="1069">
        <f>IF('[3]BASE'!HD29=0,"",'[3]BASE'!HD29)</f>
      </c>
      <c r="S29" s="1069">
        <f>IF('[3]BASE'!HE29=0,"",'[3]BASE'!HE29)</f>
      </c>
      <c r="T29" s="1070"/>
      <c r="U29" s="1066"/>
    </row>
    <row r="30" spans="2:21" s="1060" customFormat="1" ht="19.5" customHeight="1">
      <c r="B30" s="1061"/>
      <c r="C30" s="1071">
        <f>IF('[3]BASE'!C30=0,"",'[3]BASE'!C30)</f>
        <v>14</v>
      </c>
      <c r="D30" s="1071" t="str">
        <f>IF('[3]BASE'!D30=0,"",'[3]BASE'!D30)</f>
        <v>CHO.W. - CHO. 2 (5WC2)</v>
      </c>
      <c r="E30" s="1071">
        <f>IF('[3]BASE'!E30=0,"",'[3]BASE'!E30)</f>
        <v>500</v>
      </c>
      <c r="F30" s="1071">
        <f>IF('[3]BASE'!F30=0,"",'[3]BASE'!F30)</f>
        <v>4.5</v>
      </c>
      <c r="G30" s="1072" t="str">
        <f>IF('[2]BASE'!G30=0,"",'[2]BASE'!G30)</f>
        <v>C</v>
      </c>
      <c r="H30" s="1069">
        <f>IF('[3]BASE'!GT30=0,"",'[3]BASE'!GT30)</f>
      </c>
      <c r="I30" s="1069">
        <f>IF('[3]BASE'!GU30=0,"",'[3]BASE'!GU30)</f>
      </c>
      <c r="J30" s="1069">
        <f>IF('[3]BASE'!GV30=0,"",'[3]BASE'!GV30)</f>
      </c>
      <c r="K30" s="1069">
        <f>IF('[3]BASE'!GW30=0,"",'[3]BASE'!GW30)</f>
      </c>
      <c r="L30" s="1069">
        <f>IF('[3]BASE'!GX30=0,"",'[3]BASE'!GX30)</f>
      </c>
      <c r="M30" s="1069">
        <f>IF('[3]BASE'!GY30=0,"",'[3]BASE'!GY30)</f>
      </c>
      <c r="N30" s="1069">
        <f>IF('[3]BASE'!GZ30=0,"",'[3]BASE'!GZ30)</f>
      </c>
      <c r="O30" s="1069">
        <f>IF('[3]BASE'!HA30=0,"",'[3]BASE'!HA30)</f>
      </c>
      <c r="P30" s="1069">
        <f>IF('[3]BASE'!HB30=0,"",'[3]BASE'!HB30)</f>
      </c>
      <c r="Q30" s="1069">
        <f>IF('[3]BASE'!HC30=0,"",'[3]BASE'!HC30)</f>
      </c>
      <c r="R30" s="1069">
        <f>IF('[3]BASE'!HD30=0,"",'[3]BASE'!HD30)</f>
      </c>
      <c r="S30" s="1069">
        <f>IF('[3]BASE'!HE30=0,"",'[3]BASE'!HE30)</f>
      </c>
      <c r="T30" s="1070"/>
      <c r="U30" s="1066"/>
    </row>
    <row r="31" spans="2:21" s="1060" customFormat="1" ht="19.5" customHeight="1">
      <c r="B31" s="1061"/>
      <c r="C31" s="1073">
        <f>IF('[3]BASE'!C31=0,"",'[3]BASE'!C31)</f>
        <v>15</v>
      </c>
      <c r="D31" s="1073" t="str">
        <f>IF('[3]BASE'!D31=0,"",'[3]BASE'!D31)</f>
        <v>CHOCON - C.H. CHOCON 1</v>
      </c>
      <c r="E31" s="1073">
        <f>IF('[3]BASE'!E31=0,"",'[3]BASE'!E31)</f>
        <v>500</v>
      </c>
      <c r="F31" s="1073">
        <f>IF('[3]BASE'!F31=0,"",'[3]BASE'!F31)</f>
        <v>3</v>
      </c>
      <c r="G31" s="1074" t="str">
        <f>IF('[2]BASE'!G31=0,"",'[2]BASE'!G31)</f>
        <v>C</v>
      </c>
      <c r="H31" s="1069">
        <f>IF('[3]BASE'!GT31=0,"",'[3]BASE'!GT31)</f>
      </c>
      <c r="I31" s="1069">
        <f>IF('[3]BASE'!GU31=0,"",'[3]BASE'!GU31)</f>
      </c>
      <c r="J31" s="1069">
        <f>IF('[3]BASE'!GV31=0,"",'[3]BASE'!GV31)</f>
      </c>
      <c r="K31" s="1069">
        <f>IF('[3]BASE'!GW31=0,"",'[3]BASE'!GW31)</f>
      </c>
      <c r="L31" s="1069">
        <f>IF('[3]BASE'!GX31=0,"",'[3]BASE'!GX31)</f>
      </c>
      <c r="M31" s="1069">
        <f>IF('[3]BASE'!GY31=0,"",'[3]BASE'!GY31)</f>
      </c>
      <c r="N31" s="1069">
        <f>IF('[3]BASE'!GZ31=0,"",'[3]BASE'!GZ31)</f>
      </c>
      <c r="O31" s="1069">
        <f>IF('[3]BASE'!HA31=0,"",'[3]BASE'!HA31)</f>
      </c>
      <c r="P31" s="1069">
        <f>IF('[3]BASE'!HB31=0,"",'[3]BASE'!HB31)</f>
      </c>
      <c r="Q31" s="1069">
        <f>IF('[3]BASE'!HC31=0,"",'[3]BASE'!HC31)</f>
      </c>
      <c r="R31" s="1069">
        <f>IF('[3]BASE'!HD31=0,"",'[3]BASE'!HD31)</f>
      </c>
      <c r="S31" s="1069">
        <f>IF('[3]BASE'!HE31=0,"",'[3]BASE'!HE31)</f>
      </c>
      <c r="T31" s="1070"/>
      <c r="U31" s="1066"/>
    </row>
    <row r="32" spans="2:21" s="1060" customFormat="1" ht="19.5" customHeight="1">
      <c r="B32" s="1061"/>
      <c r="C32" s="1071">
        <f>IF('[3]BASE'!C32=0,"",'[3]BASE'!C32)</f>
        <v>16</v>
      </c>
      <c r="D32" s="1071" t="str">
        <f>IF('[3]BASE'!D32=0,"",'[3]BASE'!D32)</f>
        <v>CHOCON - C.H. CHOCON 2</v>
      </c>
      <c r="E32" s="1071">
        <f>IF('[3]BASE'!E32=0,"",'[3]BASE'!E32)</f>
        <v>500</v>
      </c>
      <c r="F32" s="1071">
        <f>IF('[3]BASE'!F32=0,"",'[3]BASE'!F32)</f>
        <v>3</v>
      </c>
      <c r="G32" s="1072" t="str">
        <f>IF('[2]BASE'!G32=0,"",'[2]BASE'!G32)</f>
        <v>C</v>
      </c>
      <c r="H32" s="1069">
        <f>IF('[3]BASE'!GT32=0,"",'[3]BASE'!GT32)</f>
      </c>
      <c r="I32" s="1069">
        <f>IF('[3]BASE'!GU32=0,"",'[3]BASE'!GU32)</f>
      </c>
      <c r="J32" s="1069">
        <f>IF('[3]BASE'!GV32=0,"",'[3]BASE'!GV32)</f>
      </c>
      <c r="K32" s="1069">
        <f>IF('[3]BASE'!GW32=0,"",'[3]BASE'!GW32)</f>
      </c>
      <c r="L32" s="1069">
        <f>IF('[3]BASE'!GX32=0,"",'[3]BASE'!GX32)</f>
      </c>
      <c r="M32" s="1069">
        <f>IF('[3]BASE'!GY32=0,"",'[3]BASE'!GY32)</f>
      </c>
      <c r="N32" s="1069">
        <f>IF('[3]BASE'!GZ32=0,"",'[3]BASE'!GZ32)</f>
      </c>
      <c r="O32" s="1069">
        <f>IF('[3]BASE'!HA32=0,"",'[3]BASE'!HA32)</f>
      </c>
      <c r="P32" s="1069">
        <f>IF('[3]BASE'!HB32=0,"",'[3]BASE'!HB32)</f>
      </c>
      <c r="Q32" s="1069">
        <f>IF('[3]BASE'!HC32=0,"",'[3]BASE'!HC32)</f>
      </c>
      <c r="R32" s="1069">
        <f>IF('[3]BASE'!HD32=0,"",'[3]BASE'!HD32)</f>
      </c>
      <c r="S32" s="1069">
        <f>IF('[3]BASE'!HE32=0,"",'[3]BASE'!HE32)</f>
      </c>
      <c r="T32" s="1070"/>
      <c r="U32" s="1066"/>
    </row>
    <row r="33" spans="2:21" s="1060" customFormat="1" ht="19.5" customHeight="1">
      <c r="B33" s="1061"/>
      <c r="C33" s="1073">
        <f>IF('[3]BASE'!C33=0,"",'[3]BASE'!C33)</f>
        <v>17</v>
      </c>
      <c r="D33" s="1073" t="str">
        <f>IF('[3]BASE'!D33=0,"",'[3]BASE'!D33)</f>
        <v>CHOCON - C.H. CHOCON 3</v>
      </c>
      <c r="E33" s="1073">
        <f>IF('[3]BASE'!E33=0,"",'[3]BASE'!E33)</f>
        <v>500</v>
      </c>
      <c r="F33" s="1073">
        <f>IF('[3]BASE'!F33=0,"",'[3]BASE'!F33)</f>
        <v>3</v>
      </c>
      <c r="G33" s="1074" t="str">
        <f>IF('[2]BASE'!G33=0,"",'[2]BASE'!G33)</f>
        <v>C</v>
      </c>
      <c r="H33" s="1069">
        <f>IF('[3]BASE'!GT33=0,"",'[3]BASE'!GT33)</f>
      </c>
      <c r="I33" s="1069">
        <f>IF('[3]BASE'!GU33=0,"",'[3]BASE'!GU33)</f>
      </c>
      <c r="J33" s="1069">
        <f>IF('[3]BASE'!GV33=0,"",'[3]BASE'!GV33)</f>
      </c>
      <c r="K33" s="1069">
        <f>IF('[3]BASE'!GW33=0,"",'[3]BASE'!GW33)</f>
      </c>
      <c r="L33" s="1069">
        <f>IF('[3]BASE'!GX33=0,"",'[3]BASE'!GX33)</f>
      </c>
      <c r="M33" s="1069">
        <f>IF('[3]BASE'!GY33=0,"",'[3]BASE'!GY33)</f>
      </c>
      <c r="N33" s="1069">
        <f>IF('[3]BASE'!GZ33=0,"",'[3]BASE'!GZ33)</f>
      </c>
      <c r="O33" s="1069">
        <f>IF('[3]BASE'!HA33=0,"",'[3]BASE'!HA33)</f>
      </c>
      <c r="P33" s="1069">
        <f>IF('[3]BASE'!HB33=0,"",'[3]BASE'!HB33)</f>
      </c>
      <c r="Q33" s="1069">
        <f>IF('[3]BASE'!HC33=0,"",'[3]BASE'!HC33)</f>
      </c>
      <c r="R33" s="1069">
        <f>IF('[3]BASE'!HD33=0,"",'[3]BASE'!HD33)</f>
      </c>
      <c r="S33" s="1069">
        <f>IF('[3]BASE'!HE33=0,"",'[3]BASE'!HE33)</f>
      </c>
      <c r="T33" s="1070"/>
      <c r="U33" s="1066"/>
    </row>
    <row r="34" spans="2:21" s="1060" customFormat="1" ht="19.5" customHeight="1">
      <c r="B34" s="1061"/>
      <c r="C34" s="1071">
        <f>IF('[3]BASE'!C34=0,"",'[3]BASE'!C34)</f>
        <v>18</v>
      </c>
      <c r="D34" s="1071" t="str">
        <f>IF('[3]BASE'!D34=0,"",'[3]BASE'!D34)</f>
        <v>CHOCON - PUELCHES 1</v>
      </c>
      <c r="E34" s="1071">
        <f>IF('[3]BASE'!E34=0,"",'[3]BASE'!E34)</f>
        <v>500</v>
      </c>
      <c r="F34" s="1071">
        <f>IF('[3]BASE'!F34=0,"",'[3]BASE'!F34)</f>
        <v>304</v>
      </c>
      <c r="G34" s="1072" t="str">
        <f>IF('[2]BASE'!G34=0,"",'[2]BASE'!G34)</f>
        <v>A</v>
      </c>
      <c r="H34" s="1069">
        <f>IF('[3]BASE'!GT34=0,"",'[3]BASE'!GT34)</f>
      </c>
      <c r="I34" s="1069">
        <f>IF('[3]BASE'!GU34=0,"",'[3]BASE'!GU34)</f>
      </c>
      <c r="J34" s="1069">
        <f>IF('[3]BASE'!GV34=0,"",'[3]BASE'!GV34)</f>
      </c>
      <c r="K34" s="1069">
        <f>IF('[3]BASE'!GW34=0,"",'[3]BASE'!GW34)</f>
      </c>
      <c r="L34" s="1069">
        <f>IF('[3]BASE'!GX34=0,"",'[3]BASE'!GX34)</f>
      </c>
      <c r="M34" s="1069">
        <f>IF('[3]BASE'!GY34=0,"",'[3]BASE'!GY34)</f>
      </c>
      <c r="N34" s="1069">
        <f>IF('[3]BASE'!GZ34=0,"",'[3]BASE'!GZ34)</f>
      </c>
      <c r="O34" s="1069">
        <f>IF('[3]BASE'!HA34=0,"",'[3]BASE'!HA34)</f>
      </c>
      <c r="P34" s="1069">
        <f>IF('[3]BASE'!HB34=0,"",'[3]BASE'!HB34)</f>
      </c>
      <c r="Q34" s="1069">
        <f>IF('[3]BASE'!HC34=0,"",'[3]BASE'!HC34)</f>
      </c>
      <c r="R34" s="1069">
        <f>IF('[3]BASE'!HD34=0,"",'[3]BASE'!HD34)</f>
      </c>
      <c r="S34" s="1069">
        <f>IF('[3]BASE'!HE34=0,"",'[3]BASE'!HE34)</f>
      </c>
      <c r="T34" s="1070"/>
      <c r="U34" s="1066"/>
    </row>
    <row r="35" spans="2:21" s="1060" customFormat="1" ht="19.5" customHeight="1">
      <c r="B35" s="1061"/>
      <c r="C35" s="1073">
        <f>IF('[3]BASE'!C35=0,"",'[3]BASE'!C35)</f>
        <v>19</v>
      </c>
      <c r="D35" s="1073" t="str">
        <f>IF('[3]BASE'!D35=0,"",'[3]BASE'!D35)</f>
        <v>CHOCON - PUELCHES 2</v>
      </c>
      <c r="E35" s="1073">
        <f>IF('[3]BASE'!E35=0,"",'[3]BASE'!E35)</f>
        <v>500</v>
      </c>
      <c r="F35" s="1073">
        <f>IF('[3]BASE'!F35=0,"",'[3]BASE'!F35)</f>
        <v>304</v>
      </c>
      <c r="G35" s="1074" t="str">
        <f>IF('[2]BASE'!G35=0,"",'[2]BASE'!G35)</f>
        <v>A</v>
      </c>
      <c r="H35" s="1069">
        <f>IF('[3]BASE'!GT35=0,"",'[3]BASE'!GT35)</f>
      </c>
      <c r="I35" s="1069">
        <f>IF('[3]BASE'!GU35=0,"",'[3]BASE'!GU35)</f>
      </c>
      <c r="J35" s="1069">
        <f>IF('[3]BASE'!GV35=0,"",'[3]BASE'!GV35)</f>
      </c>
      <c r="K35" s="1069">
        <f>IF('[3]BASE'!GW35=0,"",'[3]BASE'!GW35)</f>
      </c>
      <c r="L35" s="1069">
        <f>IF('[3]BASE'!GX35=0,"",'[3]BASE'!GX35)</f>
      </c>
      <c r="M35" s="1069">
        <f>IF('[3]BASE'!GY35=0,"",'[3]BASE'!GY35)</f>
      </c>
      <c r="N35" s="1069">
        <f>IF('[3]BASE'!GZ35=0,"",'[3]BASE'!GZ35)</f>
      </c>
      <c r="O35" s="1069">
        <f>IF('[3]BASE'!HA35=0,"",'[3]BASE'!HA35)</f>
      </c>
      <c r="P35" s="1069">
        <f>IF('[3]BASE'!HB35=0,"",'[3]BASE'!HB35)</f>
      </c>
      <c r="Q35" s="1069">
        <f>IF('[3]BASE'!HC35=0,"",'[3]BASE'!HC35)</f>
      </c>
      <c r="R35" s="1069">
        <f>IF('[3]BASE'!HD35=0,"",'[3]BASE'!HD35)</f>
      </c>
      <c r="S35" s="1069">
        <f>IF('[3]BASE'!HE35=0,"",'[3]BASE'!HE35)</f>
      </c>
      <c r="T35" s="1070"/>
      <c r="U35" s="1066"/>
    </row>
    <row r="36" spans="2:21" s="1060" customFormat="1" ht="19.5" customHeight="1">
      <c r="B36" s="1061"/>
      <c r="C36" s="1071">
        <f>IF('[3]BASE'!C36=0,"",'[3]BASE'!C36)</f>
        <v>20</v>
      </c>
      <c r="D36" s="1071" t="str">
        <f>IF('[3]BASE'!D36=0,"",'[3]BASE'!D36)</f>
        <v>E.T.P.del AGUILA - CENTRAL P.del A. 1</v>
      </c>
      <c r="E36" s="1071">
        <f>IF('[3]BASE'!E36=0,"",'[3]BASE'!E36)</f>
        <v>500</v>
      </c>
      <c r="F36" s="1071">
        <f>IF('[3]BASE'!F36=0,"",'[3]BASE'!F36)</f>
        <v>5.6</v>
      </c>
      <c r="G36" s="1072" t="str">
        <f>IF('[2]BASE'!G36=0,"",'[2]BASE'!G36)</f>
        <v>C</v>
      </c>
      <c r="H36" s="1069">
        <f>IF('[3]BASE'!GT36=0,"",'[3]BASE'!GT36)</f>
      </c>
      <c r="I36" s="1069">
        <f>IF('[3]BASE'!GU36=0,"",'[3]BASE'!GU36)</f>
      </c>
      <c r="J36" s="1069">
        <f>IF('[3]BASE'!GV36=0,"",'[3]BASE'!GV36)</f>
      </c>
      <c r="K36" s="1069">
        <f>IF('[3]BASE'!GW36=0,"",'[3]BASE'!GW36)</f>
      </c>
      <c r="L36" s="1069">
        <f>IF('[3]BASE'!GX36=0,"",'[3]BASE'!GX36)</f>
      </c>
      <c r="M36" s="1069">
        <f>IF('[3]BASE'!GY36=0,"",'[3]BASE'!GY36)</f>
      </c>
      <c r="N36" s="1069">
        <f>IF('[3]BASE'!GZ36=0,"",'[3]BASE'!GZ36)</f>
      </c>
      <c r="O36" s="1069">
        <f>IF('[3]BASE'!HA36=0,"",'[3]BASE'!HA36)</f>
      </c>
      <c r="P36" s="1069">
        <f>IF('[3]BASE'!HB36=0,"",'[3]BASE'!HB36)</f>
      </c>
      <c r="Q36" s="1069">
        <f>IF('[3]BASE'!HC36=0,"",'[3]BASE'!HC36)</f>
      </c>
      <c r="R36" s="1069">
        <f>IF('[3]BASE'!HD36=0,"",'[3]BASE'!HD36)</f>
      </c>
      <c r="S36" s="1069">
        <f>IF('[3]BASE'!HE36=0,"",'[3]BASE'!HE36)</f>
      </c>
      <c r="T36" s="1070"/>
      <c r="U36" s="1066"/>
    </row>
    <row r="37" spans="2:21" s="1060" customFormat="1" ht="19.5" customHeight="1">
      <c r="B37" s="1061"/>
      <c r="C37" s="1073">
        <f>IF('[3]BASE'!C37=0,"",'[3]BASE'!C37)</f>
        <v>21</v>
      </c>
      <c r="D37" s="1073" t="str">
        <f>IF('[3]BASE'!D37=0,"",'[3]BASE'!D37)</f>
        <v>E.T.P.del AGUILA - CENTRAL P.del A. 2</v>
      </c>
      <c r="E37" s="1073">
        <f>IF('[3]BASE'!E37=0,"",'[3]BASE'!E37)</f>
        <v>500</v>
      </c>
      <c r="F37" s="1073">
        <f>IF('[3]BASE'!F37=0,"",'[3]BASE'!F37)</f>
        <v>5.6</v>
      </c>
      <c r="G37" s="1074" t="str">
        <f>IF('[2]BASE'!G37=0,"",'[2]BASE'!G37)</f>
        <v>C</v>
      </c>
      <c r="H37" s="1069">
        <f>IF('[3]BASE'!GT37=0,"",'[3]BASE'!GT37)</f>
      </c>
      <c r="I37" s="1069">
        <f>IF('[3]BASE'!GU37=0,"",'[3]BASE'!GU37)</f>
      </c>
      <c r="J37" s="1069">
        <f>IF('[3]BASE'!GV37=0,"",'[3]BASE'!GV37)</f>
      </c>
      <c r="K37" s="1069">
        <f>IF('[3]BASE'!GW37=0,"",'[3]BASE'!GW37)</f>
      </c>
      <c r="L37" s="1069">
        <f>IF('[3]BASE'!GX37=0,"",'[3]BASE'!GX37)</f>
      </c>
      <c r="M37" s="1069">
        <f>IF('[3]BASE'!GY37=0,"",'[3]BASE'!GY37)</f>
      </c>
      <c r="N37" s="1069">
        <f>IF('[3]BASE'!GZ37=0,"",'[3]BASE'!GZ37)</f>
      </c>
      <c r="O37" s="1069">
        <f>IF('[3]BASE'!HA37=0,"",'[3]BASE'!HA37)</f>
      </c>
      <c r="P37" s="1069">
        <f>IF('[3]BASE'!HB37=0,"",'[3]BASE'!HB37)</f>
      </c>
      <c r="Q37" s="1069">
        <f>IF('[3]BASE'!HC37=0,"",'[3]BASE'!HC37)</f>
      </c>
      <c r="R37" s="1069">
        <f>IF('[3]BASE'!HD37=0,"",'[3]BASE'!HD37)</f>
      </c>
      <c r="S37" s="1069">
        <f>IF('[3]BASE'!HE37=0,"",'[3]BASE'!HE37)</f>
      </c>
      <c r="T37" s="1070"/>
      <c r="U37" s="1066"/>
    </row>
    <row r="38" spans="2:21" s="1060" customFormat="1" ht="19.5" customHeight="1">
      <c r="B38" s="1061"/>
      <c r="C38" s="1071">
        <f>IF('[3]BASE'!C38=0,"",'[3]BASE'!C38)</f>
        <v>22</v>
      </c>
      <c r="D38" s="1071" t="str">
        <f>IF('[3]BASE'!D38=0,"",'[3]BASE'!D38)</f>
        <v>EL BRACHO - RECREO(5)</v>
      </c>
      <c r="E38" s="1071">
        <f>IF('[3]BASE'!E38=0,"",'[3]BASE'!E38)</f>
        <v>500</v>
      </c>
      <c r="F38" s="1071">
        <f>IF('[3]BASE'!F38=0,"",'[3]BASE'!F38)</f>
        <v>255</v>
      </c>
      <c r="G38" s="1072" t="str">
        <f>IF('[2]BASE'!G38=0,"",'[2]BASE'!G38)</f>
        <v>C</v>
      </c>
      <c r="H38" s="1069">
        <f>IF('[3]BASE'!GT38=0,"",'[3]BASE'!GT38)</f>
      </c>
      <c r="I38" s="1069">
        <f>IF('[3]BASE'!GU38=0,"",'[3]BASE'!GU38)</f>
      </c>
      <c r="J38" s="1069">
        <f>IF('[3]BASE'!GV38=0,"",'[3]BASE'!GV38)</f>
      </c>
      <c r="K38" s="1069">
        <f>IF('[3]BASE'!GW38=0,"",'[3]BASE'!GW38)</f>
      </c>
      <c r="L38" s="1069">
        <f>IF('[3]BASE'!GX38=0,"",'[3]BASE'!GX38)</f>
      </c>
      <c r="M38" s="1069">
        <f>IF('[3]BASE'!GY38=0,"",'[3]BASE'!GY38)</f>
      </c>
      <c r="N38" s="1069">
        <f>IF('[3]BASE'!GZ38=0,"",'[3]BASE'!GZ38)</f>
      </c>
      <c r="O38" s="1069">
        <f>IF('[3]BASE'!HA38=0,"",'[3]BASE'!HA38)</f>
      </c>
      <c r="P38" s="1069">
        <f>IF('[3]BASE'!HB38=0,"",'[3]BASE'!HB38)</f>
      </c>
      <c r="Q38" s="1069">
        <f>IF('[3]BASE'!HC38=0,"",'[3]BASE'!HC38)</f>
      </c>
      <c r="R38" s="1069">
        <f>IF('[3]BASE'!HD38=0,"",'[3]BASE'!HD38)</f>
      </c>
      <c r="S38" s="1069">
        <f>IF('[3]BASE'!HE38=0,"",'[3]BASE'!HE38)</f>
      </c>
      <c r="T38" s="1070"/>
      <c r="U38" s="1066"/>
    </row>
    <row r="39" spans="2:21" s="1060" customFormat="1" ht="19.5" customHeight="1">
      <c r="B39" s="1061"/>
      <c r="C39" s="1073">
        <f>IF('[3]BASE'!C39=0,"",'[3]BASE'!C39)</f>
        <v>23</v>
      </c>
      <c r="D39" s="1073" t="str">
        <f>IF('[3]BASE'!D39=0,"",'[3]BASE'!D39)</f>
        <v>EZEIZA - ABASTO 1</v>
      </c>
      <c r="E39" s="1073">
        <f>IF('[3]BASE'!E39=0,"",'[3]BASE'!E39)</f>
        <v>500</v>
      </c>
      <c r="F39" s="1073">
        <f>IF('[3]BASE'!F39=0,"",'[3]BASE'!F39)</f>
        <v>58</v>
      </c>
      <c r="G39" s="1074" t="str">
        <f>IF('[2]BASE'!G39=0,"",'[2]BASE'!G39)</f>
        <v>C</v>
      </c>
      <c r="H39" s="1069">
        <f>IF('[3]BASE'!GT39=0,"",'[3]BASE'!GT39)</f>
      </c>
      <c r="I39" s="1069">
        <f>IF('[3]BASE'!GU39=0,"",'[3]BASE'!GU39)</f>
      </c>
      <c r="J39" s="1069">
        <f>IF('[3]BASE'!GV39=0,"",'[3]BASE'!GV39)</f>
      </c>
      <c r="K39" s="1069">
        <f>IF('[3]BASE'!GW39=0,"",'[3]BASE'!GW39)</f>
      </c>
      <c r="L39" s="1069">
        <f>IF('[3]BASE'!GX39=0,"",'[3]BASE'!GX39)</f>
      </c>
      <c r="M39" s="1069">
        <f>IF('[3]BASE'!GY39=0,"",'[3]BASE'!GY39)</f>
      </c>
      <c r="N39" s="1069">
        <f>IF('[3]BASE'!GZ39=0,"",'[3]BASE'!GZ39)</f>
      </c>
      <c r="O39" s="1069">
        <f>IF('[3]BASE'!HA39=0,"",'[3]BASE'!HA39)</f>
      </c>
      <c r="P39" s="1069">
        <f>IF('[3]BASE'!HB39=0,"",'[3]BASE'!HB39)</f>
      </c>
      <c r="Q39" s="1069">
        <f>IF('[3]BASE'!HC39=0,"",'[3]BASE'!HC39)</f>
      </c>
      <c r="R39" s="1069">
        <f>IF('[3]BASE'!HD39=0,"",'[3]BASE'!HD39)</f>
      </c>
      <c r="S39" s="1069">
        <f>IF('[3]BASE'!HE39=0,"",'[3]BASE'!HE39)</f>
      </c>
      <c r="T39" s="1070"/>
      <c r="U39" s="1066"/>
    </row>
    <row r="40" spans="2:21" s="1060" customFormat="1" ht="19.5" customHeight="1">
      <c r="B40" s="1061"/>
      <c r="C40" s="1071">
        <f>IF('[3]BASE'!C40=0,"",'[3]BASE'!C40)</f>
        <v>24</v>
      </c>
      <c r="D40" s="1071" t="str">
        <f>IF('[3]BASE'!D40=0,"",'[3]BASE'!D40)</f>
        <v>EZEIZA - ABASTO 2</v>
      </c>
      <c r="E40" s="1071">
        <f>IF('[3]BASE'!E40=0,"",'[3]BASE'!E40)</f>
        <v>500</v>
      </c>
      <c r="F40" s="1071">
        <f>IF('[3]BASE'!F40=0,"",'[3]BASE'!F40)</f>
        <v>58</v>
      </c>
      <c r="G40" s="1072" t="str">
        <f>IF('[2]BASE'!G40=0,"",'[2]BASE'!G40)</f>
        <v>C</v>
      </c>
      <c r="H40" s="1069">
        <f>IF('[3]BASE'!GT40=0,"",'[3]BASE'!GT40)</f>
      </c>
      <c r="I40" s="1069">
        <f>IF('[3]BASE'!GU40=0,"",'[3]BASE'!GU40)</f>
      </c>
      <c r="J40" s="1069">
        <f>IF('[3]BASE'!GV40=0,"",'[3]BASE'!GV40)</f>
      </c>
      <c r="K40" s="1069">
        <f>IF('[3]BASE'!GW40=0,"",'[3]BASE'!GW40)</f>
      </c>
      <c r="L40" s="1069">
        <f>IF('[3]BASE'!GX40=0,"",'[3]BASE'!GX40)</f>
      </c>
      <c r="M40" s="1069">
        <f>IF('[3]BASE'!GY40=0,"",'[3]BASE'!GY40)</f>
      </c>
      <c r="N40" s="1069">
        <f>IF('[3]BASE'!GZ40=0,"",'[3]BASE'!GZ40)</f>
      </c>
      <c r="O40" s="1069">
        <f>IF('[3]BASE'!HA40=0,"",'[3]BASE'!HA40)</f>
      </c>
      <c r="P40" s="1069">
        <f>IF('[3]BASE'!HB40=0,"",'[3]BASE'!HB40)</f>
      </c>
      <c r="Q40" s="1069">
        <f>IF('[3]BASE'!HC40=0,"",'[3]BASE'!HC40)</f>
      </c>
      <c r="R40" s="1069">
        <f>IF('[3]BASE'!HD40=0,"",'[3]BASE'!HD40)</f>
      </c>
      <c r="S40" s="1069">
        <f>IF('[3]BASE'!HE40=0,"",'[3]BASE'!HE40)</f>
      </c>
      <c r="T40" s="1070"/>
      <c r="U40" s="1066"/>
    </row>
    <row r="41" spans="2:21" s="1060" customFormat="1" ht="19.5" customHeight="1">
      <c r="B41" s="1061"/>
      <c r="C41" s="1073">
        <f>IF('[3]BASE'!C41=0,"",'[3]BASE'!C41)</f>
        <v>25</v>
      </c>
      <c r="D41" s="1073" t="str">
        <f>IF('[3]BASE'!D41=0,"",'[3]BASE'!D41)</f>
        <v>EZEIZA - RODRIGUEZ 1</v>
      </c>
      <c r="E41" s="1073">
        <f>IF('[3]BASE'!E41=0,"",'[3]BASE'!E41)</f>
        <v>500</v>
      </c>
      <c r="F41" s="1073">
        <f>IF('[3]BASE'!F41=0,"",'[3]BASE'!F41)</f>
        <v>53</v>
      </c>
      <c r="G41" s="1074" t="str">
        <f>IF('[2]BASE'!G41=0,"",'[2]BASE'!G41)</f>
        <v>C</v>
      </c>
      <c r="H41" s="1069">
        <f>IF('[3]BASE'!GT41=0,"",'[3]BASE'!GT41)</f>
      </c>
      <c r="I41" s="1069">
        <f>IF('[3]BASE'!GU41=0,"",'[3]BASE'!GU41)</f>
      </c>
      <c r="J41" s="1069">
        <f>IF('[3]BASE'!GV41=0,"",'[3]BASE'!GV41)</f>
      </c>
      <c r="K41" s="1069">
        <f>IF('[3]BASE'!GW41=0,"",'[3]BASE'!GW41)</f>
      </c>
      <c r="L41" s="1069">
        <f>IF('[3]BASE'!GX41=0,"",'[3]BASE'!GX41)</f>
      </c>
      <c r="M41" s="1069">
        <f>IF('[3]BASE'!GY41=0,"",'[3]BASE'!GY41)</f>
      </c>
      <c r="N41" s="1069">
        <f>IF('[3]BASE'!GZ41=0,"",'[3]BASE'!GZ41)</f>
      </c>
      <c r="O41" s="1069">
        <f>IF('[3]BASE'!HA41=0,"",'[3]BASE'!HA41)</f>
      </c>
      <c r="P41" s="1069">
        <f>IF('[3]BASE'!HB41=0,"",'[3]BASE'!HB41)</f>
      </c>
      <c r="Q41" s="1069">
        <f>IF('[3]BASE'!HC41=0,"",'[3]BASE'!HC41)</f>
      </c>
      <c r="R41" s="1069">
        <f>IF('[3]BASE'!HD41=0,"",'[3]BASE'!HD41)</f>
      </c>
      <c r="S41" s="1069">
        <f>IF('[3]BASE'!HE41=0,"",'[3]BASE'!HE41)</f>
      </c>
      <c r="T41" s="1070"/>
      <c r="U41" s="1066"/>
    </row>
    <row r="42" spans="2:21" s="1060" customFormat="1" ht="19.5" customHeight="1">
      <c r="B42" s="1061"/>
      <c r="C42" s="1071">
        <f>IF('[3]BASE'!C42=0,"",'[3]BASE'!C42)</f>
        <v>26</v>
      </c>
      <c r="D42" s="1071" t="str">
        <f>IF('[3]BASE'!D42=0,"",'[3]BASE'!D42)</f>
        <v>EZEIZA - RODRIGUEZ 2</v>
      </c>
      <c r="E42" s="1071">
        <f>IF('[3]BASE'!E42=0,"",'[3]BASE'!E42)</f>
        <v>500</v>
      </c>
      <c r="F42" s="1071">
        <f>IF('[3]BASE'!F42=0,"",'[3]BASE'!F42)</f>
        <v>53</v>
      </c>
      <c r="G42" s="1072" t="str">
        <f>IF('[2]BASE'!G42=0,"",'[2]BASE'!G42)</f>
        <v>C</v>
      </c>
      <c r="H42" s="1069">
        <f>IF('[3]BASE'!GT42=0,"",'[3]BASE'!GT42)</f>
      </c>
      <c r="I42" s="1069">
        <f>IF('[3]BASE'!GU42=0,"",'[3]BASE'!GU42)</f>
      </c>
      <c r="J42" s="1069">
        <f>IF('[3]BASE'!GV42=0,"",'[3]BASE'!GV42)</f>
      </c>
      <c r="K42" s="1069">
        <f>IF('[3]BASE'!GW42=0,"",'[3]BASE'!GW42)</f>
      </c>
      <c r="L42" s="1069">
        <f>IF('[3]BASE'!GX42=0,"",'[3]BASE'!GX42)</f>
      </c>
      <c r="M42" s="1069">
        <f>IF('[3]BASE'!GY42=0,"",'[3]BASE'!GY42)</f>
      </c>
      <c r="N42" s="1069">
        <f>IF('[3]BASE'!GZ42=0,"",'[3]BASE'!GZ42)</f>
      </c>
      <c r="O42" s="1069">
        <f>IF('[3]BASE'!HA42=0,"",'[3]BASE'!HA42)</f>
      </c>
      <c r="P42" s="1069">
        <f>IF('[3]BASE'!HB42=0,"",'[3]BASE'!HB42)</f>
      </c>
      <c r="Q42" s="1069">
        <f>IF('[3]BASE'!HC42=0,"",'[3]BASE'!HC42)</f>
      </c>
      <c r="R42" s="1069">
        <f>IF('[3]BASE'!HD42=0,"",'[3]BASE'!HD42)</f>
      </c>
      <c r="S42" s="1069">
        <f>IF('[3]BASE'!HE42=0,"",'[3]BASE'!HE42)</f>
      </c>
      <c r="T42" s="1070"/>
      <c r="U42" s="1066"/>
    </row>
    <row r="43" spans="2:21" s="1060" customFormat="1" ht="19.5" customHeight="1">
      <c r="B43" s="1061"/>
      <c r="C43" s="1073">
        <f>IF('[3]BASE'!C43=0,"",'[3]BASE'!C43)</f>
        <v>27</v>
      </c>
      <c r="D43" s="1073" t="str">
        <f>IF('[3]BASE'!D43=0,"",'[3]BASE'!D43)</f>
        <v>EZEIZA- HENDERSON 1</v>
      </c>
      <c r="E43" s="1073">
        <f>IF('[3]BASE'!E43=0,"",'[3]BASE'!E43)</f>
        <v>500</v>
      </c>
      <c r="F43" s="1073">
        <f>IF('[3]BASE'!F43=0,"",'[3]BASE'!F43)</f>
        <v>313</v>
      </c>
      <c r="G43" s="1074" t="str">
        <f>IF('[2]BASE'!G43=0,"",'[2]BASE'!G43)</f>
        <v>A</v>
      </c>
      <c r="H43" s="1069">
        <f>IF('[3]BASE'!GT43=0,"",'[3]BASE'!GT43)</f>
      </c>
      <c r="I43" s="1069">
        <f>IF('[3]BASE'!GU43=0,"",'[3]BASE'!GU43)</f>
      </c>
      <c r="J43" s="1069">
        <f>IF('[3]BASE'!GV43=0,"",'[3]BASE'!GV43)</f>
      </c>
      <c r="K43" s="1069">
        <f>IF('[3]BASE'!GW43=0,"",'[3]BASE'!GW43)</f>
      </c>
      <c r="L43" s="1069">
        <f>IF('[3]BASE'!GX43=0,"",'[3]BASE'!GX43)</f>
      </c>
      <c r="M43" s="1069">
        <f>IF('[3]BASE'!GY43=0,"",'[3]BASE'!GY43)</f>
      </c>
      <c r="N43" s="1069">
        <f>IF('[3]BASE'!GZ43=0,"",'[3]BASE'!GZ43)</f>
      </c>
      <c r="O43" s="1069">
        <f>IF('[3]BASE'!HA43=0,"",'[3]BASE'!HA43)</f>
      </c>
      <c r="P43" s="1069">
        <f>IF('[3]BASE'!HB43=0,"",'[3]BASE'!HB43)</f>
      </c>
      <c r="Q43" s="1069">
        <f>IF('[3]BASE'!HC43=0,"",'[3]BASE'!HC43)</f>
      </c>
      <c r="R43" s="1069">
        <f>IF('[3]BASE'!HD43=0,"",'[3]BASE'!HD43)</f>
      </c>
      <c r="S43" s="1069">
        <f>IF('[3]BASE'!HE43=0,"",'[3]BASE'!HE43)</f>
      </c>
      <c r="T43" s="1070"/>
      <c r="U43" s="1066"/>
    </row>
    <row r="44" spans="2:21" s="1060" customFormat="1" ht="19.5" customHeight="1">
      <c r="B44" s="1061"/>
      <c r="C44" s="1071">
        <f>IF('[3]BASE'!C44=0,"",'[3]BASE'!C44)</f>
        <v>28</v>
      </c>
      <c r="D44" s="1071" t="str">
        <f>IF('[3]BASE'!D44=0,"",'[3]BASE'!D44)</f>
        <v>EZEIZA - HENDERSON 2</v>
      </c>
      <c r="E44" s="1071">
        <f>IF('[3]BASE'!E44=0,"",'[3]BASE'!E44)</f>
        <v>500</v>
      </c>
      <c r="F44" s="1071">
        <f>IF('[3]BASE'!F44=0,"",'[3]BASE'!F44)</f>
        <v>313</v>
      </c>
      <c r="G44" s="1072" t="str">
        <f>IF('[2]BASE'!G44=0,"",'[2]BASE'!G44)</f>
        <v>A</v>
      </c>
      <c r="H44" s="1069">
        <f>IF('[3]BASE'!GT44=0,"",'[3]BASE'!GT44)</f>
      </c>
      <c r="I44" s="1069">
        <f>IF('[3]BASE'!GU44=0,"",'[3]BASE'!GU44)</f>
      </c>
      <c r="J44" s="1069">
        <f>IF('[3]BASE'!GV44=0,"",'[3]BASE'!GV44)</f>
      </c>
      <c r="K44" s="1069">
        <f>IF('[3]BASE'!GW44=0,"",'[3]BASE'!GW44)</f>
      </c>
      <c r="L44" s="1069">
        <f>IF('[3]BASE'!GX44=0,"",'[3]BASE'!GX44)</f>
      </c>
      <c r="M44" s="1069">
        <f>IF('[3]BASE'!GY44=0,"",'[3]BASE'!GY44)</f>
      </c>
      <c r="N44" s="1069">
        <f>IF('[3]BASE'!GZ44=0,"",'[3]BASE'!GZ44)</f>
        <v>2</v>
      </c>
      <c r="O44" s="1069">
        <f>IF('[3]BASE'!HA44=0,"",'[3]BASE'!HA44)</f>
      </c>
      <c r="P44" s="1069">
        <f>IF('[3]BASE'!HB44=0,"",'[3]BASE'!HB44)</f>
      </c>
      <c r="Q44" s="1069">
        <f>IF('[3]BASE'!HC44=0,"",'[3]BASE'!HC44)</f>
      </c>
      <c r="R44" s="1069">
        <f>IF('[3]BASE'!HD44=0,"",'[3]BASE'!HD44)</f>
      </c>
      <c r="S44" s="1069">
        <f>IF('[3]BASE'!HE44=0,"",'[3]BASE'!HE44)</f>
      </c>
      <c r="T44" s="1070"/>
      <c r="U44" s="1066"/>
    </row>
    <row r="45" spans="2:21" s="1060" customFormat="1" ht="19.5" customHeight="1">
      <c r="B45" s="1061"/>
      <c r="C45" s="1073">
        <f>IF('[3]BASE'!C45=0,"",'[3]BASE'!C45)</f>
        <v>29</v>
      </c>
      <c r="D45" s="1073" t="str">
        <f>IF('[3]BASE'!D45=0,"",'[3]BASE'!D45)</f>
        <v>GRAL. RODRIGUEZ - CAMPANA </v>
      </c>
      <c r="E45" s="1073">
        <f>IF('[3]BASE'!E45=0,"",'[3]BASE'!E45)</f>
        <v>500</v>
      </c>
      <c r="F45" s="1073">
        <f>IF('[3]BASE'!F45=0,"",'[3]BASE'!F45)</f>
        <v>42</v>
      </c>
      <c r="G45" s="1074" t="str">
        <f>IF('[2]BASE'!G45=0,"",'[2]BASE'!G45)</f>
        <v>B</v>
      </c>
      <c r="H45" s="1069">
        <f>IF('[3]BASE'!GT45=0,"",'[3]BASE'!GT45)</f>
      </c>
      <c r="I45" s="1069">
        <f>IF('[3]BASE'!GU45=0,"",'[3]BASE'!GU45)</f>
      </c>
      <c r="J45" s="1069">
        <f>IF('[3]BASE'!GV45=0,"",'[3]BASE'!GV45)</f>
      </c>
      <c r="K45" s="1069">
        <f>IF('[3]BASE'!GW45=0,"",'[3]BASE'!GW45)</f>
      </c>
      <c r="L45" s="1069">
        <f>IF('[3]BASE'!GX45=0,"",'[3]BASE'!GX45)</f>
      </c>
      <c r="M45" s="1069">
        <f>IF('[3]BASE'!GY45=0,"",'[3]BASE'!GY45)</f>
      </c>
      <c r="N45" s="1069">
        <f>IF('[3]BASE'!GZ45=0,"",'[3]BASE'!GZ45)</f>
      </c>
      <c r="O45" s="1069">
        <f>IF('[3]BASE'!HA45=0,"",'[3]BASE'!HA45)</f>
      </c>
      <c r="P45" s="1069">
        <f>IF('[3]BASE'!HB45=0,"",'[3]BASE'!HB45)</f>
      </c>
      <c r="Q45" s="1069">
        <f>IF('[3]BASE'!HC45=0,"",'[3]BASE'!HC45)</f>
      </c>
      <c r="R45" s="1069">
        <f>IF('[3]BASE'!HD45=0,"",'[3]BASE'!HD45)</f>
      </c>
      <c r="S45" s="1069">
        <f>IF('[3]BASE'!HE45=0,"",'[3]BASE'!HE45)</f>
      </c>
      <c r="T45" s="1070"/>
      <c r="U45" s="1066"/>
    </row>
    <row r="46" spans="2:21" s="1060" customFormat="1" ht="19.5" customHeight="1">
      <c r="B46" s="1061"/>
      <c r="C46" s="1071">
        <f>IF('[3]BASE'!C46=0,"",'[3]BASE'!C46)</f>
        <v>30</v>
      </c>
      <c r="D46" s="1071" t="str">
        <f>IF('[3]BASE'!D46=0,"",'[3]BASE'!D46)</f>
        <v>GRAL. RODRIGUEZ- ROSARIO OESTE </v>
      </c>
      <c r="E46" s="1071">
        <f>IF('[3]BASE'!E46=0,"",'[3]BASE'!E46)</f>
        <v>500</v>
      </c>
      <c r="F46" s="1071">
        <f>IF('[3]BASE'!F46=0,"",'[3]BASE'!F46)</f>
        <v>258</v>
      </c>
      <c r="G46" s="1072" t="str">
        <f>IF('[2]BASE'!G46=0,"",'[2]BASE'!G46)</f>
        <v>C</v>
      </c>
      <c r="H46" s="1069" t="str">
        <f>IF('[3]BASE'!GT46=0,"",'[3]BASE'!GT46)</f>
        <v>XXXX</v>
      </c>
      <c r="I46" s="1069" t="str">
        <f>IF('[3]BASE'!GU46=0,"",'[3]BASE'!GU46)</f>
        <v>XXXX</v>
      </c>
      <c r="J46" s="1069" t="str">
        <f>IF('[3]BASE'!GV46=0,"",'[3]BASE'!GV46)</f>
        <v>XXXX</v>
      </c>
      <c r="K46" s="1069" t="str">
        <f>IF('[3]BASE'!GW46=0,"",'[3]BASE'!GW46)</f>
        <v>XXXX</v>
      </c>
      <c r="L46" s="1069" t="str">
        <f>IF('[3]BASE'!GX46=0,"",'[3]BASE'!GX46)</f>
        <v>XXXX</v>
      </c>
      <c r="M46" s="1069" t="str">
        <f>IF('[3]BASE'!GY46=0,"",'[3]BASE'!GY46)</f>
        <v>XXXX</v>
      </c>
      <c r="N46" s="1069" t="str">
        <f>IF('[3]BASE'!GZ46=0,"",'[3]BASE'!GZ46)</f>
        <v>XXXX</v>
      </c>
      <c r="O46" s="1069" t="str">
        <f>IF('[3]BASE'!HA46=0,"",'[3]BASE'!HA46)</f>
        <v>XXXX</v>
      </c>
      <c r="P46" s="1069" t="str">
        <f>IF('[3]BASE'!HB46=0,"",'[3]BASE'!HB46)</f>
        <v>XXXX</v>
      </c>
      <c r="Q46" s="1069" t="str">
        <f>IF('[3]BASE'!HC46=0,"",'[3]BASE'!HC46)</f>
        <v>XXXX</v>
      </c>
      <c r="R46" s="1069" t="str">
        <f>IF('[3]BASE'!HD46=0,"",'[3]BASE'!HD46)</f>
        <v>XXXX</v>
      </c>
      <c r="S46" s="1069" t="str">
        <f>IF('[3]BASE'!HE46=0,"",'[3]BASE'!HE46)</f>
        <v>XXXX</v>
      </c>
      <c r="T46" s="1070"/>
      <c r="U46" s="1066"/>
    </row>
    <row r="47" spans="2:21" s="1060" customFormat="1" ht="19.5" customHeight="1">
      <c r="B47" s="1061"/>
      <c r="C47" s="1073">
        <f>IF('[3]BASE'!C47=0,"",'[3]BASE'!C47)</f>
        <v>31</v>
      </c>
      <c r="D47" s="1073" t="str">
        <f>IF('[3]BASE'!D47=0,"",'[3]BASE'!D47)</f>
        <v>MALVINAS ARG. - ALMAFUERTE </v>
      </c>
      <c r="E47" s="1073">
        <f>IF('[3]BASE'!E47=0,"",'[3]BASE'!E47)</f>
        <v>500</v>
      </c>
      <c r="F47" s="1073">
        <f>IF('[3]BASE'!F47=0,"",'[3]BASE'!F47)</f>
        <v>105</v>
      </c>
      <c r="G47" s="1074" t="str">
        <f>IF('[2]BASE'!G47=0,"",'[2]BASE'!G47)</f>
        <v>B</v>
      </c>
      <c r="H47" s="1069">
        <f>IF('[3]BASE'!GT47=0,"",'[3]BASE'!GT47)</f>
      </c>
      <c r="I47" s="1069">
        <f>IF('[3]BASE'!GU47=0,"",'[3]BASE'!GU47)</f>
      </c>
      <c r="J47" s="1069">
        <f>IF('[3]BASE'!GV47=0,"",'[3]BASE'!GV47)</f>
      </c>
      <c r="K47" s="1069">
        <f>IF('[3]BASE'!GW47=0,"",'[3]BASE'!GW47)</f>
      </c>
      <c r="L47" s="1069">
        <f>IF('[3]BASE'!GX47=0,"",'[3]BASE'!GX47)</f>
      </c>
      <c r="M47" s="1069">
        <f>IF('[3]BASE'!GY47=0,"",'[3]BASE'!GY47)</f>
      </c>
      <c r="N47" s="1069">
        <f>IF('[3]BASE'!GZ47=0,"",'[3]BASE'!GZ47)</f>
        <v>1</v>
      </c>
      <c r="O47" s="1069">
        <f>IF('[3]BASE'!HA47=0,"",'[3]BASE'!HA47)</f>
      </c>
      <c r="P47" s="1069">
        <f>IF('[3]BASE'!HB47=0,"",'[3]BASE'!HB47)</f>
      </c>
      <c r="Q47" s="1069">
        <f>IF('[3]BASE'!HC47=0,"",'[3]BASE'!HC47)</f>
      </c>
      <c r="R47" s="1069">
        <f>IF('[3]BASE'!HD47=0,"",'[3]BASE'!HD47)</f>
      </c>
      <c r="S47" s="1069">
        <f>IF('[3]BASE'!HE47=0,"",'[3]BASE'!HE47)</f>
      </c>
      <c r="T47" s="1070"/>
      <c r="U47" s="1066"/>
    </row>
    <row r="48" spans="2:21" s="1060" customFormat="1" ht="19.5" customHeight="1">
      <c r="B48" s="1061"/>
      <c r="C48" s="1071">
        <f>IF('[3]BASE'!C48=0,"",'[3]BASE'!C48)</f>
        <v>32</v>
      </c>
      <c r="D48" s="1071" t="str">
        <f>IF('[3]BASE'!D48=0,"",'[3]BASE'!D48)</f>
        <v>OLAVARRIA - BAHIA BLANCA 1</v>
      </c>
      <c r="E48" s="1071">
        <f>IF('[3]BASE'!E48=0,"",'[3]BASE'!E48)</f>
        <v>500</v>
      </c>
      <c r="F48" s="1071">
        <f>IF('[3]BASE'!F48=0,"",'[3]BASE'!F48)</f>
        <v>255</v>
      </c>
      <c r="G48" s="1072" t="str">
        <f>IF('[2]BASE'!G48=0,"",'[2]BASE'!G48)</f>
        <v>B</v>
      </c>
      <c r="H48" s="1069">
        <f>IF('[3]BASE'!GT48=0,"",'[3]BASE'!GT48)</f>
      </c>
      <c r="I48" s="1069">
        <f>IF('[3]BASE'!GU48=0,"",'[3]BASE'!GU48)</f>
      </c>
      <c r="J48" s="1069">
        <f>IF('[3]BASE'!GV48=0,"",'[3]BASE'!GV48)</f>
      </c>
      <c r="K48" s="1069">
        <f>IF('[3]BASE'!GW48=0,"",'[3]BASE'!GW48)</f>
      </c>
      <c r="L48" s="1069">
        <f>IF('[3]BASE'!GX48=0,"",'[3]BASE'!GX48)</f>
      </c>
      <c r="M48" s="1069">
        <f>IF('[3]BASE'!GY48=0,"",'[3]BASE'!GY48)</f>
      </c>
      <c r="N48" s="1069">
        <f>IF('[3]BASE'!GZ48=0,"",'[3]BASE'!GZ48)</f>
      </c>
      <c r="O48" s="1069">
        <f>IF('[3]BASE'!HA48=0,"",'[3]BASE'!HA48)</f>
      </c>
      <c r="P48" s="1069">
        <f>IF('[3]BASE'!HB48=0,"",'[3]BASE'!HB48)</f>
      </c>
      <c r="Q48" s="1069">
        <f>IF('[3]BASE'!HC48=0,"",'[3]BASE'!HC48)</f>
      </c>
      <c r="R48" s="1069">
        <f>IF('[3]BASE'!HD48=0,"",'[3]BASE'!HD48)</f>
      </c>
      <c r="S48" s="1069">
        <f>IF('[3]BASE'!HE48=0,"",'[3]BASE'!HE48)</f>
      </c>
      <c r="T48" s="1070"/>
      <c r="U48" s="1066"/>
    </row>
    <row r="49" spans="2:21" s="1060" customFormat="1" ht="19.5" customHeight="1">
      <c r="B49" s="1061"/>
      <c r="C49" s="1073">
        <f>IF('[3]BASE'!C49=0,"",'[3]BASE'!C49)</f>
        <v>33</v>
      </c>
      <c r="D49" s="1073" t="str">
        <f>IF('[3]BASE'!D49=0,"",'[3]BASE'!D49)</f>
        <v>OLAVARRIA - BAHIA BLANCA 2</v>
      </c>
      <c r="E49" s="1073">
        <f>IF('[3]BASE'!E49=0,"",'[3]BASE'!E49)</f>
        <v>500</v>
      </c>
      <c r="F49" s="1073">
        <f>IF('[3]BASE'!F49=0,"",'[3]BASE'!F49)</f>
        <v>254.8</v>
      </c>
      <c r="G49" s="1074" t="e">
        <f>IF('[2]BASE'!G49=0,"",'[2]BASE'!G49)</f>
        <v>#REF!</v>
      </c>
      <c r="H49" s="1069">
        <f>IF('[3]BASE'!GT49=0,"",'[3]BASE'!GT49)</f>
      </c>
      <c r="I49" s="1069">
        <f>IF('[3]BASE'!GU49=0,"",'[3]BASE'!GU49)</f>
      </c>
      <c r="J49" s="1069">
        <f>IF('[3]BASE'!GV49=0,"",'[3]BASE'!GV49)</f>
      </c>
      <c r="K49" s="1069">
        <f>IF('[3]BASE'!GW49=0,"",'[3]BASE'!GW49)</f>
      </c>
      <c r="L49" s="1069">
        <f>IF('[3]BASE'!GX49=0,"",'[3]BASE'!GX49)</f>
      </c>
      <c r="M49" s="1069">
        <f>IF('[3]BASE'!GY49=0,"",'[3]BASE'!GY49)</f>
      </c>
      <c r="N49" s="1069">
        <f>IF('[3]BASE'!GZ49=0,"",'[3]BASE'!GZ49)</f>
      </c>
      <c r="O49" s="1069">
        <f>IF('[3]BASE'!HA49=0,"",'[3]BASE'!HA49)</f>
      </c>
      <c r="P49" s="1069">
        <f>IF('[3]BASE'!HB49=0,"",'[3]BASE'!HB49)</f>
      </c>
      <c r="Q49" s="1069">
        <f>IF('[3]BASE'!HC49=0,"",'[3]BASE'!HC49)</f>
      </c>
      <c r="R49" s="1069">
        <f>IF('[3]BASE'!HD49=0,"",'[3]BASE'!HD49)</f>
      </c>
      <c r="S49" s="1069">
        <f>IF('[3]BASE'!HE49=0,"",'[3]BASE'!HE49)</f>
      </c>
      <c r="T49" s="1070"/>
      <c r="U49" s="1066"/>
    </row>
    <row r="50" spans="2:21" s="1060" customFormat="1" ht="19.5" customHeight="1">
      <c r="B50" s="1061"/>
      <c r="C50" s="1071">
        <f>IF('[3]BASE'!C50=0,"",'[3]BASE'!C50)</f>
        <v>34</v>
      </c>
      <c r="D50" s="1071" t="str">
        <f>IF('[3]BASE'!D50=0,"",'[3]BASE'!D50)</f>
        <v>P.del AGUILA  - CHOELE CHOEL</v>
      </c>
      <c r="E50" s="1071">
        <f>IF('[3]BASE'!E50=0,"",'[3]BASE'!E50)</f>
        <v>500</v>
      </c>
      <c r="F50" s="1071">
        <f>IF('[3]BASE'!F50=0,"",'[3]BASE'!F50)</f>
        <v>386.7</v>
      </c>
      <c r="G50" s="1072" t="e">
        <f>IF('[2]BASE'!G50=0,"",'[2]BASE'!G50)</f>
        <v>#REF!</v>
      </c>
      <c r="H50" s="1069">
        <f>IF('[3]BASE'!GT50=0,"",'[3]BASE'!GT50)</f>
      </c>
      <c r="I50" s="1069">
        <f>IF('[3]BASE'!GU50=0,"",'[3]BASE'!GU50)</f>
      </c>
      <c r="J50" s="1069">
        <f>IF('[3]BASE'!GV50=0,"",'[3]BASE'!GV50)</f>
      </c>
      <c r="K50" s="1069">
        <f>IF('[3]BASE'!GW50=0,"",'[3]BASE'!GW50)</f>
      </c>
      <c r="L50" s="1069">
        <f>IF('[3]BASE'!GX50=0,"",'[3]BASE'!GX50)</f>
      </c>
      <c r="M50" s="1069">
        <f>IF('[3]BASE'!GY50=0,"",'[3]BASE'!GY50)</f>
      </c>
      <c r="N50" s="1069">
        <f>IF('[3]BASE'!GZ50=0,"",'[3]BASE'!GZ50)</f>
      </c>
      <c r="O50" s="1069">
        <f>IF('[3]BASE'!HA50=0,"",'[3]BASE'!HA50)</f>
      </c>
      <c r="P50" s="1069">
        <f>IF('[3]BASE'!HB50=0,"",'[3]BASE'!HB50)</f>
      </c>
      <c r="Q50" s="1069">
        <f>IF('[3]BASE'!HC50=0,"",'[3]BASE'!HC50)</f>
      </c>
      <c r="R50" s="1069">
        <f>IF('[3]BASE'!HD50=0,"",'[3]BASE'!HD50)</f>
        <v>1</v>
      </c>
      <c r="S50" s="1069">
        <f>IF('[3]BASE'!HE50=0,"",'[3]BASE'!HE50)</f>
      </c>
      <c r="T50" s="1070"/>
      <c r="U50" s="1066"/>
    </row>
    <row r="51" spans="2:21" s="1060" customFormat="1" ht="19.5" customHeight="1">
      <c r="B51" s="1061"/>
      <c r="C51" s="1073">
        <f>IF('[3]BASE'!C51=0,"",'[3]BASE'!C51)</f>
        <v>35</v>
      </c>
      <c r="D51" s="1073" t="str">
        <f>IF('[3]BASE'!D51=0,"",'[3]BASE'!D51)</f>
        <v>P.del AGUILA  - CHO. W. 1 (5GW1)</v>
      </c>
      <c r="E51" s="1073">
        <f>IF('[3]BASE'!E51=0,"",'[3]BASE'!E51)</f>
        <v>500</v>
      </c>
      <c r="F51" s="1073">
        <f>IF('[3]BASE'!F51=0,"",'[3]BASE'!F51)</f>
        <v>165</v>
      </c>
      <c r="G51" s="1074" t="str">
        <f>IF('[2]BASE'!G51=0,"",'[2]BASE'!G51)</f>
        <v>A</v>
      </c>
      <c r="H51" s="1069">
        <f>IF('[3]BASE'!GT51=0,"",'[3]BASE'!GT51)</f>
      </c>
      <c r="I51" s="1069">
        <f>IF('[3]BASE'!GU51=0,"",'[3]BASE'!GU51)</f>
      </c>
      <c r="J51" s="1069">
        <f>IF('[3]BASE'!GV51=0,"",'[3]BASE'!GV51)</f>
      </c>
      <c r="K51" s="1069">
        <f>IF('[3]BASE'!GW51=0,"",'[3]BASE'!GW51)</f>
      </c>
      <c r="L51" s="1069">
        <f>IF('[3]BASE'!GX51=0,"",'[3]BASE'!GX51)</f>
      </c>
      <c r="M51" s="1069">
        <f>IF('[3]BASE'!GY51=0,"",'[3]BASE'!GY51)</f>
      </c>
      <c r="N51" s="1069">
        <f>IF('[3]BASE'!GZ51=0,"",'[3]BASE'!GZ51)</f>
      </c>
      <c r="O51" s="1069">
        <f>IF('[3]BASE'!HA51=0,"",'[3]BASE'!HA51)</f>
      </c>
      <c r="P51" s="1069">
        <f>IF('[3]BASE'!HB51=0,"",'[3]BASE'!HB51)</f>
        <v>1</v>
      </c>
      <c r="Q51" s="1069">
        <f>IF('[3]BASE'!HC51=0,"",'[3]BASE'!HC51)</f>
      </c>
      <c r="R51" s="1069">
        <f>IF('[3]BASE'!HD51=0,"",'[3]BASE'!HD51)</f>
        <v>1</v>
      </c>
      <c r="S51" s="1069">
        <f>IF('[3]BASE'!HE51=0,"",'[3]BASE'!HE51)</f>
      </c>
      <c r="T51" s="1070"/>
      <c r="U51" s="1066"/>
    </row>
    <row r="52" spans="2:21" s="1060" customFormat="1" ht="19.5" customHeight="1">
      <c r="B52" s="1061"/>
      <c r="C52" s="1071">
        <f>IF('[3]BASE'!C52=0,"",'[3]BASE'!C52)</f>
        <v>36</v>
      </c>
      <c r="D52" s="1071" t="str">
        <f>IF('[3]BASE'!D52=0,"",'[3]BASE'!D52)</f>
        <v>P.del AGUILA  - CHO. W. 2 (5GW2)</v>
      </c>
      <c r="E52" s="1071">
        <f>IF('[3]BASE'!E52=0,"",'[3]BASE'!E52)</f>
        <v>500</v>
      </c>
      <c r="F52" s="1071">
        <f>IF('[3]BASE'!F52=0,"",'[3]BASE'!F52)</f>
        <v>170</v>
      </c>
      <c r="G52" s="1072" t="str">
        <f>IF('[2]BASE'!G52=0,"",'[2]BASE'!G52)</f>
        <v>A</v>
      </c>
      <c r="H52" s="1069">
        <f>IF('[3]BASE'!GT52=0,"",'[3]BASE'!GT52)</f>
      </c>
      <c r="I52" s="1069">
        <f>IF('[3]BASE'!GU52=0,"",'[3]BASE'!GU52)</f>
      </c>
      <c r="J52" s="1069">
        <f>IF('[3]BASE'!GV52=0,"",'[3]BASE'!GV52)</f>
      </c>
      <c r="K52" s="1069">
        <f>IF('[3]BASE'!GW52=0,"",'[3]BASE'!GW52)</f>
      </c>
      <c r="L52" s="1069">
        <f>IF('[3]BASE'!GX52=0,"",'[3]BASE'!GX52)</f>
      </c>
      <c r="M52" s="1069">
        <f>IF('[3]BASE'!GY52=0,"",'[3]BASE'!GY52)</f>
      </c>
      <c r="N52" s="1069">
        <f>IF('[3]BASE'!GZ52=0,"",'[3]BASE'!GZ52)</f>
      </c>
      <c r="O52" s="1069">
        <f>IF('[3]BASE'!HA52=0,"",'[3]BASE'!HA52)</f>
      </c>
      <c r="P52" s="1069">
        <f>IF('[3]BASE'!HB52=0,"",'[3]BASE'!HB52)</f>
      </c>
      <c r="Q52" s="1069">
        <f>IF('[3]BASE'!HC52=0,"",'[3]BASE'!HC52)</f>
      </c>
      <c r="R52" s="1069">
        <f>IF('[3]BASE'!HD52=0,"",'[3]BASE'!HD52)</f>
      </c>
      <c r="S52" s="1069">
        <f>IF('[3]BASE'!HE52=0,"",'[3]BASE'!HE52)</f>
      </c>
      <c r="T52" s="1070"/>
      <c r="U52" s="1066"/>
    </row>
    <row r="53" spans="2:21" s="1060" customFormat="1" ht="19.5" customHeight="1">
      <c r="B53" s="1061"/>
      <c r="C53" s="1073">
        <f>IF('[3]BASE'!C53=0,"",'[3]BASE'!C53)</f>
        <v>37</v>
      </c>
      <c r="D53" s="1073" t="str">
        <f>IF('[3]BASE'!D53=0,"",'[3]BASE'!D53)</f>
        <v>PUELCHES - HENDERSON 1 (B1)</v>
      </c>
      <c r="E53" s="1073">
        <f>IF('[3]BASE'!E53=0,"",'[3]BASE'!E53)</f>
        <v>500</v>
      </c>
      <c r="F53" s="1073">
        <f>IF('[3]BASE'!F53=0,"",'[3]BASE'!F53)</f>
        <v>421</v>
      </c>
      <c r="G53" s="1074" t="str">
        <f>IF('[2]BASE'!G53=0,"",'[2]BASE'!G53)</f>
        <v>A</v>
      </c>
      <c r="H53" s="1069">
        <f>IF('[3]BASE'!GT53=0,"",'[3]BASE'!GT53)</f>
      </c>
      <c r="I53" s="1069">
        <f>IF('[3]BASE'!GU53=0,"",'[3]BASE'!GU53)</f>
      </c>
      <c r="J53" s="1069">
        <f>IF('[3]BASE'!GV53=0,"",'[3]BASE'!GV53)</f>
      </c>
      <c r="K53" s="1069">
        <f>IF('[3]BASE'!GW53=0,"",'[3]BASE'!GW53)</f>
      </c>
      <c r="L53" s="1069">
        <f>IF('[3]BASE'!GX53=0,"",'[3]BASE'!GX53)</f>
      </c>
      <c r="M53" s="1069">
        <f>IF('[3]BASE'!GY53=0,"",'[3]BASE'!GY53)</f>
      </c>
      <c r="N53" s="1069">
        <f>IF('[3]BASE'!GZ53=0,"",'[3]BASE'!GZ53)</f>
        <v>1</v>
      </c>
      <c r="O53" s="1069">
        <f>IF('[3]BASE'!HA53=0,"",'[3]BASE'!HA53)</f>
      </c>
      <c r="P53" s="1069">
        <f>IF('[3]BASE'!HB53=0,"",'[3]BASE'!HB53)</f>
      </c>
      <c r="Q53" s="1069">
        <f>IF('[3]BASE'!HC53=0,"",'[3]BASE'!HC53)</f>
      </c>
      <c r="R53" s="1069">
        <f>IF('[3]BASE'!HD53=0,"",'[3]BASE'!HD53)</f>
      </c>
      <c r="S53" s="1069">
        <f>IF('[3]BASE'!HE53=0,"",'[3]BASE'!HE53)</f>
      </c>
      <c r="T53" s="1070"/>
      <c r="U53" s="1066"/>
    </row>
    <row r="54" spans="2:21" s="1060" customFormat="1" ht="19.5" customHeight="1">
      <c r="B54" s="1061"/>
      <c r="C54" s="1071">
        <f>IF('[3]BASE'!C54=0,"",'[3]BASE'!C54)</f>
        <v>38</v>
      </c>
      <c r="D54" s="1071" t="str">
        <f>IF('[3]BASE'!D54=0,"",'[3]BASE'!D54)</f>
        <v>PUELCHES - HENDERSON 2 (B2)</v>
      </c>
      <c r="E54" s="1071">
        <f>IF('[3]BASE'!E54=0,"",'[3]BASE'!E54)</f>
        <v>500</v>
      </c>
      <c r="F54" s="1071">
        <f>IF('[3]BASE'!F54=0,"",'[3]BASE'!F54)</f>
        <v>421</v>
      </c>
      <c r="G54" s="1072" t="str">
        <f>IF('[2]BASE'!G54=0,"",'[2]BASE'!G54)</f>
        <v>A</v>
      </c>
      <c r="H54" s="1069" t="str">
        <f>IF('[3]BASE'!GT54=0,"",'[3]BASE'!GT54)</f>
        <v>XXXX</v>
      </c>
      <c r="I54" s="1069" t="str">
        <f>IF('[3]BASE'!GU54=0,"",'[3]BASE'!GU54)</f>
        <v>XXXX</v>
      </c>
      <c r="J54" s="1069" t="str">
        <f>IF('[3]BASE'!GV54=0,"",'[3]BASE'!GV54)</f>
        <v>XXXX</v>
      </c>
      <c r="K54" s="1069" t="str">
        <f>IF('[3]BASE'!GW54=0,"",'[3]BASE'!GW54)</f>
        <v>XXXX</v>
      </c>
      <c r="L54" s="1069" t="str">
        <f>IF('[3]BASE'!GX54=0,"",'[3]BASE'!GX54)</f>
        <v>XXXX</v>
      </c>
      <c r="M54" s="1069" t="str">
        <f>IF('[3]BASE'!GY54=0,"",'[3]BASE'!GY54)</f>
        <v>XXXX</v>
      </c>
      <c r="N54" s="1069" t="str">
        <f>IF('[3]BASE'!GZ54=0,"",'[3]BASE'!GZ54)</f>
        <v>XXXX</v>
      </c>
      <c r="O54" s="1069" t="str">
        <f>IF('[3]BASE'!HA54=0,"",'[3]BASE'!HA54)</f>
        <v>XXXX</v>
      </c>
      <c r="P54" s="1069" t="str">
        <f>IF('[3]BASE'!HB54=0,"",'[3]BASE'!HB54)</f>
        <v>XXXX</v>
      </c>
      <c r="Q54" s="1069" t="str">
        <f>IF('[3]BASE'!HC54=0,"",'[3]BASE'!HC54)</f>
        <v>XXXX</v>
      </c>
      <c r="R54" s="1069" t="str">
        <f>IF('[3]BASE'!HD54=0,"",'[3]BASE'!HD54)</f>
        <v>XXXX</v>
      </c>
      <c r="S54" s="1069" t="str">
        <f>IF('[3]BASE'!HE54=0,"",'[3]BASE'!HE54)</f>
        <v>XXXX</v>
      </c>
      <c r="T54" s="1070"/>
      <c r="U54" s="1066"/>
    </row>
    <row r="55" spans="2:21" s="1060" customFormat="1" ht="19.5" customHeight="1">
      <c r="B55" s="1061"/>
      <c r="C55" s="1073">
        <f>IF('[3]BASE'!C55=0,"",'[3]BASE'!C55)</f>
        <v>39</v>
      </c>
      <c r="D55" s="1073" t="str">
        <f>IF('[3]BASE'!D55=0,"",'[3]BASE'!D55)</f>
        <v>RECREO - MALVINAS ARG. </v>
      </c>
      <c r="E55" s="1073">
        <f>IF('[3]BASE'!E55=0,"",'[3]BASE'!E55)</f>
        <v>500</v>
      </c>
      <c r="F55" s="1073">
        <f>IF('[3]BASE'!F55=0,"",'[3]BASE'!F55)</f>
        <v>259</v>
      </c>
      <c r="G55" s="1074" t="str">
        <f>IF('[2]BASE'!G55=0,"",'[2]BASE'!G55)</f>
        <v>C</v>
      </c>
      <c r="H55" s="1069">
        <f>IF('[3]BASE'!GT55=0,"",'[3]BASE'!GT55)</f>
      </c>
      <c r="I55" s="1069">
        <f>IF('[3]BASE'!GU55=0,"",'[3]BASE'!GU55)</f>
      </c>
      <c r="J55" s="1069">
        <f>IF('[3]BASE'!GV55=0,"",'[3]BASE'!GV55)</f>
      </c>
      <c r="K55" s="1069">
        <f>IF('[3]BASE'!GW55=0,"",'[3]BASE'!GW55)</f>
      </c>
      <c r="L55" s="1069">
        <f>IF('[3]BASE'!GX55=0,"",'[3]BASE'!GX55)</f>
      </c>
      <c r="M55" s="1069">
        <f>IF('[3]BASE'!GY55=0,"",'[3]BASE'!GY55)</f>
      </c>
      <c r="N55" s="1069">
        <f>IF('[3]BASE'!GZ55=0,"",'[3]BASE'!GZ55)</f>
      </c>
      <c r="O55" s="1069">
        <f>IF('[3]BASE'!HA55=0,"",'[3]BASE'!HA55)</f>
      </c>
      <c r="P55" s="1069">
        <f>IF('[3]BASE'!HB55=0,"",'[3]BASE'!HB55)</f>
      </c>
      <c r="Q55" s="1069">
        <f>IF('[3]BASE'!HC55=0,"",'[3]BASE'!HC55)</f>
      </c>
      <c r="R55" s="1069">
        <f>IF('[3]BASE'!HD55=0,"",'[3]BASE'!HD55)</f>
      </c>
      <c r="S55" s="1069">
        <f>IF('[3]BASE'!HE55=0,"",'[3]BASE'!HE55)</f>
      </c>
      <c r="T55" s="1070"/>
      <c r="U55" s="1066"/>
    </row>
    <row r="56" spans="2:21" s="1060" customFormat="1" ht="19.5" customHeight="1">
      <c r="B56" s="1061"/>
      <c r="C56" s="1071">
        <f>IF('[3]BASE'!C56=0,"",'[3]BASE'!C56)</f>
        <v>40</v>
      </c>
      <c r="D56" s="1071" t="str">
        <f>IF('[3]BASE'!D56=0,"",'[3]BASE'!D56)</f>
        <v>RIO GRANDE - EMBALSE</v>
      </c>
      <c r="E56" s="1071">
        <f>IF('[3]BASE'!E56=0,"",'[3]BASE'!E56)</f>
        <v>500</v>
      </c>
      <c r="F56" s="1071">
        <f>IF('[3]BASE'!F56=0,"",'[3]BASE'!F56)</f>
        <v>30</v>
      </c>
      <c r="G56" s="1072" t="str">
        <f>IF('[2]BASE'!G56=0,"",'[2]BASE'!G56)</f>
        <v>B</v>
      </c>
      <c r="H56" s="1069">
        <f>IF('[3]BASE'!GT56=0,"",'[3]BASE'!GT56)</f>
      </c>
      <c r="I56" s="1069">
        <f>IF('[3]BASE'!GU56=0,"",'[3]BASE'!GU56)</f>
      </c>
      <c r="J56" s="1069">
        <f>IF('[3]BASE'!GV56=0,"",'[3]BASE'!GV56)</f>
      </c>
      <c r="K56" s="1069">
        <f>IF('[3]BASE'!GW56=0,"",'[3]BASE'!GW56)</f>
      </c>
      <c r="L56" s="1069">
        <f>IF('[3]BASE'!GX56=0,"",'[3]BASE'!GX56)</f>
      </c>
      <c r="M56" s="1069">
        <f>IF('[3]BASE'!GY56=0,"",'[3]BASE'!GY56)</f>
      </c>
      <c r="N56" s="1069">
        <f>IF('[3]BASE'!GZ56=0,"",'[3]BASE'!GZ56)</f>
      </c>
      <c r="O56" s="1069">
        <f>IF('[3]BASE'!HA56=0,"",'[3]BASE'!HA56)</f>
      </c>
      <c r="P56" s="1069">
        <f>IF('[3]BASE'!HB56=0,"",'[3]BASE'!HB56)</f>
      </c>
      <c r="Q56" s="1069">
        <f>IF('[3]BASE'!HC56=0,"",'[3]BASE'!HC56)</f>
      </c>
      <c r="R56" s="1069">
        <f>IF('[3]BASE'!HD56=0,"",'[3]BASE'!HD56)</f>
      </c>
      <c r="S56" s="1069">
        <f>IF('[3]BASE'!HE56=0,"",'[3]BASE'!HE56)</f>
      </c>
      <c r="T56" s="1070"/>
      <c r="U56" s="1066"/>
    </row>
    <row r="57" spans="2:21" s="1060" customFormat="1" ht="19.5" customHeight="1">
      <c r="B57" s="1061"/>
      <c r="C57" s="1073">
        <f>IF('[3]BASE'!C57=0,"",'[3]BASE'!C57)</f>
        <v>41</v>
      </c>
      <c r="D57" s="1073" t="str">
        <f>IF('[3]BASE'!D57=0,"",'[3]BASE'!D57)</f>
        <v>RIO GRANDE - GRAN MENDOZA</v>
      </c>
      <c r="E57" s="1073">
        <f>IF('[3]BASE'!E57=0,"",'[3]BASE'!E57)</f>
        <v>500</v>
      </c>
      <c r="F57" s="1073">
        <f>IF('[3]BASE'!F57=0,"",'[3]BASE'!F57)</f>
        <v>407</v>
      </c>
      <c r="G57" s="1074" t="str">
        <f>IF('[2]BASE'!G57=0,"",'[2]BASE'!G57)</f>
        <v>B</v>
      </c>
      <c r="H57" s="1069" t="str">
        <f>IF('[3]BASE'!GT57=0,"",'[3]BASE'!GT57)</f>
        <v>XXXX</v>
      </c>
      <c r="I57" s="1069" t="str">
        <f>IF('[3]BASE'!GU57=0,"",'[3]BASE'!GU57)</f>
        <v>XXXX</v>
      </c>
      <c r="J57" s="1069" t="str">
        <f>IF('[3]BASE'!GV57=0,"",'[3]BASE'!GV57)</f>
        <v>XXXX</v>
      </c>
      <c r="K57" s="1069" t="str">
        <f>IF('[3]BASE'!GW57=0,"",'[3]BASE'!GW57)</f>
        <v>XXXX</v>
      </c>
      <c r="L57" s="1069" t="str">
        <f>IF('[3]BASE'!GX57=0,"",'[3]BASE'!GX57)</f>
        <v>XXXX</v>
      </c>
      <c r="M57" s="1069" t="str">
        <f>IF('[3]BASE'!GY57=0,"",'[3]BASE'!GY57)</f>
        <v>XXXX</v>
      </c>
      <c r="N57" s="1069" t="str">
        <f>IF('[3]BASE'!GZ57=0,"",'[3]BASE'!GZ57)</f>
        <v>XXXX</v>
      </c>
      <c r="O57" s="1069" t="str">
        <f>IF('[3]BASE'!HA57=0,"",'[3]BASE'!HA57)</f>
        <v>XXXX</v>
      </c>
      <c r="P57" s="1069" t="str">
        <f>IF('[3]BASE'!HB57=0,"",'[3]BASE'!HB57)</f>
        <v>XXXX</v>
      </c>
      <c r="Q57" s="1069" t="str">
        <f>IF('[3]BASE'!HC57=0,"",'[3]BASE'!HC57)</f>
        <v>XXXX</v>
      </c>
      <c r="R57" s="1069" t="str">
        <f>IF('[3]BASE'!HD57=0,"",'[3]BASE'!HD57)</f>
        <v>XXXX</v>
      </c>
      <c r="S57" s="1069" t="str">
        <f>IF('[3]BASE'!HE57=0,"",'[3]BASE'!HE57)</f>
        <v>XXXX</v>
      </c>
      <c r="T57" s="1070"/>
      <c r="U57" s="1066"/>
    </row>
    <row r="58" spans="2:21" s="1060" customFormat="1" ht="19.5" customHeight="1">
      <c r="B58" s="1061"/>
      <c r="C58" s="1071">
        <f>IF('[3]BASE'!C58=0,"",'[3]BASE'!C58)</f>
        <v>42</v>
      </c>
      <c r="D58" s="1071" t="str">
        <f>IF('[3]BASE'!D58=0,"",'[3]BASE'!D58)</f>
        <v>RIO GRANDE - LUJAN</v>
      </c>
      <c r="E58" s="1071">
        <f>IF('[3]BASE'!E58=0,"",'[3]BASE'!E58)</f>
        <v>500</v>
      </c>
      <c r="F58" s="1071">
        <f>IF('[3]BASE'!F58=0,"",'[3]BASE'!F58)</f>
        <v>150</v>
      </c>
      <c r="G58" s="1072" t="str">
        <f>IF('[2]BASE'!G58=0,"",'[2]BASE'!G58)</f>
        <v>A</v>
      </c>
      <c r="H58" s="1069">
        <f>IF('[3]BASE'!GT58=0,"",'[3]BASE'!GT58)</f>
      </c>
      <c r="I58" s="1069">
        <f>IF('[3]BASE'!GU58=0,"",'[3]BASE'!GU58)</f>
      </c>
      <c r="J58" s="1069">
        <f>IF('[3]BASE'!GV58=0,"",'[3]BASE'!GV58)</f>
      </c>
      <c r="K58" s="1069">
        <f>IF('[3]BASE'!GW58=0,"",'[3]BASE'!GW58)</f>
      </c>
      <c r="L58" s="1069">
        <f>IF('[3]BASE'!GX58=0,"",'[3]BASE'!GX58)</f>
      </c>
      <c r="M58" s="1069">
        <f>IF('[3]BASE'!GY58=0,"",'[3]BASE'!GY58)</f>
      </c>
      <c r="N58" s="1069">
        <f>IF('[3]BASE'!GZ58=0,"",'[3]BASE'!GZ58)</f>
      </c>
      <c r="O58" s="1069">
        <f>IF('[3]BASE'!HA58=0,"",'[3]BASE'!HA58)</f>
      </c>
      <c r="P58" s="1069">
        <f>IF('[3]BASE'!HB58=0,"",'[3]BASE'!HB58)</f>
      </c>
      <c r="Q58" s="1069">
        <f>IF('[3]BASE'!HC58=0,"",'[3]BASE'!HC58)</f>
      </c>
      <c r="R58" s="1069">
        <f>IF('[3]BASE'!HD58=0,"",'[3]BASE'!HD58)</f>
      </c>
      <c r="S58" s="1069">
        <f>IF('[3]BASE'!HE58=0,"",'[3]BASE'!HE58)</f>
      </c>
      <c r="T58" s="1070"/>
      <c r="U58" s="1066"/>
    </row>
    <row r="59" spans="2:21" s="1060" customFormat="1" ht="19.5" customHeight="1">
      <c r="B59" s="1061"/>
      <c r="C59" s="1073">
        <f>IF('[3]BASE'!C59=0,"",'[3]BASE'!C59)</f>
        <v>43</v>
      </c>
      <c r="D59" s="1073" t="str">
        <f>IF('[3]BASE'!D59=0,"",'[3]BASE'!D59)</f>
        <v>LUJAN - GRAN MENDOZA</v>
      </c>
      <c r="E59" s="1073">
        <f>IF('[3]BASE'!E59=0,"",'[3]BASE'!E59)</f>
        <v>500</v>
      </c>
      <c r="F59" s="1073">
        <f>IF('[3]BASE'!F59=0,"",'[3]BASE'!F59)</f>
        <v>257</v>
      </c>
      <c r="G59" s="1074" t="str">
        <f>IF('[2]BASE'!G59=0,"",'[2]BASE'!G59)</f>
        <v>B</v>
      </c>
      <c r="H59" s="1069">
        <f>IF('[3]BASE'!GT59=0,"",'[3]BASE'!GT59)</f>
      </c>
      <c r="I59" s="1069">
        <f>IF('[3]BASE'!GU59=0,"",'[3]BASE'!GU59)</f>
      </c>
      <c r="J59" s="1069">
        <f>IF('[3]BASE'!GV59=0,"",'[3]BASE'!GV59)</f>
      </c>
      <c r="K59" s="1069">
        <f>IF('[3]BASE'!GW59=0,"",'[3]BASE'!GW59)</f>
      </c>
      <c r="L59" s="1069">
        <f>IF('[3]BASE'!GX59=0,"",'[3]BASE'!GX59)</f>
      </c>
      <c r="M59" s="1069">
        <f>IF('[3]BASE'!GY59=0,"",'[3]BASE'!GY59)</f>
      </c>
      <c r="N59" s="1069">
        <f>IF('[3]BASE'!GZ59=0,"",'[3]BASE'!GZ59)</f>
      </c>
      <c r="O59" s="1069">
        <f>IF('[3]BASE'!HA59=0,"",'[3]BASE'!HA59)</f>
      </c>
      <c r="P59" s="1069">
        <f>IF('[3]BASE'!HB59=0,"",'[3]BASE'!HB59)</f>
      </c>
      <c r="Q59" s="1069">
        <f>IF('[3]BASE'!HC59=0,"",'[3]BASE'!HC59)</f>
      </c>
      <c r="R59" s="1069">
        <f>IF('[3]BASE'!HD59=0,"",'[3]BASE'!HD59)</f>
      </c>
      <c r="S59" s="1069">
        <f>IF('[3]BASE'!HE59=0,"",'[3]BASE'!HE59)</f>
      </c>
      <c r="T59" s="1070"/>
      <c r="U59" s="1066"/>
    </row>
    <row r="60" spans="2:21" s="1060" customFormat="1" ht="19.5" customHeight="1">
      <c r="B60" s="1061"/>
      <c r="C60" s="1071">
        <f>IF('[3]BASE'!C60=0,"",'[3]BASE'!C60)</f>
        <v>44</v>
      </c>
      <c r="D60" s="1071" t="str">
        <f>IF('[3]BASE'!D60=0,"",'[3]BASE'!D60)</f>
        <v>ROMANG - RESISTENCIA</v>
      </c>
      <c r="E60" s="1071">
        <f>IF('[3]BASE'!E60=0,"",'[3]BASE'!E60)</f>
        <v>500</v>
      </c>
      <c r="F60" s="1071">
        <f>IF('[3]BASE'!F60=0,"",'[3]BASE'!F60)</f>
        <v>256</v>
      </c>
      <c r="G60" s="1072" t="str">
        <f>IF('[2]BASE'!G60=0,"",'[2]BASE'!G60)</f>
        <v>A</v>
      </c>
      <c r="H60" s="1069">
        <f>IF('[3]BASE'!GT60=0,"",'[3]BASE'!GT60)</f>
      </c>
      <c r="I60" s="1069">
        <f>IF('[3]BASE'!GU60=0,"",'[3]BASE'!GU60)</f>
      </c>
      <c r="J60" s="1069">
        <f>IF('[3]BASE'!GV60=0,"",'[3]BASE'!GV60)</f>
      </c>
      <c r="K60" s="1069">
        <f>IF('[3]BASE'!GW60=0,"",'[3]BASE'!GW60)</f>
      </c>
      <c r="L60" s="1069">
        <f>IF('[3]BASE'!GX60=0,"",'[3]BASE'!GX60)</f>
      </c>
      <c r="M60" s="1069">
        <f>IF('[3]BASE'!GY60=0,"",'[3]BASE'!GY60)</f>
      </c>
      <c r="N60" s="1069">
        <f>IF('[3]BASE'!GZ60=0,"",'[3]BASE'!GZ60)</f>
        <v>1</v>
      </c>
      <c r="O60" s="1069">
        <f>IF('[3]BASE'!HA60=0,"",'[3]BASE'!HA60)</f>
      </c>
      <c r="P60" s="1069">
        <f>IF('[3]BASE'!HB60=0,"",'[3]BASE'!HB60)</f>
      </c>
      <c r="Q60" s="1069">
        <f>IF('[3]BASE'!HC60=0,"",'[3]BASE'!HC60)</f>
      </c>
      <c r="R60" s="1069">
        <f>IF('[3]BASE'!HD60=0,"",'[3]BASE'!HD60)</f>
      </c>
      <c r="S60" s="1069">
        <f>IF('[3]BASE'!HE60=0,"",'[3]BASE'!HE60)</f>
      </c>
      <c r="T60" s="1070"/>
      <c r="U60" s="1066"/>
    </row>
    <row r="61" spans="2:21" s="1060" customFormat="1" ht="19.5" customHeight="1">
      <c r="B61" s="1061"/>
      <c r="C61" s="1073">
        <f>IF('[3]BASE'!C61=0,"",'[3]BASE'!C61)</f>
        <v>45</v>
      </c>
      <c r="D61" s="1073" t="str">
        <f>IF('[3]BASE'!D61=0,"",'[3]BASE'!D61)</f>
        <v>ROSARIO OESTE -SANTO TOME</v>
      </c>
      <c r="E61" s="1073">
        <f>IF('[3]BASE'!E61=0,"",'[3]BASE'!E61)</f>
        <v>500</v>
      </c>
      <c r="F61" s="1073">
        <f>IF('[3]BASE'!F61=0,"",'[3]BASE'!F61)</f>
        <v>159</v>
      </c>
      <c r="G61" s="1074" t="str">
        <f>IF('[2]BASE'!G61=0,"",'[2]BASE'!G61)</f>
        <v>C</v>
      </c>
      <c r="H61" s="1069" t="str">
        <f>IF('[3]BASE'!GT61=0,"",'[3]BASE'!GT61)</f>
        <v>XXXX</v>
      </c>
      <c r="I61" s="1069" t="str">
        <f>IF('[3]BASE'!GU61=0,"",'[3]BASE'!GU61)</f>
        <v>XXXX</v>
      </c>
      <c r="J61" s="1069" t="str">
        <f>IF('[3]BASE'!GV61=0,"",'[3]BASE'!GV61)</f>
        <v>XXXX</v>
      </c>
      <c r="K61" s="1069" t="str">
        <f>IF('[3]BASE'!GW61=0,"",'[3]BASE'!GW61)</f>
        <v>XXXX</v>
      </c>
      <c r="L61" s="1069" t="str">
        <f>IF('[3]BASE'!GX61=0,"",'[3]BASE'!GX61)</f>
        <v>XXXX</v>
      </c>
      <c r="M61" s="1069" t="str">
        <f>IF('[3]BASE'!GY61=0,"",'[3]BASE'!GY61)</f>
        <v>XXXX</v>
      </c>
      <c r="N61" s="1069" t="str">
        <f>IF('[3]BASE'!GZ61=0,"",'[3]BASE'!GZ61)</f>
        <v>XXXX</v>
      </c>
      <c r="O61" s="1069" t="str">
        <f>IF('[3]BASE'!HA61=0,"",'[3]BASE'!HA61)</f>
        <v>XXXX</v>
      </c>
      <c r="P61" s="1069" t="str">
        <f>IF('[3]BASE'!HB61=0,"",'[3]BASE'!HB61)</f>
        <v>XXXX</v>
      </c>
      <c r="Q61" s="1069" t="str">
        <f>IF('[3]BASE'!HC61=0,"",'[3]BASE'!HC61)</f>
        <v>XXXX</v>
      </c>
      <c r="R61" s="1069" t="str">
        <f>IF('[3]BASE'!HD61=0,"",'[3]BASE'!HD61)</f>
        <v>XXXX</v>
      </c>
      <c r="S61" s="1069" t="str">
        <f>IF('[3]BASE'!HE61=0,"",'[3]BASE'!HE61)</f>
        <v>XXXX</v>
      </c>
      <c r="T61" s="1070"/>
      <c r="U61" s="1066"/>
    </row>
    <row r="62" spans="2:21" s="1060" customFormat="1" ht="19.5" customHeight="1">
      <c r="B62" s="1061"/>
      <c r="C62" s="1071">
        <f>IF('[3]BASE'!C62=0,"",'[3]BASE'!C62)</f>
      </c>
      <c r="D62" s="1071" t="str">
        <f>IF('[3]BASE'!D62=0,"",'[3]BASE'!D62)</f>
        <v>ROSARIO OESTE - RIO CORONDA</v>
      </c>
      <c r="E62" s="1071">
        <f>IF('[3]BASE'!E62=0,"",'[3]BASE'!E62)</f>
        <v>500</v>
      </c>
      <c r="F62" s="1071">
        <f>IF('[3]BASE'!F62=0,"",'[3]BASE'!F62)</f>
        <v>64.99</v>
      </c>
      <c r="G62" s="1072" t="str">
        <f>IF('[2]BASE'!G62=0,"",'[2]BASE'!G62)</f>
        <v>C</v>
      </c>
      <c r="H62" s="1069">
        <f>IF('[3]BASE'!GT62=0,"",'[3]BASE'!GT62)</f>
      </c>
      <c r="I62" s="1069">
        <f>IF('[3]BASE'!GU62=0,"",'[3]BASE'!GU62)</f>
      </c>
      <c r="J62" s="1069">
        <f>IF('[3]BASE'!GV62=0,"",'[3]BASE'!GV62)</f>
      </c>
      <c r="K62" s="1069">
        <f>IF('[3]BASE'!GW62=0,"",'[3]BASE'!GW62)</f>
      </c>
      <c r="L62" s="1069">
        <f>IF('[3]BASE'!GX62=0,"",'[3]BASE'!GX62)</f>
      </c>
      <c r="M62" s="1069">
        <f>IF('[3]BASE'!GY62=0,"",'[3]BASE'!GY62)</f>
      </c>
      <c r="N62" s="1069">
        <f>IF('[3]BASE'!GZ62=0,"",'[3]BASE'!GZ62)</f>
      </c>
      <c r="O62" s="1069">
        <f>IF('[3]BASE'!HA62=0,"",'[3]BASE'!HA62)</f>
      </c>
      <c r="P62" s="1069">
        <f>IF('[3]BASE'!HB62=0,"",'[3]BASE'!HB62)</f>
      </c>
      <c r="Q62" s="1069">
        <f>IF('[3]BASE'!HC62=0,"",'[3]BASE'!HC62)</f>
      </c>
      <c r="R62" s="1069">
        <f>IF('[3]BASE'!HD62=0,"",'[3]BASE'!HD62)</f>
      </c>
      <c r="S62" s="1069">
        <f>IF('[3]BASE'!HE62=0,"",'[3]BASE'!HE62)</f>
      </c>
      <c r="T62" s="1070"/>
      <c r="U62" s="1066"/>
    </row>
    <row r="63" spans="2:21" s="1060" customFormat="1" ht="19.5" customHeight="1">
      <c r="B63" s="1061"/>
      <c r="C63" s="1073">
        <f>IF('[3]BASE'!C63=0,"",'[3]BASE'!C63)</f>
      </c>
      <c r="D63" s="1073" t="str">
        <f>IF('[3]BASE'!D63=0,"",'[3]BASE'!D63)</f>
        <v>RIO CORONDA - SANTO TOME</v>
      </c>
      <c r="E63" s="1073">
        <f>IF('[3]BASE'!E63=0,"",'[3]BASE'!E63)</f>
        <v>500</v>
      </c>
      <c r="F63" s="1073">
        <f>IF('[3]BASE'!F63=0,"",'[3]BASE'!F63)</f>
        <v>137.94</v>
      </c>
      <c r="G63" s="1074" t="str">
        <f>IF('[2]BASE'!G63=0,"",'[2]BASE'!G63)</f>
        <v>A</v>
      </c>
      <c r="H63" s="1069">
        <f>IF('[3]BASE'!GT63=0,"",'[3]BASE'!GT63)</f>
      </c>
      <c r="I63" s="1069">
        <f>IF('[3]BASE'!GU63=0,"",'[3]BASE'!GU63)</f>
        <v>1</v>
      </c>
      <c r="J63" s="1069">
        <f>IF('[3]BASE'!GV63=0,"",'[3]BASE'!GV63)</f>
      </c>
      <c r="K63" s="1069">
        <f>IF('[3]BASE'!GW63=0,"",'[3]BASE'!GW63)</f>
      </c>
      <c r="L63" s="1069">
        <f>IF('[3]BASE'!GX63=0,"",'[3]BASE'!GX63)</f>
      </c>
      <c r="M63" s="1069">
        <f>IF('[3]BASE'!GY63=0,"",'[3]BASE'!GY63)</f>
      </c>
      <c r="N63" s="1069">
        <f>IF('[3]BASE'!GZ63=0,"",'[3]BASE'!GZ63)</f>
      </c>
      <c r="O63" s="1069">
        <f>IF('[3]BASE'!HA63=0,"",'[3]BASE'!HA63)</f>
      </c>
      <c r="P63" s="1069">
        <f>IF('[3]BASE'!HB63=0,"",'[3]BASE'!HB63)</f>
      </c>
      <c r="Q63" s="1069">
        <f>IF('[3]BASE'!HC63=0,"",'[3]BASE'!HC63)</f>
      </c>
      <c r="R63" s="1069">
        <f>IF('[3]BASE'!HD63=0,"",'[3]BASE'!HD63)</f>
      </c>
      <c r="S63" s="1069">
        <f>IF('[3]BASE'!HE63=0,"",'[3]BASE'!HE63)</f>
      </c>
      <c r="T63" s="1070"/>
      <c r="U63" s="1066"/>
    </row>
    <row r="64" spans="2:21" s="1060" customFormat="1" ht="19.5" customHeight="1">
      <c r="B64" s="1061"/>
      <c r="C64" s="1071">
        <f>IF('[3]BASE'!C64=0,"",'[3]BASE'!C64)</f>
        <v>46</v>
      </c>
      <c r="D64" s="1071" t="str">
        <f>IF('[3]BASE'!D64=0,"",'[3]BASE'!D64)</f>
        <v>SALTO GRANDE - SANTO TOME </v>
      </c>
      <c r="E64" s="1071">
        <f>IF('[3]BASE'!E64=0,"",'[3]BASE'!E64)</f>
        <v>500</v>
      </c>
      <c r="F64" s="1071">
        <f>IF('[3]BASE'!F64=0,"",'[3]BASE'!F64)</f>
        <v>289</v>
      </c>
      <c r="G64" s="1072" t="str">
        <f>IF('[2]BASE'!G64=0,"",'[2]BASE'!G64)</f>
        <v>C</v>
      </c>
      <c r="H64" s="1069">
        <f>IF('[3]BASE'!GT64=0,"",'[3]BASE'!GT64)</f>
      </c>
      <c r="I64" s="1069">
        <f>IF('[3]BASE'!GU64=0,"",'[3]BASE'!GU64)</f>
        <v>1</v>
      </c>
      <c r="J64" s="1069">
        <f>IF('[3]BASE'!GV64=0,"",'[3]BASE'!GV64)</f>
      </c>
      <c r="K64" s="1069">
        <f>IF('[3]BASE'!GW64=0,"",'[3]BASE'!GW64)</f>
      </c>
      <c r="L64" s="1069">
        <f>IF('[3]BASE'!GX64=0,"",'[3]BASE'!GX64)</f>
      </c>
      <c r="M64" s="1069">
        <f>IF('[3]BASE'!GY64=0,"",'[3]BASE'!GY64)</f>
      </c>
      <c r="N64" s="1069">
        <f>IF('[3]BASE'!GZ64=0,"",'[3]BASE'!GZ64)</f>
      </c>
      <c r="O64" s="1069">
        <f>IF('[3]BASE'!HA64=0,"",'[3]BASE'!HA64)</f>
      </c>
      <c r="P64" s="1069">
        <f>IF('[3]BASE'!HB64=0,"",'[3]BASE'!HB64)</f>
        <v>1</v>
      </c>
      <c r="Q64" s="1069">
        <f>IF('[3]BASE'!HC64=0,"",'[3]BASE'!HC64)</f>
      </c>
      <c r="R64" s="1069">
        <f>IF('[3]BASE'!HD64=0,"",'[3]BASE'!HD64)</f>
      </c>
      <c r="S64" s="1069">
        <f>IF('[3]BASE'!HE64=0,"",'[3]BASE'!HE64)</f>
      </c>
      <c r="T64" s="1070"/>
      <c r="U64" s="1066"/>
    </row>
    <row r="65" spans="2:21" s="1060" customFormat="1" ht="19.5" customHeight="1">
      <c r="B65" s="1061"/>
      <c r="C65" s="1073">
        <f>IF('[3]BASE'!C65=0,"",'[3]BASE'!C65)</f>
        <v>47</v>
      </c>
      <c r="D65" s="1073" t="str">
        <f>IF('[3]BASE'!D65=0,"",'[3]BASE'!D65)</f>
        <v>SANTO TOME - ROMANG </v>
      </c>
      <c r="E65" s="1073">
        <f>IF('[3]BASE'!E65=0,"",'[3]BASE'!E65)</f>
        <v>500</v>
      </c>
      <c r="F65" s="1073">
        <f>IF('[3]BASE'!F65=0,"",'[3]BASE'!F65)</f>
        <v>270</v>
      </c>
      <c r="G65" s="1074" t="str">
        <f>IF('[2]BASE'!G65=0,"",'[2]BASE'!G65)</f>
        <v>C</v>
      </c>
      <c r="H65" s="1069">
        <f>IF('[3]BASE'!GT65=0,"",'[3]BASE'!GT65)</f>
      </c>
      <c r="I65" s="1069">
        <f>IF('[3]BASE'!GU65=0,"",'[3]BASE'!GU65)</f>
      </c>
      <c r="J65" s="1069">
        <f>IF('[3]BASE'!GV65=0,"",'[3]BASE'!GV65)</f>
      </c>
      <c r="K65" s="1069">
        <f>IF('[3]BASE'!GW65=0,"",'[3]BASE'!GW65)</f>
      </c>
      <c r="L65" s="1069">
        <f>IF('[3]BASE'!GX65=0,"",'[3]BASE'!GX65)</f>
      </c>
      <c r="M65" s="1069">
        <f>IF('[3]BASE'!GY65=0,"",'[3]BASE'!GY65)</f>
      </c>
      <c r="N65" s="1069">
        <f>IF('[3]BASE'!GZ65=0,"",'[3]BASE'!GZ65)</f>
      </c>
      <c r="O65" s="1069">
        <f>IF('[3]BASE'!HA65=0,"",'[3]BASE'!HA65)</f>
      </c>
      <c r="P65" s="1069">
        <f>IF('[3]BASE'!HB65=0,"",'[3]BASE'!HB65)</f>
      </c>
      <c r="Q65" s="1069">
        <f>IF('[3]BASE'!HC65=0,"",'[3]BASE'!HC65)</f>
      </c>
      <c r="R65" s="1069">
        <f>IF('[3]BASE'!HD65=0,"",'[3]BASE'!HD65)</f>
      </c>
      <c r="S65" s="1069">
        <f>IF('[3]BASE'!HE65=0,"",'[3]BASE'!HE65)</f>
      </c>
      <c r="T65" s="1070"/>
      <c r="U65" s="1066"/>
    </row>
    <row r="66" spans="2:21" s="1060" customFormat="1" ht="19.5" customHeight="1">
      <c r="B66" s="1061"/>
      <c r="C66" s="1071">
        <f>IF('[3]BASE'!C66=0,"",'[3]BASE'!C66)</f>
      </c>
      <c r="D66" s="1071">
        <f>IF('[3]BASE'!D66=0,"",'[3]BASE'!D66)</f>
      </c>
      <c r="E66" s="1071">
        <f>IF('[3]BASE'!E66=0,"",'[3]BASE'!E66)</f>
      </c>
      <c r="F66" s="1071">
        <f>IF('[3]BASE'!F66=0,"",'[3]BASE'!F66)</f>
      </c>
      <c r="G66" s="1072" t="str">
        <f>IF('[2]BASE'!G66=0,"",'[2]BASE'!G66)</f>
        <v>C</v>
      </c>
      <c r="H66" s="1069">
        <f>IF('[3]BASE'!GT66=0,"",'[3]BASE'!GT66)</f>
      </c>
      <c r="I66" s="1069">
        <f>IF('[3]BASE'!GU66=0,"",'[3]BASE'!GU66)</f>
      </c>
      <c r="J66" s="1069">
        <f>IF('[3]BASE'!GV66=0,"",'[3]BASE'!GV66)</f>
      </c>
      <c r="K66" s="1069">
        <f>IF('[3]BASE'!GW66=0,"",'[3]BASE'!GW66)</f>
      </c>
      <c r="L66" s="1069">
        <f>IF('[3]BASE'!GX66=0,"",'[3]BASE'!GX66)</f>
      </c>
      <c r="M66" s="1069">
        <f>IF('[3]BASE'!GY66=0,"",'[3]BASE'!GY66)</f>
      </c>
      <c r="N66" s="1069">
        <f>IF('[3]BASE'!GZ66=0,"",'[3]BASE'!GZ66)</f>
      </c>
      <c r="O66" s="1069">
        <f>IF('[3]BASE'!HA66=0,"",'[3]BASE'!HA66)</f>
      </c>
      <c r="P66" s="1069">
        <f>IF('[3]BASE'!HB66=0,"",'[3]BASE'!HB66)</f>
      </c>
      <c r="Q66" s="1069">
        <f>IF('[3]BASE'!HC66=0,"",'[3]BASE'!HC66)</f>
      </c>
      <c r="R66" s="1069">
        <f>IF('[3]BASE'!HD66=0,"",'[3]BASE'!HD66)</f>
      </c>
      <c r="S66" s="1069">
        <f>IF('[3]BASE'!HE66=0,"",'[3]BASE'!HE66)</f>
      </c>
      <c r="T66" s="1070"/>
      <c r="U66" s="1066"/>
    </row>
    <row r="67" spans="2:21" s="1060" customFormat="1" ht="19.5" customHeight="1">
      <c r="B67" s="1061"/>
      <c r="C67" s="1073">
        <f>IF('[3]BASE'!C67=0,"",'[3]BASE'!C67)</f>
        <v>48</v>
      </c>
      <c r="D67" s="1073" t="str">
        <f>IF('[3]BASE'!D67=0,"",'[3]BASE'!D67)</f>
        <v>GRAL. RODRIGUEZ - VILLA  LIA 1</v>
      </c>
      <c r="E67" s="1073">
        <f>IF('[3]BASE'!E67=0,"",'[3]BASE'!E67)</f>
        <v>220</v>
      </c>
      <c r="F67" s="1073">
        <f>IF('[3]BASE'!F67=0,"",'[3]BASE'!F67)</f>
        <v>61</v>
      </c>
      <c r="G67" s="1074" t="str">
        <f>IF('[2]BASE'!G67=0,"",'[2]BASE'!G67)</f>
        <v>C</v>
      </c>
      <c r="H67" s="1069">
        <f>IF('[3]BASE'!GT67=0,"",'[3]BASE'!GT67)</f>
      </c>
      <c r="I67" s="1069">
        <f>IF('[3]BASE'!GU67=0,"",'[3]BASE'!GU67)</f>
      </c>
      <c r="J67" s="1069">
        <f>IF('[3]BASE'!GV67=0,"",'[3]BASE'!GV67)</f>
      </c>
      <c r="K67" s="1069">
        <f>IF('[3]BASE'!GW67=0,"",'[3]BASE'!GW67)</f>
      </c>
      <c r="L67" s="1069">
        <f>IF('[3]BASE'!GX67=0,"",'[3]BASE'!GX67)</f>
      </c>
      <c r="M67" s="1069">
        <f>IF('[3]BASE'!GY67=0,"",'[3]BASE'!GY67)</f>
      </c>
      <c r="N67" s="1069">
        <f>IF('[3]BASE'!GZ67=0,"",'[3]BASE'!GZ67)</f>
        <v>1</v>
      </c>
      <c r="O67" s="1069">
        <f>IF('[3]BASE'!HA67=0,"",'[3]BASE'!HA67)</f>
      </c>
      <c r="P67" s="1069">
        <f>IF('[3]BASE'!HB67=0,"",'[3]BASE'!HB67)</f>
      </c>
      <c r="Q67" s="1069">
        <f>IF('[3]BASE'!HC67=0,"",'[3]BASE'!HC67)</f>
      </c>
      <c r="R67" s="1069">
        <f>IF('[3]BASE'!HD67=0,"",'[3]BASE'!HD67)</f>
      </c>
      <c r="S67" s="1069">
        <f>IF('[3]BASE'!HE67=0,"",'[3]BASE'!HE67)</f>
      </c>
      <c r="T67" s="1070"/>
      <c r="U67" s="1066"/>
    </row>
    <row r="68" spans="2:21" s="1060" customFormat="1" ht="19.5" customHeight="1">
      <c r="B68" s="1061"/>
      <c r="C68" s="1071">
        <f>IF('[3]BASE'!C68=0,"",'[3]BASE'!C68)</f>
        <v>49</v>
      </c>
      <c r="D68" s="1071" t="str">
        <f>IF('[3]BASE'!D68=0,"",'[3]BASE'!D68)</f>
        <v>GRAL. RODRIGUEZ - VILLA  LIA 2</v>
      </c>
      <c r="E68" s="1071">
        <f>IF('[3]BASE'!E68=0,"",'[3]BASE'!E68)</f>
        <v>220</v>
      </c>
      <c r="F68" s="1071">
        <f>IF('[3]BASE'!F68=0,"",'[3]BASE'!F68)</f>
        <v>61</v>
      </c>
      <c r="G68" s="1072" t="str">
        <f>IF('[2]BASE'!G68=0,"",'[2]BASE'!G68)</f>
        <v>C</v>
      </c>
      <c r="H68" s="1069">
        <f>IF('[3]BASE'!GT68=0,"",'[3]BASE'!GT68)</f>
      </c>
      <c r="I68" s="1069">
        <f>IF('[3]BASE'!GU68=0,"",'[3]BASE'!GU68)</f>
      </c>
      <c r="J68" s="1069">
        <f>IF('[3]BASE'!GV68=0,"",'[3]BASE'!GV68)</f>
      </c>
      <c r="K68" s="1069">
        <f>IF('[3]BASE'!GW68=0,"",'[3]BASE'!GW68)</f>
      </c>
      <c r="L68" s="1069">
        <f>IF('[3]BASE'!GX68=0,"",'[3]BASE'!GX68)</f>
      </c>
      <c r="M68" s="1069">
        <f>IF('[3]BASE'!GY68=0,"",'[3]BASE'!GY68)</f>
      </c>
      <c r="N68" s="1069">
        <f>IF('[3]BASE'!GZ68=0,"",'[3]BASE'!GZ68)</f>
      </c>
      <c r="O68" s="1069">
        <f>IF('[3]BASE'!HA68=0,"",'[3]BASE'!HA68)</f>
      </c>
      <c r="P68" s="1069">
        <f>IF('[3]BASE'!HB68=0,"",'[3]BASE'!HB68)</f>
      </c>
      <c r="Q68" s="1069">
        <f>IF('[3]BASE'!HC68=0,"",'[3]BASE'!HC68)</f>
      </c>
      <c r="R68" s="1069">
        <f>IF('[3]BASE'!HD68=0,"",'[3]BASE'!HD68)</f>
      </c>
      <c r="S68" s="1069">
        <f>IF('[3]BASE'!HE68=0,"",'[3]BASE'!HE68)</f>
      </c>
      <c r="T68" s="1070"/>
      <c r="U68" s="1066"/>
    </row>
    <row r="69" spans="2:21" s="1060" customFormat="1" ht="19.5" customHeight="1">
      <c r="B69" s="1061"/>
      <c r="C69" s="1073">
        <f>IF('[3]BASE'!C69=0,"",'[3]BASE'!C69)</f>
        <v>50</v>
      </c>
      <c r="D69" s="1073" t="str">
        <f>IF('[3]BASE'!D69=0,"",'[3]BASE'!D69)</f>
        <v>RAMALLO - SAN NICOLAS (2)</v>
      </c>
      <c r="E69" s="1073">
        <f>IF('[3]BASE'!E69=0,"",'[3]BASE'!E69)</f>
        <v>220</v>
      </c>
      <c r="F69" s="1074">
        <f>IF('[3]BASE'!F69=0,"",'[3]BASE'!F69)</f>
        <v>6</v>
      </c>
      <c r="G69" s="1074" t="str">
        <f>IF('[2]BASE'!G69=0,"",'[2]BASE'!G69)</f>
        <v>C</v>
      </c>
      <c r="H69" s="1069">
        <f>IF('[3]BASE'!GT69=0,"",'[3]BASE'!GT69)</f>
      </c>
      <c r="I69" s="1069">
        <f>IF('[3]BASE'!GU69=0,"",'[3]BASE'!GU69)</f>
      </c>
      <c r="J69" s="1069">
        <f>IF('[3]BASE'!GV69=0,"",'[3]BASE'!GV69)</f>
      </c>
      <c r="K69" s="1069">
        <f>IF('[3]BASE'!GW69=0,"",'[3]BASE'!GW69)</f>
      </c>
      <c r="L69" s="1069">
        <f>IF('[3]BASE'!GX69=0,"",'[3]BASE'!GX69)</f>
      </c>
      <c r="M69" s="1069">
        <f>IF('[3]BASE'!GY69=0,"",'[3]BASE'!GY69)</f>
      </c>
      <c r="N69" s="1069">
        <f>IF('[3]BASE'!GZ69=0,"",'[3]BASE'!GZ69)</f>
      </c>
      <c r="O69" s="1069">
        <f>IF('[3]BASE'!HA69=0,"",'[3]BASE'!HA69)</f>
      </c>
      <c r="P69" s="1069">
        <f>IF('[3]BASE'!HB69=0,"",'[3]BASE'!HB69)</f>
      </c>
      <c r="Q69" s="1069">
        <f>IF('[3]BASE'!HC69=0,"",'[3]BASE'!HC69)</f>
      </c>
      <c r="R69" s="1069">
        <f>IF('[3]BASE'!HD69=0,"",'[3]BASE'!HD69)</f>
      </c>
      <c r="S69" s="1069">
        <f>IF('[3]BASE'!HE69=0,"",'[3]BASE'!HE69)</f>
      </c>
      <c r="T69" s="1070"/>
      <c r="U69" s="1066"/>
    </row>
    <row r="70" spans="2:21" s="1060" customFormat="1" ht="19.5" customHeight="1">
      <c r="B70" s="1061"/>
      <c r="C70" s="1071">
        <f>IF('[3]BASE'!C70=0,"",'[3]BASE'!C70)</f>
        <v>51</v>
      </c>
      <c r="D70" s="1071" t="str">
        <f>IF('[3]BASE'!D70=0,"",'[3]BASE'!D70)</f>
        <v>RAMALLO - SAN NICOLAS (1)</v>
      </c>
      <c r="E70" s="1071">
        <f>IF('[3]BASE'!E70=0,"",'[3]BASE'!E70)</f>
        <v>220</v>
      </c>
      <c r="F70" s="1072">
        <f>IF('[3]BASE'!F70=0,"",'[3]BASE'!F70)</f>
        <v>6</v>
      </c>
      <c r="G70" s="1072" t="str">
        <f>IF('[2]BASE'!G70=0,"",'[2]BASE'!G70)</f>
        <v>C</v>
      </c>
      <c r="H70" s="1069">
        <f>IF('[3]BASE'!GT70=0,"",'[3]BASE'!GT70)</f>
      </c>
      <c r="I70" s="1069">
        <f>IF('[3]BASE'!GU70=0,"",'[3]BASE'!GU70)</f>
      </c>
      <c r="J70" s="1069">
        <f>IF('[3]BASE'!GV70=0,"",'[3]BASE'!GV70)</f>
      </c>
      <c r="K70" s="1069">
        <f>IF('[3]BASE'!GW70=0,"",'[3]BASE'!GW70)</f>
      </c>
      <c r="L70" s="1069">
        <f>IF('[3]BASE'!GX70=0,"",'[3]BASE'!GX70)</f>
      </c>
      <c r="M70" s="1069">
        <f>IF('[3]BASE'!GY70=0,"",'[3]BASE'!GY70)</f>
      </c>
      <c r="N70" s="1069">
        <f>IF('[3]BASE'!GZ70=0,"",'[3]BASE'!GZ70)</f>
      </c>
      <c r="O70" s="1069">
        <f>IF('[3]BASE'!HA70=0,"",'[3]BASE'!HA70)</f>
      </c>
      <c r="P70" s="1069">
        <f>IF('[3]BASE'!HB70=0,"",'[3]BASE'!HB70)</f>
      </c>
      <c r="Q70" s="1069">
        <f>IF('[3]BASE'!HC70=0,"",'[3]BASE'!HC70)</f>
      </c>
      <c r="R70" s="1069">
        <f>IF('[3]BASE'!HD70=0,"",'[3]BASE'!HD70)</f>
      </c>
      <c r="S70" s="1069">
        <f>IF('[3]BASE'!HE70=0,"",'[3]BASE'!HE70)</f>
      </c>
      <c r="T70" s="1070"/>
      <c r="U70" s="1066"/>
    </row>
    <row r="71" spans="2:21" s="1060" customFormat="1" ht="19.5" customHeight="1">
      <c r="B71" s="1061"/>
      <c r="C71" s="1073">
        <f>IF('[3]BASE'!C71=0,"",'[3]BASE'!C71)</f>
        <v>52</v>
      </c>
      <c r="D71" s="1073" t="str">
        <f>IF('[3]BASE'!D71=0,"",'[3]BASE'!D71)</f>
        <v>RAMALLO - VILLA LIA  1</v>
      </c>
      <c r="E71" s="1073">
        <f>IF('[3]BASE'!E71=0,"",'[3]BASE'!E71)</f>
        <v>220</v>
      </c>
      <c r="F71" s="1074">
        <f>IF('[3]BASE'!F71=0,"",'[3]BASE'!F71)</f>
        <v>114</v>
      </c>
      <c r="G71" s="1074" t="str">
        <f>IF('[2]BASE'!G71=0,"",'[2]BASE'!G71)</f>
        <v>C</v>
      </c>
      <c r="H71" s="1069">
        <f>IF('[3]BASE'!GT71=0,"",'[3]BASE'!GT71)</f>
      </c>
      <c r="I71" s="1069">
        <f>IF('[3]BASE'!GU71=0,"",'[3]BASE'!GU71)</f>
      </c>
      <c r="J71" s="1069">
        <f>IF('[3]BASE'!GV71=0,"",'[3]BASE'!GV71)</f>
      </c>
      <c r="K71" s="1069">
        <f>IF('[3]BASE'!GW71=0,"",'[3]BASE'!GW71)</f>
      </c>
      <c r="L71" s="1069">
        <f>IF('[3]BASE'!GX71=0,"",'[3]BASE'!GX71)</f>
      </c>
      <c r="M71" s="1069">
        <f>IF('[3]BASE'!GY71=0,"",'[3]BASE'!GY71)</f>
      </c>
      <c r="N71" s="1069">
        <f>IF('[3]BASE'!GZ71=0,"",'[3]BASE'!GZ71)</f>
      </c>
      <c r="O71" s="1069">
        <f>IF('[3]BASE'!HA71=0,"",'[3]BASE'!HA71)</f>
      </c>
      <c r="P71" s="1069">
        <f>IF('[3]BASE'!HB71=0,"",'[3]BASE'!HB71)</f>
      </c>
      <c r="Q71" s="1069">
        <f>IF('[3]BASE'!HC71=0,"",'[3]BASE'!HC71)</f>
      </c>
      <c r="R71" s="1069">
        <f>IF('[3]BASE'!HD71=0,"",'[3]BASE'!HD71)</f>
      </c>
      <c r="S71" s="1069">
        <f>IF('[3]BASE'!HE71=0,"",'[3]BASE'!HE71)</f>
      </c>
      <c r="T71" s="1070"/>
      <c r="U71" s="1066"/>
    </row>
    <row r="72" spans="2:21" s="1060" customFormat="1" ht="19.5" customHeight="1">
      <c r="B72" s="1061"/>
      <c r="C72" s="1071">
        <f>IF('[3]BASE'!C72=0,"",'[3]BASE'!C72)</f>
        <v>53</v>
      </c>
      <c r="D72" s="1071" t="str">
        <f>IF('[3]BASE'!D72=0,"",'[3]BASE'!D72)</f>
        <v>RAMALLO - VILLA LIA  2</v>
      </c>
      <c r="E72" s="1071">
        <f>IF('[3]BASE'!E72=0,"",'[3]BASE'!E72)</f>
        <v>220</v>
      </c>
      <c r="F72" s="1072">
        <f>IF('[3]BASE'!F72=0,"",'[3]BASE'!F72)</f>
        <v>114</v>
      </c>
      <c r="G72" s="1072" t="str">
        <f>IF('[2]BASE'!G72=0,"",'[2]BASE'!G72)</f>
        <v>C</v>
      </c>
      <c r="H72" s="1069">
        <f>IF('[3]BASE'!GT72=0,"",'[3]BASE'!GT72)</f>
        <v>1</v>
      </c>
      <c r="I72" s="1069">
        <f>IF('[3]BASE'!GU72=0,"",'[3]BASE'!GU72)</f>
      </c>
      <c r="J72" s="1069">
        <f>IF('[3]BASE'!GV72=0,"",'[3]BASE'!GV72)</f>
      </c>
      <c r="K72" s="1069">
        <f>IF('[3]BASE'!GW72=0,"",'[3]BASE'!GW72)</f>
      </c>
      <c r="L72" s="1069">
        <f>IF('[3]BASE'!GX72=0,"",'[3]BASE'!GX72)</f>
      </c>
      <c r="M72" s="1069">
        <f>IF('[3]BASE'!GY72=0,"",'[3]BASE'!GY72)</f>
      </c>
      <c r="N72" s="1069">
        <f>IF('[3]BASE'!GZ72=0,"",'[3]BASE'!GZ72)</f>
      </c>
      <c r="O72" s="1069">
        <f>IF('[3]BASE'!HA72=0,"",'[3]BASE'!HA72)</f>
      </c>
      <c r="P72" s="1069">
        <f>IF('[3]BASE'!HB72=0,"",'[3]BASE'!HB72)</f>
      </c>
      <c r="Q72" s="1069">
        <f>IF('[3]BASE'!HC72=0,"",'[3]BASE'!HC72)</f>
      </c>
      <c r="R72" s="1069">
        <f>IF('[3]BASE'!HD72=0,"",'[3]BASE'!HD72)</f>
      </c>
      <c r="S72" s="1069">
        <f>IF('[3]BASE'!HE72=0,"",'[3]BASE'!HE72)</f>
      </c>
      <c r="T72" s="1070"/>
      <c r="U72" s="1066"/>
    </row>
    <row r="73" spans="2:21" s="1060" customFormat="1" ht="19.5" customHeight="1">
      <c r="B73" s="1061"/>
      <c r="C73" s="1073">
        <f>IF('[3]BASE'!C73=0,"",'[3]BASE'!C73)</f>
        <v>54</v>
      </c>
      <c r="D73" s="1073" t="str">
        <f>IF('[3]BASE'!D73=0,"",'[3]BASE'!D73)</f>
        <v>ROSARIO OESTE - RAMALLO  1</v>
      </c>
      <c r="E73" s="1073">
        <f>IF('[3]BASE'!E73=0,"",'[3]BASE'!E73)</f>
        <v>220</v>
      </c>
      <c r="F73" s="1073">
        <f>IF('[3]BASE'!F73=0,"",'[3]BASE'!F73)</f>
        <v>77</v>
      </c>
      <c r="G73" s="1074" t="str">
        <f>IF('[2]BASE'!G73=0,"",'[2]BASE'!G73)</f>
        <v>C</v>
      </c>
      <c r="H73" s="1069">
        <f>IF('[3]BASE'!GT73=0,"",'[3]BASE'!GT73)</f>
        <v>1</v>
      </c>
      <c r="I73" s="1069">
        <f>IF('[3]BASE'!GU73=0,"",'[3]BASE'!GU73)</f>
      </c>
      <c r="J73" s="1069">
        <f>IF('[3]BASE'!GV73=0,"",'[3]BASE'!GV73)</f>
      </c>
      <c r="K73" s="1069">
        <f>IF('[3]BASE'!GW73=0,"",'[3]BASE'!GW73)</f>
      </c>
      <c r="L73" s="1069">
        <f>IF('[3]BASE'!GX73=0,"",'[3]BASE'!GX73)</f>
      </c>
      <c r="M73" s="1069">
        <f>IF('[3]BASE'!GY73=0,"",'[3]BASE'!GY73)</f>
      </c>
      <c r="N73" s="1069">
        <f>IF('[3]BASE'!GZ73=0,"",'[3]BASE'!GZ73)</f>
      </c>
      <c r="O73" s="1069">
        <f>IF('[3]BASE'!HA73=0,"",'[3]BASE'!HA73)</f>
      </c>
      <c r="P73" s="1069">
        <f>IF('[3]BASE'!HB73=0,"",'[3]BASE'!HB73)</f>
      </c>
      <c r="Q73" s="1069">
        <f>IF('[3]BASE'!HC73=0,"",'[3]BASE'!HC73)</f>
        <v>1</v>
      </c>
      <c r="R73" s="1069">
        <f>IF('[3]BASE'!HD73=0,"",'[3]BASE'!HD73)</f>
      </c>
      <c r="S73" s="1069">
        <f>IF('[3]BASE'!HE73=0,"",'[3]BASE'!HE73)</f>
      </c>
      <c r="T73" s="1070"/>
      <c r="U73" s="1066"/>
    </row>
    <row r="74" spans="2:21" s="1060" customFormat="1" ht="19.5" customHeight="1">
      <c r="B74" s="1061"/>
      <c r="C74" s="1071">
        <f>IF('[3]BASE'!C74=0,"",'[3]BASE'!C74)</f>
        <v>55</v>
      </c>
      <c r="D74" s="1071" t="str">
        <f>IF('[3]BASE'!D74=0,"",'[3]BASE'!D74)</f>
        <v>ROSARIO OESTE - RAMALLO  2</v>
      </c>
      <c r="E74" s="1071">
        <f>IF('[3]BASE'!E74=0,"",'[3]BASE'!E74)</f>
        <v>220</v>
      </c>
      <c r="F74" s="1071">
        <f>IF('[3]BASE'!F74=0,"",'[3]BASE'!F74)</f>
        <v>77</v>
      </c>
      <c r="G74" s="1072" t="str">
        <f>IF('[2]BASE'!G74=0,"",'[2]BASE'!G74)</f>
        <v>C</v>
      </c>
      <c r="H74" s="1069">
        <f>IF('[3]BASE'!GT74=0,"",'[3]BASE'!GT74)</f>
      </c>
      <c r="I74" s="1069">
        <f>IF('[3]BASE'!GU74=0,"",'[3]BASE'!GU74)</f>
      </c>
      <c r="J74" s="1069">
        <f>IF('[3]BASE'!GV74=0,"",'[3]BASE'!GV74)</f>
      </c>
      <c r="K74" s="1069">
        <f>IF('[3]BASE'!GW74=0,"",'[3]BASE'!GW74)</f>
      </c>
      <c r="L74" s="1069">
        <f>IF('[3]BASE'!GX74=0,"",'[3]BASE'!GX74)</f>
      </c>
      <c r="M74" s="1069">
        <f>IF('[3]BASE'!GY74=0,"",'[3]BASE'!GY74)</f>
      </c>
      <c r="N74" s="1069">
        <f>IF('[3]BASE'!GZ74=0,"",'[3]BASE'!GZ74)</f>
      </c>
      <c r="O74" s="1069">
        <f>IF('[3]BASE'!HA74=0,"",'[3]BASE'!HA74)</f>
      </c>
      <c r="P74" s="1069">
        <f>IF('[3]BASE'!HB74=0,"",'[3]BASE'!HB74)</f>
      </c>
      <c r="Q74" s="1069">
        <f>IF('[3]BASE'!HC74=0,"",'[3]BASE'!HC74)</f>
        <v>1</v>
      </c>
      <c r="R74" s="1069">
        <f>IF('[3]BASE'!HD74=0,"",'[3]BASE'!HD74)</f>
      </c>
      <c r="S74" s="1069">
        <f>IF('[3]BASE'!HE74=0,"",'[3]BASE'!HE74)</f>
      </c>
      <c r="T74" s="1070"/>
      <c r="U74" s="1066"/>
    </row>
    <row r="75" spans="2:21" s="1060" customFormat="1" ht="19.5" customHeight="1">
      <c r="B75" s="1061"/>
      <c r="C75" s="1073">
        <f>IF('[3]BASE'!C75=0,"",'[3]BASE'!C75)</f>
        <v>56</v>
      </c>
      <c r="D75" s="1073" t="str">
        <f>IF('[3]BASE'!D75=0,"",'[3]BASE'!D75)</f>
        <v>VILLA LIA - ATUCHA 1</v>
      </c>
      <c r="E75" s="1073">
        <f>IF('[3]BASE'!E75=0,"",'[3]BASE'!E75)</f>
        <v>220</v>
      </c>
      <c r="F75" s="1073">
        <f>IF('[3]BASE'!F75=0,"",'[3]BASE'!F75)</f>
        <v>26</v>
      </c>
      <c r="G75" s="1074" t="str">
        <f>IF('[2]BASE'!G75=0,"",'[2]BASE'!G75)</f>
        <v>C</v>
      </c>
      <c r="H75" s="1069">
        <f>IF('[3]BASE'!GT75=0,"",'[3]BASE'!GT75)</f>
      </c>
      <c r="I75" s="1069">
        <f>IF('[3]BASE'!GU75=0,"",'[3]BASE'!GU75)</f>
      </c>
      <c r="J75" s="1069">
        <f>IF('[3]BASE'!GV75=0,"",'[3]BASE'!GV75)</f>
      </c>
      <c r="K75" s="1069">
        <f>IF('[3]BASE'!GW75=0,"",'[3]BASE'!GW75)</f>
      </c>
      <c r="L75" s="1069">
        <f>IF('[3]BASE'!GX75=0,"",'[3]BASE'!GX75)</f>
        <v>1</v>
      </c>
      <c r="M75" s="1069">
        <f>IF('[3]BASE'!GY75=0,"",'[3]BASE'!GY75)</f>
      </c>
      <c r="N75" s="1069">
        <f>IF('[3]BASE'!GZ75=0,"",'[3]BASE'!GZ75)</f>
      </c>
      <c r="O75" s="1069">
        <f>IF('[3]BASE'!HA75=0,"",'[3]BASE'!HA75)</f>
      </c>
      <c r="P75" s="1069">
        <f>IF('[3]BASE'!HB75=0,"",'[3]BASE'!HB75)</f>
      </c>
      <c r="Q75" s="1069">
        <f>IF('[3]BASE'!HC75=0,"",'[3]BASE'!HC75)</f>
      </c>
      <c r="R75" s="1069">
        <f>IF('[3]BASE'!HD75=0,"",'[3]BASE'!HD75)</f>
      </c>
      <c r="S75" s="1069">
        <f>IF('[3]BASE'!HE75=0,"",'[3]BASE'!HE75)</f>
      </c>
      <c r="T75" s="1070"/>
      <c r="U75" s="1066"/>
    </row>
    <row r="76" spans="2:21" s="1060" customFormat="1" ht="19.5" customHeight="1">
      <c r="B76" s="1061"/>
      <c r="C76" s="1071">
        <f>IF('[3]BASE'!C76=0,"",'[3]BASE'!C76)</f>
        <v>57</v>
      </c>
      <c r="D76" s="1071" t="str">
        <f>IF('[3]BASE'!D76=0,"",'[3]BASE'!D76)</f>
        <v>VILLA LIA - ATUCHA 2</v>
      </c>
      <c r="E76" s="1071">
        <f>IF('[3]BASE'!E76=0,"",'[3]BASE'!E76)</f>
        <v>220</v>
      </c>
      <c r="F76" s="1072">
        <f>IF('[3]BASE'!F76=0,"",'[3]BASE'!F76)</f>
        <v>26</v>
      </c>
      <c r="G76" s="1072" t="str">
        <f>IF('[2]BASE'!G76=0,"",'[2]BASE'!G76)</f>
        <v>C</v>
      </c>
      <c r="H76" s="1069">
        <f>IF('[3]BASE'!GT76=0,"",'[3]BASE'!GT76)</f>
      </c>
      <c r="I76" s="1069">
        <f>IF('[3]BASE'!GU76=0,"",'[3]BASE'!GU76)</f>
      </c>
      <c r="J76" s="1069">
        <f>IF('[3]BASE'!GV76=0,"",'[3]BASE'!GV76)</f>
      </c>
      <c r="K76" s="1069">
        <f>IF('[3]BASE'!GW76=0,"",'[3]BASE'!GW76)</f>
      </c>
      <c r="L76" s="1069">
        <f>IF('[3]BASE'!GX76=0,"",'[3]BASE'!GX76)</f>
      </c>
      <c r="M76" s="1069">
        <f>IF('[3]BASE'!GY76=0,"",'[3]BASE'!GY76)</f>
      </c>
      <c r="N76" s="1069">
        <f>IF('[3]BASE'!GZ76=0,"",'[3]BASE'!GZ76)</f>
      </c>
      <c r="O76" s="1069">
        <f>IF('[3]BASE'!HA76=0,"",'[3]BASE'!HA76)</f>
      </c>
      <c r="P76" s="1069">
        <f>IF('[3]BASE'!HB76=0,"",'[3]BASE'!HB76)</f>
      </c>
      <c r="Q76" s="1069">
        <f>IF('[3]BASE'!HC76=0,"",'[3]BASE'!HC76)</f>
      </c>
      <c r="R76" s="1069">
        <f>IF('[3]BASE'!HD76=0,"",'[3]BASE'!HD76)</f>
      </c>
      <c r="S76" s="1069">
        <f>IF('[3]BASE'!HE76=0,"",'[3]BASE'!HE76)</f>
      </c>
      <c r="T76" s="1070"/>
      <c r="U76" s="1066"/>
    </row>
    <row r="77" spans="2:21" s="1060" customFormat="1" ht="19.5" customHeight="1">
      <c r="B77" s="1061"/>
      <c r="C77" s="1073">
        <f>IF('[3]BASE'!C77=0,"",'[3]BASE'!C77)</f>
      </c>
      <c r="D77" s="1073">
        <f>IF('[3]BASE'!D77=0,"",'[3]BASE'!D77)</f>
      </c>
      <c r="E77" s="1073">
        <f>IF('[3]BASE'!E77=0,"",'[3]BASE'!E77)</f>
      </c>
      <c r="F77" s="1074">
        <f>IF('[3]BASE'!F77=0,"",'[3]BASE'!F77)</f>
      </c>
      <c r="G77" s="1074" t="str">
        <f>IF('[2]BASE'!G77=0,"",'[2]BASE'!G77)</f>
        <v>C</v>
      </c>
      <c r="H77" s="1069">
        <f>IF('[3]BASE'!GT77=0,"",'[3]BASE'!GT77)</f>
      </c>
      <c r="I77" s="1069">
        <f>IF('[3]BASE'!GU77=0,"",'[3]BASE'!GU77)</f>
      </c>
      <c r="J77" s="1069">
        <f>IF('[3]BASE'!GV77=0,"",'[3]BASE'!GV77)</f>
      </c>
      <c r="K77" s="1069">
        <f>IF('[3]BASE'!GW77=0,"",'[3]BASE'!GW77)</f>
      </c>
      <c r="L77" s="1069">
        <f>IF('[3]BASE'!GX77=0,"",'[3]BASE'!GX77)</f>
      </c>
      <c r="M77" s="1069">
        <f>IF('[3]BASE'!GY77=0,"",'[3]BASE'!GY77)</f>
      </c>
      <c r="N77" s="1069">
        <f>IF('[3]BASE'!GZ77=0,"",'[3]BASE'!GZ77)</f>
      </c>
      <c r="O77" s="1069">
        <f>IF('[3]BASE'!HA77=0,"",'[3]BASE'!HA77)</f>
      </c>
      <c r="P77" s="1069">
        <f>IF('[3]BASE'!HB77=0,"",'[3]BASE'!HB77)</f>
      </c>
      <c r="Q77" s="1069">
        <f>IF('[3]BASE'!HC77=0,"",'[3]BASE'!HC77)</f>
      </c>
      <c r="R77" s="1069">
        <f>IF('[3]BASE'!HD77=0,"",'[3]BASE'!HD77)</f>
      </c>
      <c r="S77" s="1069">
        <f>IF('[3]BASE'!HE77=0,"",'[3]BASE'!HE77)</f>
      </c>
      <c r="T77" s="1070"/>
      <c r="U77" s="1066"/>
    </row>
    <row r="78" spans="2:21" s="1060" customFormat="1" ht="19.5" customHeight="1">
      <c r="B78" s="1061"/>
      <c r="C78" s="1071">
        <f>IF('[3]BASE'!C78=0,"",'[3]BASE'!C78)</f>
        <v>58</v>
      </c>
      <c r="D78" s="1071" t="str">
        <f>IF('[3]BASE'!D78=0,"",'[3]BASE'!D78)</f>
        <v>GRAL RODRIGUEZ - RAMALLO</v>
      </c>
      <c r="E78" s="1071">
        <f>IF('[3]BASE'!E78=0,"",'[3]BASE'!E78)</f>
        <v>500</v>
      </c>
      <c r="F78" s="1072">
        <f>IF('[3]BASE'!F78=0,"",'[3]BASE'!F78)</f>
        <v>183.9</v>
      </c>
      <c r="G78" s="1072" t="str">
        <f>IF('[2]BASE'!G78=0,"",'[2]BASE'!G78)</f>
        <v>A</v>
      </c>
      <c r="H78" s="1069">
        <f>IF('[3]BASE'!GT78=0,"",'[3]BASE'!GT78)</f>
      </c>
      <c r="I78" s="1069">
        <f>IF('[3]BASE'!GU78=0,"",'[3]BASE'!GU78)</f>
      </c>
      <c r="J78" s="1069">
        <f>IF('[3]BASE'!GV78=0,"",'[3]BASE'!GV78)</f>
      </c>
      <c r="K78" s="1069">
        <f>IF('[3]BASE'!GW78=0,"",'[3]BASE'!GW78)</f>
      </c>
      <c r="L78" s="1069">
        <f>IF('[3]BASE'!GX78=0,"",'[3]BASE'!GX78)</f>
      </c>
      <c r="M78" s="1069">
        <f>IF('[3]BASE'!GY78=0,"",'[3]BASE'!GY78)</f>
      </c>
      <c r="N78" s="1069">
        <f>IF('[3]BASE'!GZ78=0,"",'[3]BASE'!GZ78)</f>
      </c>
      <c r="O78" s="1069">
        <f>IF('[3]BASE'!HA78=0,"",'[3]BASE'!HA78)</f>
      </c>
      <c r="P78" s="1069">
        <f>IF('[3]BASE'!HB78=0,"",'[3]BASE'!HB78)</f>
      </c>
      <c r="Q78" s="1069">
        <f>IF('[3]BASE'!HC78=0,"",'[3]BASE'!HC78)</f>
      </c>
      <c r="R78" s="1069">
        <f>IF('[3]BASE'!HD78=0,"",'[3]BASE'!HD78)</f>
      </c>
      <c r="S78" s="1069">
        <f>IF('[3]BASE'!HE78=0,"",'[3]BASE'!HE78)</f>
      </c>
      <c r="T78" s="1070"/>
      <c r="U78" s="1066"/>
    </row>
    <row r="79" spans="2:21" s="1060" customFormat="1" ht="19.5" customHeight="1">
      <c r="B79" s="1061"/>
      <c r="C79" s="1073">
        <f>IF('[3]BASE'!C79=0,"",'[3]BASE'!C79)</f>
        <v>59</v>
      </c>
      <c r="D79" s="1073" t="str">
        <f>IF('[3]BASE'!D79=0,"",'[3]BASE'!D79)</f>
        <v>RAMALLO - ROSARIO OESTE</v>
      </c>
      <c r="E79" s="1073">
        <f>IF('[3]BASE'!E79=0,"",'[3]BASE'!E79)</f>
        <v>500</v>
      </c>
      <c r="F79" s="1073">
        <f>IF('[3]BASE'!F79=0,"",'[3]BASE'!F79)</f>
        <v>77</v>
      </c>
      <c r="G79" s="1074" t="str">
        <f>IF('[2]BASE'!G79=0,"",'[2]BASE'!G79)</f>
        <v>A</v>
      </c>
      <c r="H79" s="1069">
        <f>IF('[3]BASE'!GT79=0,"",'[3]BASE'!GT79)</f>
      </c>
      <c r="I79" s="1069">
        <f>IF('[3]BASE'!GU79=0,"",'[3]BASE'!GU79)</f>
      </c>
      <c r="J79" s="1069">
        <f>IF('[3]BASE'!GV79=0,"",'[3]BASE'!GV79)</f>
      </c>
      <c r="K79" s="1069">
        <f>IF('[3]BASE'!GW79=0,"",'[3]BASE'!GW79)</f>
      </c>
      <c r="L79" s="1069">
        <f>IF('[3]BASE'!GX79=0,"",'[3]BASE'!GX79)</f>
      </c>
      <c r="M79" s="1069">
        <f>IF('[3]BASE'!GY79=0,"",'[3]BASE'!GY79)</f>
      </c>
      <c r="N79" s="1069">
        <f>IF('[3]BASE'!GZ79=0,"",'[3]BASE'!GZ79)</f>
      </c>
      <c r="O79" s="1069">
        <f>IF('[3]BASE'!HA79=0,"",'[3]BASE'!HA79)</f>
      </c>
      <c r="P79" s="1069">
        <f>IF('[3]BASE'!HB79=0,"",'[3]BASE'!HB79)</f>
      </c>
      <c r="Q79" s="1069">
        <f>IF('[3]BASE'!HC79=0,"",'[3]BASE'!HC79)</f>
      </c>
      <c r="R79" s="1069">
        <f>IF('[3]BASE'!HD79=0,"",'[3]BASE'!HD79)</f>
      </c>
      <c r="S79" s="1069">
        <f>IF('[3]BASE'!HE79=0,"",'[3]BASE'!HE79)</f>
      </c>
      <c r="T79" s="1070"/>
      <c r="U79" s="1066"/>
    </row>
    <row r="80" spans="2:21" s="1060" customFormat="1" ht="19.5" customHeight="1">
      <c r="B80" s="1061"/>
      <c r="C80" s="1071">
        <f>IF('[3]BASE'!C80=0,"",'[3]BASE'!C80)</f>
        <v>60</v>
      </c>
      <c r="D80" s="1071" t="str">
        <f>IF('[3]BASE'!D80=0,"",'[3]BASE'!D80)</f>
        <v>MACACHIN - HENDERSON</v>
      </c>
      <c r="E80" s="1071">
        <f>IF('[3]BASE'!E80=0,"",'[3]BASE'!E80)</f>
        <v>500</v>
      </c>
      <c r="F80" s="1072">
        <f>IF('[3]BASE'!F80=0,"",'[3]BASE'!F80)</f>
        <v>194</v>
      </c>
      <c r="G80" s="1072" t="str">
        <f>IF('[2]BASE'!G80=0,"",'[2]BASE'!G80)</f>
        <v>A</v>
      </c>
      <c r="H80" s="1069">
        <f>IF('[3]BASE'!GT80=0,"",'[3]BASE'!GT80)</f>
      </c>
      <c r="I80" s="1069">
        <f>IF('[3]BASE'!GU80=0,"",'[3]BASE'!GU80)</f>
      </c>
      <c r="J80" s="1069">
        <f>IF('[3]BASE'!GV80=0,"",'[3]BASE'!GV80)</f>
      </c>
      <c r="K80" s="1069">
        <f>IF('[3]BASE'!GW80=0,"",'[3]BASE'!GW80)</f>
      </c>
      <c r="L80" s="1069">
        <f>IF('[3]BASE'!GX80=0,"",'[3]BASE'!GX80)</f>
      </c>
      <c r="M80" s="1069">
        <f>IF('[3]BASE'!GY80=0,"",'[3]BASE'!GY80)</f>
      </c>
      <c r="N80" s="1069">
        <f>IF('[3]BASE'!GZ80=0,"",'[3]BASE'!GZ80)</f>
      </c>
      <c r="O80" s="1069">
        <f>IF('[3]BASE'!HA80=0,"",'[3]BASE'!HA80)</f>
      </c>
      <c r="P80" s="1069">
        <f>IF('[3]BASE'!HB80=0,"",'[3]BASE'!HB80)</f>
      </c>
      <c r="Q80" s="1069">
        <f>IF('[3]BASE'!HC80=0,"",'[3]BASE'!HC80)</f>
      </c>
      <c r="R80" s="1069">
        <f>IF('[3]BASE'!HD80=0,"",'[3]BASE'!HD80)</f>
      </c>
      <c r="S80" s="1069">
        <f>IF('[3]BASE'!HE80=0,"",'[3]BASE'!HE80)</f>
      </c>
      <c r="T80" s="1070"/>
      <c r="U80" s="1066"/>
    </row>
    <row r="81" spans="2:21" s="1060" customFormat="1" ht="19.5" customHeight="1">
      <c r="B81" s="1061"/>
      <c r="C81" s="1073">
        <f>IF('[3]BASE'!C81=0,"",'[3]BASE'!C81)</f>
        <v>61</v>
      </c>
      <c r="D81" s="1073" t="str">
        <f>IF('[3]BASE'!D81=0,"",'[3]BASE'!D81)</f>
        <v>PUELCHES - MACACHIN</v>
      </c>
      <c r="E81" s="1073">
        <f>IF('[3]BASE'!E81=0,"",'[3]BASE'!E81)</f>
        <v>500</v>
      </c>
      <c r="F81" s="1073">
        <f>IF('[3]BASE'!F81=0,"",'[3]BASE'!F81)</f>
        <v>227</v>
      </c>
      <c r="G81" s="1074" t="str">
        <f>IF('[2]BASE'!G81=0,"",'[2]BASE'!G81)</f>
        <v>A</v>
      </c>
      <c r="H81" s="1069">
        <f>IF('[3]BASE'!GT81=0,"",'[3]BASE'!GT81)</f>
      </c>
      <c r="I81" s="1069">
        <f>IF('[3]BASE'!GU81=0,"",'[3]BASE'!GU81)</f>
      </c>
      <c r="J81" s="1069">
        <f>IF('[3]BASE'!GV81=0,"",'[3]BASE'!GV81)</f>
      </c>
      <c r="K81" s="1069">
        <f>IF('[3]BASE'!GW81=0,"",'[3]BASE'!GW81)</f>
      </c>
      <c r="L81" s="1069">
        <f>IF('[3]BASE'!GX81=0,"",'[3]BASE'!GX81)</f>
      </c>
      <c r="M81" s="1069">
        <f>IF('[3]BASE'!GY81=0,"",'[3]BASE'!GY81)</f>
      </c>
      <c r="N81" s="1069">
        <f>IF('[3]BASE'!GZ81=0,"",'[3]BASE'!GZ81)</f>
      </c>
      <c r="O81" s="1069">
        <f>IF('[3]BASE'!HA81=0,"",'[3]BASE'!HA81)</f>
      </c>
      <c r="P81" s="1069">
        <f>IF('[3]BASE'!HB81=0,"",'[3]BASE'!HB81)</f>
      </c>
      <c r="Q81" s="1069">
        <f>IF('[3]BASE'!HC81=0,"",'[3]BASE'!HC81)</f>
      </c>
      <c r="R81" s="1069">
        <f>IF('[3]BASE'!HD81=0,"",'[3]BASE'!HD81)</f>
      </c>
      <c r="S81" s="1069">
        <f>IF('[3]BASE'!HE81=0,"",'[3]BASE'!HE81)</f>
      </c>
      <c r="T81" s="1070"/>
      <c r="U81" s="1066"/>
    </row>
    <row r="82" spans="2:21" s="1060" customFormat="1" ht="19.5" customHeight="1">
      <c r="B82" s="1061"/>
      <c r="C82" s="1071">
        <f>IF('[3]BASE'!C82=0,"",'[3]BASE'!C82)</f>
      </c>
      <c r="D82" s="1071">
        <f>IF('[3]BASE'!D82=0,"",'[3]BASE'!D82)</f>
      </c>
      <c r="E82" s="1071">
        <f>IF('[3]BASE'!E82=0,"",'[3]BASE'!E82)</f>
      </c>
      <c r="F82" s="1072">
        <f>IF('[3]BASE'!F82=0,"",'[3]BASE'!F82)</f>
      </c>
      <c r="G82" s="1072" t="str">
        <f>IF('[2]BASE'!G82=0,"",'[2]BASE'!G82)</f>
        <v>B</v>
      </c>
      <c r="H82" s="1069">
        <f>IF('[3]BASE'!GT82=0,"",'[3]BASE'!GT82)</f>
      </c>
      <c r="I82" s="1069">
        <f>IF('[3]BASE'!GU82=0,"",'[3]BASE'!GU82)</f>
      </c>
      <c r="J82" s="1069">
        <f>IF('[3]BASE'!GV82=0,"",'[3]BASE'!GV82)</f>
      </c>
      <c r="K82" s="1069">
        <f>IF('[3]BASE'!GW82=0,"",'[3]BASE'!GW82)</f>
      </c>
      <c r="L82" s="1069">
        <f>IF('[3]BASE'!GX82=0,"",'[3]BASE'!GX82)</f>
      </c>
      <c r="M82" s="1069">
        <f>IF('[3]BASE'!GY82=0,"",'[3]BASE'!GY82)</f>
      </c>
      <c r="N82" s="1069">
        <f>IF('[3]BASE'!GZ82=0,"",'[3]BASE'!GZ82)</f>
      </c>
      <c r="O82" s="1069">
        <f>IF('[3]BASE'!HA82=0,"",'[3]BASE'!HA82)</f>
      </c>
      <c r="P82" s="1069">
        <f>IF('[3]BASE'!HB82=0,"",'[3]BASE'!HB82)</f>
      </c>
      <c r="Q82" s="1069">
        <f>IF('[3]BASE'!HC82=0,"",'[3]BASE'!HC82)</f>
      </c>
      <c r="R82" s="1069">
        <f>IF('[3]BASE'!HD82=0,"",'[3]BASE'!HD82)</f>
      </c>
      <c r="S82" s="1069">
        <f>IF('[3]BASE'!HE82=0,"",'[3]BASE'!HE82)</f>
      </c>
      <c r="T82" s="1070"/>
      <c r="U82" s="1066"/>
    </row>
    <row r="83" spans="2:21" s="1060" customFormat="1" ht="19.5" customHeight="1">
      <c r="B83" s="1061"/>
      <c r="C83" s="1073">
        <f>IF('[3]BASE'!C83=0,"",'[3]BASE'!C83)</f>
      </c>
      <c r="D83" s="1073">
        <f>IF('[3]BASE'!D83=0,"",'[3]BASE'!D83)</f>
      </c>
      <c r="E83" s="1073">
        <f>IF('[3]BASE'!E83=0,"",'[3]BASE'!E83)</f>
      </c>
      <c r="F83" s="1073">
        <f>IF('[3]BASE'!F83=0,"",'[3]BASE'!F83)</f>
      </c>
      <c r="G83" s="1074" t="str">
        <f>IF('[2]BASE'!G83=0,"",'[2]BASE'!G83)</f>
        <v>B</v>
      </c>
      <c r="H83" s="1069">
        <f>IF('[3]BASE'!GT83=0,"",'[3]BASE'!GT83)</f>
      </c>
      <c r="I83" s="1069">
        <f>IF('[3]BASE'!GU83=0,"",'[3]BASE'!GU83)</f>
      </c>
      <c r="J83" s="1069">
        <f>IF('[3]BASE'!GV83=0,"",'[3]BASE'!GV83)</f>
      </c>
      <c r="K83" s="1069">
        <f>IF('[3]BASE'!GW83=0,"",'[3]BASE'!GW83)</f>
      </c>
      <c r="L83" s="1069">
        <f>IF('[3]BASE'!GX83=0,"",'[3]BASE'!GX83)</f>
      </c>
      <c r="M83" s="1069">
        <f>IF('[3]BASE'!GY83=0,"",'[3]BASE'!GY83)</f>
      </c>
      <c r="N83" s="1069">
        <f>IF('[3]BASE'!GZ83=0,"",'[3]BASE'!GZ83)</f>
      </c>
      <c r="O83" s="1069">
        <f>IF('[3]BASE'!HA83=0,"",'[3]BASE'!HA83)</f>
      </c>
      <c r="P83" s="1069">
        <f>IF('[3]BASE'!HB83=0,"",'[3]BASE'!HB83)</f>
      </c>
      <c r="Q83" s="1069">
        <f>IF('[3]BASE'!HC83=0,"",'[3]BASE'!HC83)</f>
      </c>
      <c r="R83" s="1069">
        <f>IF('[3]BASE'!HD83=0,"",'[3]BASE'!HD83)</f>
      </c>
      <c r="S83" s="1069">
        <f>IF('[3]BASE'!HE83=0,"",'[3]BASE'!HE83)</f>
      </c>
      <c r="T83" s="1070"/>
      <c r="U83" s="1066"/>
    </row>
    <row r="84" spans="2:21" s="1060" customFormat="1" ht="19.5" customHeight="1">
      <c r="B84" s="1061"/>
      <c r="C84" s="1071">
        <f>IF('[3]BASE'!C84=0,"",'[3]BASE'!C84)</f>
        <v>62</v>
      </c>
      <c r="D84" s="1071" t="str">
        <f>IF('[3]BASE'!D84=0,"",'[3]BASE'!D84)</f>
        <v>YACYRETÁ - RINCON I</v>
      </c>
      <c r="E84" s="1071">
        <f>IF('[3]BASE'!E84=0,"",'[3]BASE'!E84)</f>
        <v>500</v>
      </c>
      <c r="F84" s="1072">
        <f>IF('[3]BASE'!F84=0,"",'[3]BASE'!F84)</f>
        <v>3.6</v>
      </c>
      <c r="G84" s="1072" t="str">
        <f>IF('[2]BASE'!G84=0,"",'[2]BASE'!G84)</f>
        <v>B</v>
      </c>
      <c r="H84" s="1069">
        <f>IF('[3]BASE'!GT84=0,"",'[3]BASE'!GT84)</f>
      </c>
      <c r="I84" s="1069">
        <f>IF('[3]BASE'!GU84=0,"",'[3]BASE'!GU84)</f>
      </c>
      <c r="J84" s="1069">
        <f>IF('[3]BASE'!GV84=0,"",'[3]BASE'!GV84)</f>
      </c>
      <c r="K84" s="1069">
        <f>IF('[3]BASE'!GW84=0,"",'[3]BASE'!GW84)</f>
      </c>
      <c r="L84" s="1069">
        <f>IF('[3]BASE'!GX84=0,"",'[3]BASE'!GX84)</f>
      </c>
      <c r="M84" s="1069">
        <f>IF('[3]BASE'!GY84=0,"",'[3]BASE'!GY84)</f>
      </c>
      <c r="N84" s="1069">
        <f>IF('[3]BASE'!GZ84=0,"",'[3]BASE'!GZ84)</f>
      </c>
      <c r="O84" s="1069">
        <f>IF('[3]BASE'!HA84=0,"",'[3]BASE'!HA84)</f>
      </c>
      <c r="P84" s="1069">
        <f>IF('[3]BASE'!HB84=0,"",'[3]BASE'!HB84)</f>
      </c>
      <c r="Q84" s="1069">
        <f>IF('[3]BASE'!HC84=0,"",'[3]BASE'!HC84)</f>
      </c>
      <c r="R84" s="1069">
        <f>IF('[3]BASE'!HD84=0,"",'[3]BASE'!HD84)</f>
      </c>
      <c r="S84" s="1069">
        <f>IF('[3]BASE'!HE84=0,"",'[3]BASE'!HE84)</f>
      </c>
      <c r="T84" s="1070"/>
      <c r="U84" s="1066"/>
    </row>
    <row r="85" spans="2:21" s="1060" customFormat="1" ht="19.5" customHeight="1">
      <c r="B85" s="1061"/>
      <c r="C85" s="1073">
        <f>IF('[3]BASE'!C85=0,"",'[3]BASE'!C85)</f>
        <v>63</v>
      </c>
      <c r="D85" s="1073" t="str">
        <f>IF('[3]BASE'!D85=0,"",'[3]BASE'!D85)</f>
        <v>YACYRETÁ - RINCON II</v>
      </c>
      <c r="E85" s="1073">
        <f>IF('[3]BASE'!E85=0,"",'[3]BASE'!E85)</f>
        <v>500</v>
      </c>
      <c r="F85" s="1074">
        <f>IF('[3]BASE'!F85=0,"",'[3]BASE'!F85)</f>
        <v>3.6</v>
      </c>
      <c r="G85" s="1074" t="str">
        <f>IF('[2]BASE'!G85=0,"",'[2]BASE'!G85)</f>
        <v>A</v>
      </c>
      <c r="H85" s="1069">
        <f>IF('[3]BASE'!GT85=0,"",'[3]BASE'!GT85)</f>
      </c>
      <c r="I85" s="1069">
        <f>IF('[3]BASE'!GU85=0,"",'[3]BASE'!GU85)</f>
      </c>
      <c r="J85" s="1069">
        <f>IF('[3]BASE'!GV85=0,"",'[3]BASE'!GV85)</f>
      </c>
      <c r="K85" s="1069">
        <f>IF('[3]BASE'!GW85=0,"",'[3]BASE'!GW85)</f>
      </c>
      <c r="L85" s="1069">
        <f>IF('[3]BASE'!GX85=0,"",'[3]BASE'!GX85)</f>
      </c>
      <c r="M85" s="1069">
        <f>IF('[3]BASE'!GY85=0,"",'[3]BASE'!GY85)</f>
      </c>
      <c r="N85" s="1069">
        <f>IF('[3]BASE'!GZ85=0,"",'[3]BASE'!GZ85)</f>
      </c>
      <c r="O85" s="1069">
        <f>IF('[3]BASE'!HA85=0,"",'[3]BASE'!HA85)</f>
      </c>
      <c r="P85" s="1069">
        <f>IF('[3]BASE'!HB85=0,"",'[3]BASE'!HB85)</f>
      </c>
      <c r="Q85" s="1069">
        <f>IF('[3]BASE'!HC85=0,"",'[3]BASE'!HC85)</f>
      </c>
      <c r="R85" s="1069">
        <f>IF('[3]BASE'!HD85=0,"",'[3]BASE'!HD85)</f>
      </c>
      <c r="S85" s="1069">
        <f>IF('[3]BASE'!HE85=0,"",'[3]BASE'!HE85)</f>
      </c>
      <c r="T85" s="1070"/>
      <c r="U85" s="1066"/>
    </row>
    <row r="86" spans="2:21" s="1060" customFormat="1" ht="19.5" customHeight="1">
      <c r="B86" s="1061"/>
      <c r="C86" s="1071">
        <f>IF('[3]BASE'!C86=0,"",'[3]BASE'!C86)</f>
        <v>64</v>
      </c>
      <c r="D86" s="1071" t="str">
        <f>IF('[3]BASE'!D86=0,"",'[3]BASE'!D86)</f>
        <v>YACYRETÁ - RINCON III</v>
      </c>
      <c r="E86" s="1071">
        <f>IF('[3]BASE'!E86=0,"",'[3]BASE'!E86)</f>
        <v>500</v>
      </c>
      <c r="F86" s="1072">
        <f>IF('[3]BASE'!F86=0,"",'[3]BASE'!F86)</f>
        <v>3.6</v>
      </c>
      <c r="G86" s="1072" t="str">
        <f>IF('[2]BASE'!G86=0,"",'[2]BASE'!G86)</f>
        <v>C</v>
      </c>
      <c r="H86" s="1069">
        <f>IF('[3]BASE'!GT86=0,"",'[3]BASE'!GT86)</f>
      </c>
      <c r="I86" s="1069">
        <f>IF('[3]BASE'!GU86=0,"",'[3]BASE'!GU86)</f>
      </c>
      <c r="J86" s="1069">
        <f>IF('[3]BASE'!GV86=0,"",'[3]BASE'!GV86)</f>
      </c>
      <c r="K86" s="1069">
        <f>IF('[3]BASE'!GW86=0,"",'[3]BASE'!GW86)</f>
      </c>
      <c r="L86" s="1069">
        <f>IF('[3]BASE'!GX86=0,"",'[3]BASE'!GX86)</f>
      </c>
      <c r="M86" s="1069">
        <f>IF('[3]BASE'!GY86=0,"",'[3]BASE'!GY86)</f>
      </c>
      <c r="N86" s="1069">
        <f>IF('[3]BASE'!GZ86=0,"",'[3]BASE'!GZ86)</f>
      </c>
      <c r="O86" s="1069">
        <f>IF('[3]BASE'!HA86=0,"",'[3]BASE'!HA86)</f>
      </c>
      <c r="P86" s="1069">
        <f>IF('[3]BASE'!HB86=0,"",'[3]BASE'!HB86)</f>
      </c>
      <c r="Q86" s="1069">
        <f>IF('[3]BASE'!HC86=0,"",'[3]BASE'!HC86)</f>
      </c>
      <c r="R86" s="1069">
        <f>IF('[3]BASE'!HD86=0,"",'[3]BASE'!HD86)</f>
      </c>
      <c r="S86" s="1069">
        <f>IF('[3]BASE'!HE86=0,"",'[3]BASE'!HE86)</f>
      </c>
      <c r="T86" s="1070"/>
      <c r="U86" s="1066"/>
    </row>
    <row r="87" spans="2:21" s="1060" customFormat="1" ht="19.5" customHeight="1">
      <c r="B87" s="1061"/>
      <c r="C87" s="1073">
        <f>IF('[3]BASE'!C87=0,"",'[3]BASE'!C87)</f>
        <v>65</v>
      </c>
      <c r="D87" s="1073" t="str">
        <f>IF('[3]BASE'!D87=0,"",'[3]BASE'!D87)</f>
        <v>RINCON - PASO DE LA PATRIA</v>
      </c>
      <c r="E87" s="1073">
        <f>IF('[3]BASE'!E87=0,"",'[3]BASE'!E87)</f>
        <v>500</v>
      </c>
      <c r="F87" s="1073">
        <f>IF('[3]BASE'!F87=0,"",'[3]BASE'!F87)</f>
        <v>227</v>
      </c>
      <c r="G87" s="1074" t="str">
        <f>IF('[2]BASE'!G87=0,"",'[2]BASE'!G87)</f>
        <v>B</v>
      </c>
      <c r="H87" s="1069">
        <f>IF('[3]BASE'!GT87=0,"",'[3]BASE'!GT87)</f>
      </c>
      <c r="I87" s="1069">
        <f>IF('[3]BASE'!GU87=0,"",'[3]BASE'!GU87)</f>
      </c>
      <c r="J87" s="1069">
        <f>IF('[3]BASE'!GV87=0,"",'[3]BASE'!GV87)</f>
      </c>
      <c r="K87" s="1069">
        <f>IF('[3]BASE'!GW87=0,"",'[3]BASE'!GW87)</f>
      </c>
      <c r="L87" s="1069">
        <f>IF('[3]BASE'!GX87=0,"",'[3]BASE'!GX87)</f>
      </c>
      <c r="M87" s="1069">
        <f>IF('[3]BASE'!GY87=0,"",'[3]BASE'!GY87)</f>
      </c>
      <c r="N87" s="1069">
        <f>IF('[3]BASE'!GZ87=0,"",'[3]BASE'!GZ87)</f>
      </c>
      <c r="O87" s="1069">
        <f>IF('[3]BASE'!HA87=0,"",'[3]BASE'!HA87)</f>
      </c>
      <c r="P87" s="1069">
        <f>IF('[3]BASE'!HB87=0,"",'[3]BASE'!HB87)</f>
      </c>
      <c r="Q87" s="1069">
        <f>IF('[3]BASE'!HC87=0,"",'[3]BASE'!HC87)</f>
      </c>
      <c r="R87" s="1069">
        <f>IF('[3]BASE'!HD87=0,"",'[3]BASE'!HD87)</f>
      </c>
      <c r="S87" s="1069">
        <f>IF('[3]BASE'!HE87=0,"",'[3]BASE'!HE87)</f>
      </c>
      <c r="T87" s="1070"/>
      <c r="U87" s="1066"/>
    </row>
    <row r="88" spans="2:21" s="1060" customFormat="1" ht="19.5" customHeight="1">
      <c r="B88" s="1061"/>
      <c r="C88" s="1071">
        <f>IF('[3]BASE'!C88=0,"",'[3]BASE'!C88)</f>
        <v>66</v>
      </c>
      <c r="D88" s="1071" t="str">
        <f>IF('[3]BASE'!D88=0,"",'[3]BASE'!D88)</f>
        <v>PASO DE LA PATRIA - RESISTENCIA</v>
      </c>
      <c r="E88" s="1071">
        <f>IF('[3]BASE'!E88=0,"",'[3]BASE'!E88)</f>
        <v>500</v>
      </c>
      <c r="F88" s="1072">
        <f>IF('[3]BASE'!F88=0,"",'[3]BASE'!F88)</f>
        <v>40</v>
      </c>
      <c r="G88" s="1072" t="str">
        <f>IF('[2]BASE'!G88=0,"",'[2]BASE'!G88)</f>
        <v>C</v>
      </c>
      <c r="H88" s="1069">
        <f>IF('[3]BASE'!GT88=0,"",'[3]BASE'!GT88)</f>
      </c>
      <c r="I88" s="1069">
        <f>IF('[3]BASE'!GU88=0,"",'[3]BASE'!GU88)</f>
      </c>
      <c r="J88" s="1069">
        <f>IF('[3]BASE'!GV88=0,"",'[3]BASE'!GV88)</f>
      </c>
      <c r="K88" s="1069">
        <f>IF('[3]BASE'!GW88=0,"",'[3]BASE'!GW88)</f>
      </c>
      <c r="L88" s="1069">
        <f>IF('[3]BASE'!GX88=0,"",'[3]BASE'!GX88)</f>
      </c>
      <c r="M88" s="1069">
        <f>IF('[3]BASE'!GY88=0,"",'[3]BASE'!GY88)</f>
      </c>
      <c r="N88" s="1069">
        <f>IF('[3]BASE'!GZ88=0,"",'[3]BASE'!GZ88)</f>
      </c>
      <c r="O88" s="1069">
        <f>IF('[3]BASE'!HA88=0,"",'[3]BASE'!HA88)</f>
      </c>
      <c r="P88" s="1069">
        <f>IF('[3]BASE'!HB88=0,"",'[3]BASE'!HB88)</f>
      </c>
      <c r="Q88" s="1069">
        <f>IF('[3]BASE'!HC88=0,"",'[3]BASE'!HC88)</f>
      </c>
      <c r="R88" s="1069">
        <f>IF('[3]BASE'!HD88=0,"",'[3]BASE'!HD88)</f>
      </c>
      <c r="S88" s="1069">
        <f>IF('[3]BASE'!HE88=0,"",'[3]BASE'!HE88)</f>
      </c>
      <c r="T88" s="1070"/>
      <c r="U88" s="1066"/>
    </row>
    <row r="89" spans="2:21" s="1060" customFormat="1" ht="19.5" customHeight="1">
      <c r="B89" s="1061"/>
      <c r="C89" s="1073">
        <f>IF('[3]BASE'!C89=0,"",'[3]BASE'!C89)</f>
        <v>67</v>
      </c>
      <c r="D89" s="1073" t="str">
        <f>IF('[3]BASE'!D89=0,"",'[3]BASE'!D89)</f>
        <v>RINCON - RESISTENCIA</v>
      </c>
      <c r="E89" s="1073">
        <f>IF('[3]BASE'!E89=0,"",'[3]BASE'!E89)</f>
        <v>500</v>
      </c>
      <c r="F89" s="1074">
        <f>IF('[3]BASE'!F89=0,"",'[3]BASE'!F89)</f>
        <v>267</v>
      </c>
      <c r="G89" s="1074" t="str">
        <f>IF('[2]BASE'!G89=0,"",'[2]BASE'!G89)</f>
        <v>A</v>
      </c>
      <c r="H89" s="1069" t="str">
        <f>IF('[3]BASE'!GT89=0,"",'[3]BASE'!GT89)</f>
        <v>XXXX</v>
      </c>
      <c r="I89" s="1069" t="str">
        <f>IF('[3]BASE'!GU89=0,"",'[3]BASE'!GU89)</f>
        <v>XXXX</v>
      </c>
      <c r="J89" s="1069" t="str">
        <f>IF('[3]BASE'!GV89=0,"",'[3]BASE'!GV89)</f>
        <v>XXXX</v>
      </c>
      <c r="K89" s="1069" t="str">
        <f>IF('[3]BASE'!GW89=0,"",'[3]BASE'!GW89)</f>
        <v>XXXX</v>
      </c>
      <c r="L89" s="1069" t="str">
        <f>IF('[3]BASE'!GX89=0,"",'[3]BASE'!GX89)</f>
        <v>XXXX</v>
      </c>
      <c r="M89" s="1069" t="str">
        <f>IF('[3]BASE'!GY89=0,"",'[3]BASE'!GY89)</f>
        <v>XXXX</v>
      </c>
      <c r="N89" s="1069" t="str">
        <f>IF('[3]BASE'!GZ89=0,"",'[3]BASE'!GZ89)</f>
        <v>XXXX</v>
      </c>
      <c r="O89" s="1069" t="str">
        <f>IF('[3]BASE'!HA89=0,"",'[3]BASE'!HA89)</f>
        <v>XXXX</v>
      </c>
      <c r="P89" s="1069" t="str">
        <f>IF('[3]BASE'!HB89=0,"",'[3]BASE'!HB89)</f>
        <v>XXXX</v>
      </c>
      <c r="Q89" s="1069" t="str">
        <f>IF('[3]BASE'!HC89=0,"",'[3]BASE'!HC89)</f>
        <v>XXXX</v>
      </c>
      <c r="R89" s="1069" t="str">
        <f>IF('[3]BASE'!HD89=0,"",'[3]BASE'!HD89)</f>
        <v>XXXX</v>
      </c>
      <c r="S89" s="1069" t="str">
        <f>IF('[3]BASE'!HE89=0,"",'[3]BASE'!HE89)</f>
        <v>XXXX</v>
      </c>
      <c r="T89" s="1070"/>
      <c r="U89" s="1066"/>
    </row>
    <row r="90" spans="2:21" s="1060" customFormat="1" ht="19.5" customHeight="1">
      <c r="B90" s="1061"/>
      <c r="C90" s="1071">
        <f>IF('[3]BASE'!C90=0,"",'[3]BASE'!C90)</f>
      </c>
      <c r="D90" s="1071">
        <f>IF('[3]BASE'!D90=0,"",'[3]BASE'!D90)</f>
      </c>
      <c r="E90" s="1071">
        <f>IF('[3]BASE'!E90=0,"",'[3]BASE'!E90)</f>
      </c>
      <c r="F90" s="1072">
        <f>IF('[3]BASE'!F90=0,"",'[3]BASE'!F90)</f>
      </c>
      <c r="G90" s="1072" t="str">
        <f>IF('[2]BASE'!G90=0,"",'[2]BASE'!G90)</f>
        <v>C</v>
      </c>
      <c r="H90" s="1069">
        <f>IF('[3]BASE'!GT90=0,"",'[3]BASE'!GT90)</f>
      </c>
      <c r="I90" s="1069">
        <f>IF('[3]BASE'!GU90=0,"",'[3]BASE'!GU90)</f>
      </c>
      <c r="J90" s="1069">
        <f>IF('[3]BASE'!GV90=0,"",'[3]BASE'!GV90)</f>
      </c>
      <c r="K90" s="1069">
        <f>IF('[3]BASE'!GW90=0,"",'[3]BASE'!GW90)</f>
      </c>
      <c r="L90" s="1069">
        <f>IF('[3]BASE'!GX90=0,"",'[3]BASE'!GX90)</f>
      </c>
      <c r="M90" s="1069">
        <f>IF('[3]BASE'!GY90=0,"",'[3]BASE'!GY90)</f>
      </c>
      <c r="N90" s="1069">
        <f>IF('[3]BASE'!GZ90=0,"",'[3]BASE'!GZ90)</f>
      </c>
      <c r="O90" s="1069">
        <f>IF('[3]BASE'!HA90=0,"",'[3]BASE'!HA90)</f>
      </c>
      <c r="P90" s="1069">
        <f>IF('[3]BASE'!HB90=0,"",'[3]BASE'!HB90)</f>
      </c>
      <c r="Q90" s="1069">
        <f>IF('[3]BASE'!HC90=0,"",'[3]BASE'!HC90)</f>
      </c>
      <c r="R90" s="1069">
        <f>IF('[3]BASE'!HD90=0,"",'[3]BASE'!HD90)</f>
      </c>
      <c r="S90" s="1069">
        <f>IF('[3]BASE'!HE90=0,"",'[3]BASE'!HE90)</f>
      </c>
      <c r="T90" s="1070"/>
      <c r="U90" s="1066"/>
    </row>
    <row r="91" spans="2:21" s="1060" customFormat="1" ht="19.5" customHeight="1">
      <c r="B91" s="1061"/>
      <c r="C91" s="1073">
        <f>IF('[3]BASE'!C91=0,"",'[3]BASE'!C91)</f>
        <v>68</v>
      </c>
      <c r="D91" s="1073" t="str">
        <f>IF('[3]BASE'!D91=0,"",'[3]BASE'!D91)</f>
        <v>RINCON - SALTO GRANDE</v>
      </c>
      <c r="E91" s="1073">
        <f>IF('[3]BASE'!E91=0,"",'[3]BASE'!E91)</f>
        <v>500</v>
      </c>
      <c r="F91" s="1074">
        <f>IF('[3]BASE'!F91=0,"",'[3]BASE'!F91)</f>
        <v>506</v>
      </c>
      <c r="G91" s="1074" t="str">
        <f>IF('[2]BASE'!G91=0,"",'[2]BASE'!G91)</f>
        <v>A</v>
      </c>
      <c r="H91" s="1069">
        <f>IF('[3]BASE'!GT91=0,"",'[3]BASE'!GT91)</f>
      </c>
      <c r="I91" s="1069">
        <f>IF('[3]BASE'!GU91=0,"",'[3]BASE'!GU91)</f>
      </c>
      <c r="J91" s="1069">
        <f>IF('[3]BASE'!GV91=0,"",'[3]BASE'!GV91)</f>
      </c>
      <c r="K91" s="1069">
        <f>IF('[3]BASE'!GW91=0,"",'[3]BASE'!GW91)</f>
      </c>
      <c r="L91" s="1069">
        <f>IF('[3]BASE'!GX91=0,"",'[3]BASE'!GX91)</f>
      </c>
      <c r="M91" s="1069">
        <f>IF('[3]BASE'!GY91=0,"",'[3]BASE'!GY91)</f>
      </c>
      <c r="N91" s="1069">
        <f>IF('[3]BASE'!GZ91=0,"",'[3]BASE'!GZ91)</f>
      </c>
      <c r="O91" s="1069">
        <f>IF('[3]BASE'!HA91=0,"",'[3]BASE'!HA91)</f>
      </c>
      <c r="P91" s="1069">
        <f>IF('[3]BASE'!HB91=0,"",'[3]BASE'!HB91)</f>
      </c>
      <c r="Q91" s="1069">
        <f>IF('[3]BASE'!HC91=0,"",'[3]BASE'!HC91)</f>
      </c>
      <c r="R91" s="1069">
        <f>IF('[3]BASE'!HD91=0,"",'[3]BASE'!HD91)</f>
        <v>1</v>
      </c>
      <c r="S91" s="1069">
        <f>IF('[3]BASE'!HE91=0,"",'[3]BASE'!HE91)</f>
      </c>
      <c r="T91" s="1070"/>
      <c r="U91" s="1066"/>
    </row>
    <row r="92" spans="2:21" s="1060" customFormat="1" ht="19.5" customHeight="1">
      <c r="B92" s="1061"/>
      <c r="C92" s="1071">
        <f>IF('[3]BASE'!C92=0,"",'[3]BASE'!C92)</f>
        <v>69</v>
      </c>
      <c r="D92" s="1071" t="str">
        <f>IF('[3]BASE'!D92=0,"",'[3]BASE'!D92)</f>
        <v>RINCON - SAN ISIDRO</v>
      </c>
      <c r="E92" s="1071">
        <f>IF('[3]BASE'!E92=0,"",'[3]BASE'!E92)</f>
        <v>500</v>
      </c>
      <c r="F92" s="1072">
        <f>IF('[3]BASE'!F92=0,"",'[3]BASE'!F92)</f>
        <v>85</v>
      </c>
      <c r="G92" s="1072" t="str">
        <f>IF('[2]BASE'!G92=0,"",'[2]BASE'!G92)</f>
        <v>C</v>
      </c>
      <c r="H92" s="1069">
        <f>IF('[3]BASE'!GT92=0,"",'[3]BASE'!GT92)</f>
      </c>
      <c r="I92" s="1069">
        <f>IF('[3]BASE'!GU92=0,"",'[3]BASE'!GU92)</f>
      </c>
      <c r="J92" s="1069">
        <f>IF('[3]BASE'!GV92=0,"",'[3]BASE'!GV92)</f>
      </c>
      <c r="K92" s="1069">
        <f>IF('[3]BASE'!GW92=0,"",'[3]BASE'!GW92)</f>
      </c>
      <c r="L92" s="1069">
        <f>IF('[3]BASE'!GX92=0,"",'[3]BASE'!GX92)</f>
      </c>
      <c r="M92" s="1069">
        <f>IF('[3]BASE'!GY92=0,"",'[3]BASE'!GY92)</f>
      </c>
      <c r="N92" s="1069">
        <f>IF('[3]BASE'!GZ92=0,"",'[3]BASE'!GZ92)</f>
      </c>
      <c r="O92" s="1069">
        <f>IF('[3]BASE'!HA92=0,"",'[3]BASE'!HA92)</f>
      </c>
      <c r="P92" s="1069">
        <f>IF('[3]BASE'!HB92=0,"",'[3]BASE'!HB92)</f>
      </c>
      <c r="Q92" s="1069">
        <f>IF('[3]BASE'!HC92=0,"",'[3]BASE'!HC92)</f>
      </c>
      <c r="R92" s="1069">
        <f>IF('[3]BASE'!HD92=0,"",'[3]BASE'!HD92)</f>
      </c>
      <c r="S92" s="1069">
        <f>IF('[3]BASE'!HE92=0,"",'[3]BASE'!HE92)</f>
      </c>
      <c r="T92" s="1070"/>
      <c r="U92" s="1066"/>
    </row>
    <row r="93" spans="2:21" s="1060" customFormat="1" ht="18.75" customHeight="1">
      <c r="B93" s="1061"/>
      <c r="C93" s="1110">
        <f>IF('[3]BASE'!C93=0,"",'[3]BASE'!C93)</f>
      </c>
      <c r="D93" s="1110">
        <f>IF('[3]BASE'!D93=0,"",'[3]BASE'!D93)</f>
      </c>
      <c r="E93" s="1110">
        <f>IF('[3]BASE'!E93=0,"",'[3]BASE'!E93)</f>
      </c>
      <c r="F93" s="1110">
        <f>IF('[3]BASE'!F93=0,"",'[3]BASE'!F93)</f>
      </c>
      <c r="G93" s="1111" t="e">
        <f>IF('[2]BASE'!G93=0,"",'[2]BASE'!G93)</f>
        <v>#REF!</v>
      </c>
      <c r="H93" s="1112">
        <f>IF('[3]BASE'!GT93=0,"",'[3]BASE'!GT93)</f>
      </c>
      <c r="I93" s="1112">
        <f>IF('[3]BASE'!GU93=0,"",'[3]BASE'!GU93)</f>
      </c>
      <c r="J93" s="1112">
        <f>IF('[3]BASE'!GV93=0,"",'[3]BASE'!GV93)</f>
      </c>
      <c r="K93" s="1112">
        <f>IF('[3]BASE'!GW93=0,"",'[3]BASE'!GW93)</f>
      </c>
      <c r="L93" s="1112">
        <f>IF('[3]BASE'!GX93=0,"",'[3]BASE'!GX93)</f>
      </c>
      <c r="M93" s="1112">
        <f>IF('[3]BASE'!GY93=0,"",'[3]BASE'!GY93)</f>
      </c>
      <c r="N93" s="1112">
        <f>IF('[3]BASE'!GZ93=0,"",'[3]BASE'!GZ93)</f>
      </c>
      <c r="O93" s="1112">
        <f>IF('[3]BASE'!HA93=0,"",'[3]BASE'!HA93)</f>
      </c>
      <c r="P93" s="1112">
        <f>IF('[3]BASE'!HB93=0,"",'[3]BASE'!HB93)</f>
      </c>
      <c r="Q93" s="1112">
        <f>IF('[3]BASE'!HC93=0,"",'[3]BASE'!HC93)</f>
      </c>
      <c r="R93" s="1112">
        <f>IF('[3]BASE'!HD93=0,"",'[3]BASE'!HD93)</f>
      </c>
      <c r="S93" s="1112">
        <f>IF('[3]BASE'!HE93=0,"",'[3]BASE'!HE93)</f>
      </c>
      <c r="T93" s="1070"/>
      <c r="U93" s="1066"/>
    </row>
    <row r="94" spans="2:21" s="1060" customFormat="1" ht="19.5" customHeight="1">
      <c r="B94" s="1061"/>
      <c r="C94" s="1071">
        <f>IF('[3]BASE'!C94=0,"",'[3]BASE'!C94)</f>
        <v>70</v>
      </c>
      <c r="D94" s="1071" t="str">
        <f>IF('[3]BASE'!D94=0,"",'[3]BASE'!D94)</f>
        <v>RECREO - LA RIOJA SUR</v>
      </c>
      <c r="E94" s="1071">
        <f>IF('[3]BASE'!E94=0,"",'[3]BASE'!E94)</f>
        <v>500</v>
      </c>
      <c r="F94" s="1072">
        <f>IF('[3]BASE'!F94=0,"",'[3]BASE'!F94)</f>
        <v>150.3</v>
      </c>
      <c r="G94" s="1072" t="str">
        <f>IF('[2]BASE'!G94=0,"",'[2]BASE'!G94)</f>
        <v>C</v>
      </c>
      <c r="H94" s="1069">
        <f>IF('[3]BASE'!GT94=0,"",'[3]BASE'!GT94)</f>
      </c>
      <c r="I94" s="1069">
        <f>IF('[3]BASE'!GU94=0,"",'[3]BASE'!GU94)</f>
      </c>
      <c r="J94" s="1069">
        <f>IF('[3]BASE'!GV94=0,"",'[3]BASE'!GV94)</f>
      </c>
      <c r="K94" s="1069">
        <f>IF('[3]BASE'!GW94=0,"",'[3]BASE'!GW94)</f>
      </c>
      <c r="L94" s="1069">
        <f>IF('[3]BASE'!GX94=0,"",'[3]BASE'!GX94)</f>
      </c>
      <c r="M94" s="1069">
        <f>IF('[3]BASE'!GY94=0,"",'[3]BASE'!GY94)</f>
      </c>
      <c r="N94" s="1069">
        <f>IF('[3]BASE'!GZ94=0,"",'[3]BASE'!GZ94)</f>
      </c>
      <c r="O94" s="1069">
        <f>IF('[3]BASE'!HA94=0,"",'[3]BASE'!HA94)</f>
      </c>
      <c r="P94" s="1069">
        <f>IF('[3]BASE'!HB94=0,"",'[3]BASE'!HB94)</f>
      </c>
      <c r="Q94" s="1069">
        <f>IF('[3]BASE'!HC94=0,"",'[3]BASE'!HC94)</f>
      </c>
      <c r="R94" s="1069">
        <f>IF('[3]BASE'!HD94=0,"",'[3]BASE'!HD94)</f>
      </c>
      <c r="S94" s="1069">
        <f>IF('[3]BASE'!HE94=0,"",'[3]BASE'!HE94)</f>
      </c>
      <c r="T94" s="1070"/>
      <c r="U94" s="1066"/>
    </row>
    <row r="95" spans="2:21" s="1060" customFormat="1" ht="21" customHeight="1">
      <c r="B95" s="1061"/>
      <c r="C95" s="1110">
        <f>IF('[3]BASE'!C95=0,"",'[3]BASE'!C95)</f>
        <v>71</v>
      </c>
      <c r="D95" s="1110" t="str">
        <f>IF('[3]BASE'!D95=0,"",'[3]BASE'!D95)</f>
        <v>M.BELGRANO - G.RODRIGUEZ</v>
      </c>
      <c r="E95" s="1110">
        <f>IF('[3]BASE'!E95=0,"",'[3]BASE'!E95)</f>
        <v>500</v>
      </c>
      <c r="F95" s="1110">
        <f>IF('[3]BASE'!F95=0,"",'[3]BASE'!F95)</f>
        <v>41.4</v>
      </c>
      <c r="G95" s="1111" t="str">
        <f>IF('[2]BASE'!G95=0,"",'[2]BASE'!G95)</f>
        <v>C</v>
      </c>
      <c r="H95" s="1112">
        <f>IF('[3]BASE'!GT95=0,"",'[3]BASE'!GT95)</f>
      </c>
      <c r="I95" s="1112">
        <f>IF('[3]BASE'!GU95=0,"",'[3]BASE'!GU95)</f>
      </c>
      <c r="J95" s="1112">
        <f>IF('[3]BASE'!GV95=0,"",'[3]BASE'!GV95)</f>
      </c>
      <c r="K95" s="1112">
        <f>IF('[3]BASE'!GW95=0,"",'[3]BASE'!GW95)</f>
        <v>1</v>
      </c>
      <c r="L95" s="1112">
        <f>IF('[3]BASE'!GX95=0,"",'[3]BASE'!GX95)</f>
      </c>
      <c r="M95" s="1112">
        <f>IF('[3]BASE'!GY95=0,"",'[3]BASE'!GY95)</f>
      </c>
      <c r="N95" s="1112">
        <f>IF('[3]BASE'!GZ95=0,"",'[3]BASE'!GZ95)</f>
      </c>
      <c r="O95" s="1112">
        <f>IF('[3]BASE'!HA95=0,"",'[3]BASE'!HA95)</f>
      </c>
      <c r="P95" s="1112">
        <f>IF('[3]BASE'!HB95=0,"",'[3]BASE'!HB95)</f>
      </c>
      <c r="Q95" s="1112">
        <f>IF('[3]BASE'!HC95=0,"",'[3]BASE'!HC95)</f>
      </c>
      <c r="R95" s="1112">
        <f>IF('[3]BASE'!HD95=0,"",'[3]BASE'!HD95)</f>
      </c>
      <c r="S95" s="1112">
        <f>IF('[3]BASE'!HE95=0,"",'[3]BASE'!HE95)</f>
      </c>
      <c r="T95" s="1070"/>
      <c r="U95" s="1066"/>
    </row>
    <row r="96" spans="2:21" s="1060" customFormat="1" ht="9.75" customHeight="1">
      <c r="B96" s="1061"/>
      <c r="C96" s="1110"/>
      <c r="D96" s="1110"/>
      <c r="E96" s="1110"/>
      <c r="F96" s="1110"/>
      <c r="G96" s="1111"/>
      <c r="H96" s="1112"/>
      <c r="I96" s="1112"/>
      <c r="J96" s="1112"/>
      <c r="K96" s="1112"/>
      <c r="L96" s="1112"/>
      <c r="M96" s="1112"/>
      <c r="N96" s="1112"/>
      <c r="O96" s="1112"/>
      <c r="P96" s="1112"/>
      <c r="Q96" s="1112"/>
      <c r="R96" s="1112"/>
      <c r="S96" s="1112"/>
      <c r="T96" s="1070"/>
      <c r="U96" s="1066"/>
    </row>
    <row r="97" spans="2:21" s="1060" customFormat="1" ht="9.75" customHeight="1" thickBot="1">
      <c r="B97" s="1061"/>
      <c r="C97" s="1075"/>
      <c r="D97" s="1075"/>
      <c r="E97" s="1075"/>
      <c r="F97" s="1075"/>
      <c r="G97" s="1076"/>
      <c r="H97" s="1077"/>
      <c r="I97" s="1077"/>
      <c r="J97" s="1077"/>
      <c r="K97" s="1077"/>
      <c r="L97" s="1077"/>
      <c r="M97" s="1077"/>
      <c r="N97" s="1077"/>
      <c r="O97" s="1077"/>
      <c r="P97" s="1077"/>
      <c r="Q97" s="1077"/>
      <c r="R97" s="1077"/>
      <c r="S97" s="1077"/>
      <c r="T97" s="1070"/>
      <c r="U97" s="1066"/>
    </row>
    <row r="98" spans="2:21" s="1060" customFormat="1" ht="19.5" customHeight="1" thickBot="1" thickTop="1">
      <c r="B98" s="1061"/>
      <c r="C98" s="1078"/>
      <c r="D98" s="1079"/>
      <c r="E98" s="1080" t="s">
        <v>397</v>
      </c>
      <c r="F98" s="1081">
        <f>SUM(F16:F97)-F46-F54-F57-F61-F89</f>
        <v>9902.33</v>
      </c>
      <c r="G98" s="1082"/>
      <c r="H98" s="1083"/>
      <c r="I98" s="1083"/>
      <c r="J98" s="1083"/>
      <c r="K98" s="1083"/>
      <c r="L98" s="1083"/>
      <c r="M98" s="1083"/>
      <c r="N98" s="1083"/>
      <c r="O98" s="1083"/>
      <c r="P98" s="1083"/>
      <c r="Q98" s="1083"/>
      <c r="R98" s="1083"/>
      <c r="S98" s="1083"/>
      <c r="T98" s="1070"/>
      <c r="U98" s="1066"/>
    </row>
    <row r="99" spans="2:21" s="1060" customFormat="1" ht="19.5" customHeight="1" thickBot="1" thickTop="1">
      <c r="B99" s="1061"/>
      <c r="C99" s="1084"/>
      <c r="D99" s="1085"/>
      <c r="E99" s="1086"/>
      <c r="F99" s="1087" t="s">
        <v>398</v>
      </c>
      <c r="H99" s="1088">
        <f aca="true" t="shared" si="0" ref="H99:S99">SUM(H17:H97)</f>
        <v>3</v>
      </c>
      <c r="I99" s="1088">
        <f t="shared" si="0"/>
        <v>3</v>
      </c>
      <c r="J99" s="1088">
        <f t="shared" si="0"/>
        <v>1</v>
      </c>
      <c r="K99" s="1088">
        <f t="shared" si="0"/>
        <v>1</v>
      </c>
      <c r="L99" s="1088">
        <f t="shared" si="0"/>
        <v>1</v>
      </c>
      <c r="M99" s="1088">
        <f t="shared" si="0"/>
        <v>0</v>
      </c>
      <c r="N99" s="1088">
        <f t="shared" si="0"/>
        <v>7</v>
      </c>
      <c r="O99" s="1088">
        <f t="shared" si="0"/>
        <v>0</v>
      </c>
      <c r="P99" s="1088">
        <f t="shared" si="0"/>
        <v>2</v>
      </c>
      <c r="Q99" s="1088">
        <f t="shared" si="0"/>
        <v>4</v>
      </c>
      <c r="R99" s="1088">
        <f t="shared" si="0"/>
        <v>4</v>
      </c>
      <c r="S99" s="1088">
        <f t="shared" si="0"/>
        <v>0</v>
      </c>
      <c r="T99" s="1070"/>
      <c r="U99" s="1066"/>
    </row>
    <row r="100" spans="2:21" s="1060" customFormat="1" ht="19.5" customHeight="1" thickBot="1" thickTop="1">
      <c r="B100" s="1061"/>
      <c r="E100" s="1086"/>
      <c r="F100" s="1087" t="s">
        <v>399</v>
      </c>
      <c r="H100" s="1089">
        <f>'[3]BASE'!GT104</f>
        <v>0.65</v>
      </c>
      <c r="I100" s="1089">
        <f>'[3]BASE'!GU104</f>
        <v>0.63</v>
      </c>
      <c r="J100" s="1089">
        <f>'[3]BASE'!GV104</f>
        <v>0.64</v>
      </c>
      <c r="K100" s="1089">
        <f>'[3]BASE'!GW104</f>
        <v>0.61</v>
      </c>
      <c r="L100" s="1089">
        <f>'[3]BASE'!GX104</f>
        <v>0.59</v>
      </c>
      <c r="M100" s="1089">
        <f>'[3]BASE'!GY104</f>
        <v>0.54</v>
      </c>
      <c r="N100" s="1089">
        <f>'[3]BASE'!GZ104</f>
        <v>0.44</v>
      </c>
      <c r="O100" s="1089">
        <f>'[3]BASE'!HA104</f>
        <v>0.45</v>
      </c>
      <c r="P100" s="1089">
        <f>'[3]BASE'!HB104</f>
        <v>0.43</v>
      </c>
      <c r="Q100" s="1089">
        <f>'[3]BASE'!HC104</f>
        <v>0.38</v>
      </c>
      <c r="R100" s="1089">
        <f>'[3]BASE'!HD104</f>
        <v>0.28</v>
      </c>
      <c r="S100" s="1089">
        <f>'[3]BASE'!HE104</f>
        <v>0.32</v>
      </c>
      <c r="T100" s="1089">
        <f>'[3]BASE'!HF104</f>
        <v>0.25</v>
      </c>
      <c r="U100" s="1066"/>
    </row>
    <row r="101" spans="2:21" s="851" customFormat="1" ht="9.75" customHeight="1" thickBot="1" thickTop="1">
      <c r="B101" s="1090"/>
      <c r="C101"/>
      <c r="D101" s="1091"/>
      <c r="E101" s="1092"/>
      <c r="F101" s="1093"/>
      <c r="G101"/>
      <c r="H101" s="1094"/>
      <c r="I101" s="1094"/>
      <c r="J101" s="1094"/>
      <c r="K101" s="1094"/>
      <c r="L101" s="1094"/>
      <c r="M101" s="1094"/>
      <c r="N101" s="1094"/>
      <c r="O101" s="1094"/>
      <c r="P101" s="1094"/>
      <c r="Q101" s="1094"/>
      <c r="R101" s="1094"/>
      <c r="S101" s="1094"/>
      <c r="T101" s="1094"/>
      <c r="U101" s="1095"/>
    </row>
    <row r="102" spans="2:21" ht="15.75" customHeight="1" thickBot="1">
      <c r="B102" s="50"/>
      <c r="C102" s="1096"/>
      <c r="D102" s="15" t="s">
        <v>400</v>
      </c>
      <c r="E102" s="4"/>
      <c r="F102" s="4"/>
      <c r="G102" s="6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6"/>
    </row>
    <row r="103" spans="2:21" ht="20.25" thickBot="1" thickTop="1">
      <c r="B103" s="50"/>
      <c r="C103" s="66"/>
      <c r="D103" s="4"/>
      <c r="H103" s="1097" t="s">
        <v>401</v>
      </c>
      <c r="I103" s="1098"/>
      <c r="J103" s="1099">
        <f>T100</f>
        <v>0.25</v>
      </c>
      <c r="K103" s="1100" t="s">
        <v>402</v>
      </c>
      <c r="L103" s="1101"/>
      <c r="M103" s="1102"/>
      <c r="N103" s="4"/>
      <c r="O103" s="4"/>
      <c r="P103" s="4"/>
      <c r="Q103" s="4"/>
      <c r="R103" s="4"/>
      <c r="S103" s="4"/>
      <c r="T103" s="4"/>
      <c r="U103" s="6"/>
    </row>
    <row r="104" spans="2:21" s="32" customFormat="1" ht="9.75" customHeight="1" thickBot="1" thickTop="1">
      <c r="B104" s="57"/>
      <c r="C104" s="1103"/>
      <c r="D104" s="59"/>
      <c r="E104" s="59"/>
      <c r="F104" s="1103"/>
      <c r="G104" s="1103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/>
    </row>
    <row r="105" spans="3:7" ht="13.5" thickTop="1">
      <c r="C105" s="1104"/>
      <c r="F105" s="1104"/>
      <c r="G105" s="1104"/>
    </row>
    <row r="106" spans="3:194" ht="12.75">
      <c r="C106" s="1104"/>
      <c r="D106" s="66"/>
      <c r="E106" s="66"/>
      <c r="F106" s="66"/>
      <c r="G106" s="66"/>
      <c r="H106" s="1105"/>
      <c r="I106" s="1105"/>
      <c r="J106" s="1105"/>
      <c r="K106" s="1105"/>
      <c r="L106" s="1105"/>
      <c r="M106" s="1105"/>
      <c r="N106" s="1105"/>
      <c r="O106" s="1105"/>
      <c r="P106" s="1105"/>
      <c r="Q106" s="1105"/>
      <c r="R106" s="1105"/>
      <c r="S106" s="1105"/>
      <c r="T106" s="110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104"/>
      <c r="D107" s="66"/>
      <c r="E107" s="66"/>
      <c r="F107" s="66"/>
      <c r="G107" s="66"/>
      <c r="H107" s="1105"/>
      <c r="I107" s="1105"/>
      <c r="J107" s="1105"/>
      <c r="K107" s="1105"/>
      <c r="L107" s="1105"/>
      <c r="M107" s="1105"/>
      <c r="N107" s="1105"/>
      <c r="O107" s="1105"/>
      <c r="P107" s="1105"/>
      <c r="Q107" s="1105"/>
      <c r="R107" s="1105"/>
      <c r="S107" s="1105"/>
      <c r="T107" s="110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104"/>
      <c r="D108" s="66"/>
      <c r="E108" s="66"/>
      <c r="F108" s="66"/>
      <c r="G108" s="66"/>
      <c r="H108" s="1106"/>
      <c r="I108" s="1106"/>
      <c r="J108" s="1106"/>
      <c r="K108" s="1106"/>
      <c r="L108" s="1106"/>
      <c r="M108" s="1106"/>
      <c r="N108" s="1106"/>
      <c r="O108" s="1106"/>
      <c r="P108" s="1106"/>
      <c r="Q108" s="1106"/>
      <c r="R108" s="1106"/>
      <c r="S108" s="1106"/>
      <c r="T108" s="1106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104"/>
      <c r="D109" s="66"/>
      <c r="E109" s="66"/>
      <c r="F109" s="66"/>
      <c r="G109" s="66"/>
      <c r="H109" s="1105"/>
      <c r="I109" s="1105"/>
      <c r="J109" s="1105"/>
      <c r="K109" s="1105"/>
      <c r="L109" s="1105"/>
      <c r="M109" s="1105"/>
      <c r="N109" s="1105"/>
      <c r="O109" s="1105"/>
      <c r="P109" s="1105"/>
      <c r="Q109" s="1105"/>
      <c r="R109" s="1105"/>
      <c r="S109" s="1105"/>
      <c r="T109" s="110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104"/>
      <c r="D110" s="66"/>
      <c r="E110" s="66"/>
      <c r="F110" s="66"/>
      <c r="G110" s="66"/>
      <c r="H110" s="1105"/>
      <c r="I110" s="1105"/>
      <c r="J110" s="1105"/>
      <c r="K110" s="1105"/>
      <c r="L110" s="1105"/>
      <c r="M110" s="1105"/>
      <c r="N110" s="1105"/>
      <c r="O110" s="1105"/>
      <c r="P110" s="1105"/>
      <c r="Q110" s="1105"/>
      <c r="R110" s="1105"/>
      <c r="S110" s="1105"/>
      <c r="T110" s="110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194" ht="12.75">
      <c r="C111" s="1104"/>
      <c r="D111" s="66"/>
      <c r="E111" s="66"/>
      <c r="F111" s="66"/>
      <c r="G111" s="66"/>
      <c r="H111" s="1105"/>
      <c r="I111" s="1105"/>
      <c r="J111" s="1105"/>
      <c r="K111" s="1105"/>
      <c r="L111" s="1105"/>
      <c r="M111" s="1105"/>
      <c r="N111" s="1105"/>
      <c r="O111" s="1105"/>
      <c r="P111" s="1105"/>
      <c r="Q111" s="1105"/>
      <c r="R111" s="1105"/>
      <c r="S111" s="1105"/>
      <c r="T111" s="110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</row>
    <row r="112" spans="3:194" ht="12.75">
      <c r="C112" s="1104"/>
      <c r="D112" s="66"/>
      <c r="E112" s="66"/>
      <c r="F112" s="66"/>
      <c r="G112" s="66"/>
      <c r="H112" s="1105"/>
      <c r="I112" s="1105"/>
      <c r="J112" s="1105"/>
      <c r="K112" s="1105"/>
      <c r="L112" s="1105"/>
      <c r="M112" s="1105"/>
      <c r="N112" s="1105"/>
      <c r="O112" s="1105"/>
      <c r="P112" s="1105"/>
      <c r="Q112" s="1105"/>
      <c r="R112" s="1105"/>
      <c r="S112" s="1105"/>
      <c r="T112" s="110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</row>
    <row r="113" spans="3:194" ht="12.75">
      <c r="C113" s="1104"/>
      <c r="D113" s="66"/>
      <c r="E113" s="66"/>
      <c r="F113" s="66"/>
      <c r="G113" s="66"/>
      <c r="H113" s="1105"/>
      <c r="I113" s="1105"/>
      <c r="J113" s="1105"/>
      <c r="K113" s="1105"/>
      <c r="L113" s="1105"/>
      <c r="M113" s="1105"/>
      <c r="N113" s="1105"/>
      <c r="O113" s="1105"/>
      <c r="P113" s="1105"/>
      <c r="Q113" s="1105"/>
      <c r="R113" s="1105"/>
      <c r="S113" s="1105"/>
      <c r="T113" s="110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</row>
    <row r="114" spans="3:194" ht="12.75">
      <c r="C114" s="1104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</row>
    <row r="115" spans="3:194" ht="12.75">
      <c r="C115" s="1104"/>
      <c r="D115" s="4"/>
      <c r="E115" s="4"/>
      <c r="F115" s="66"/>
      <c r="G115" s="6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</row>
    <row r="116" spans="3:7" ht="12.75">
      <c r="C116" s="1104"/>
      <c r="F116" s="1104"/>
      <c r="G116" s="1104"/>
    </row>
    <row r="117" spans="3:7" ht="12.75">
      <c r="C117" s="1104"/>
      <c r="F117" s="1104"/>
      <c r="G117" s="1104"/>
    </row>
    <row r="118" spans="3:7" ht="12.75">
      <c r="C118" s="1104"/>
      <c r="F118" s="1104"/>
      <c r="G118" s="1104"/>
    </row>
    <row r="119" spans="6:7" ht="12.75">
      <c r="F119" s="1104"/>
      <c r="G119" s="1104"/>
    </row>
  </sheetData>
  <sheetProtection/>
  <printOptions horizontalCentered="1"/>
  <pageMargins left="0.3937007874015748" right="0.1968503937007874" top="0.5" bottom="0.61" header="0.38" footer="0.43"/>
  <pageSetup fitToHeight="1" fitToWidth="1" horizontalDpi="300" verticalDpi="300" orientation="portrait" paperSize="9" scale="37" r:id="rId2"/>
  <headerFooter alignWithMargins="0">
    <oddFooter>&amp;L&amp;"Times New Roman,Normal"&amp;7&amp;F-&amp;A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72"/>
  <sheetViews>
    <sheetView zoomScalePageLayoutView="0"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917" bestFit="1" customWidth="1"/>
    <col min="2" max="2" width="9.28125" style="917" customWidth="1"/>
    <col min="3" max="3" width="11.8515625" style="917" bestFit="1" customWidth="1"/>
    <col min="4" max="4" width="9.57421875" style="917" bestFit="1" customWidth="1"/>
    <col min="5" max="5" width="17.140625" style="917" bestFit="1" customWidth="1"/>
    <col min="6" max="6" width="71.8515625" style="917" bestFit="1" customWidth="1"/>
    <col min="7" max="9" width="5.8515625" style="917" customWidth="1"/>
    <col min="10" max="22" width="5.8515625" style="917" bestFit="1" customWidth="1"/>
    <col min="23" max="24" width="11.00390625" style="917" customWidth="1"/>
    <col min="25" max="29" width="11.421875" style="917" customWidth="1"/>
    <col min="30" max="16384" width="11.421875" style="906" customWidth="1"/>
  </cols>
  <sheetData>
    <row r="1" spans="1:4" ht="10.5">
      <c r="A1" s="916" t="s">
        <v>153</v>
      </c>
      <c r="B1" s="916" t="s">
        <v>153</v>
      </c>
      <c r="C1" s="916" t="s">
        <v>154</v>
      </c>
      <c r="D1" s="916" t="s">
        <v>155</v>
      </c>
    </row>
    <row r="2" spans="1:4" ht="10.5">
      <c r="A2" s="918" t="s">
        <v>45</v>
      </c>
      <c r="B2" s="919" t="s">
        <v>159</v>
      </c>
      <c r="C2" s="918">
        <v>31</v>
      </c>
      <c r="D2" s="918">
        <v>2006</v>
      </c>
    </row>
    <row r="3" spans="1:4" ht="10.5">
      <c r="A3" s="918" t="s">
        <v>46</v>
      </c>
      <c r="B3" s="919" t="s">
        <v>160</v>
      </c>
      <c r="C3" s="918">
        <f>IF(MOD(E14,4)=0,29,28)</f>
        <v>28</v>
      </c>
      <c r="D3" s="918">
        <f>+D2+1</f>
        <v>2007</v>
      </c>
    </row>
    <row r="4" spans="1:4" ht="10.5">
      <c r="A4" s="918" t="s">
        <v>47</v>
      </c>
      <c r="B4" s="919" t="s">
        <v>161</v>
      </c>
      <c r="C4" s="918">
        <v>31</v>
      </c>
      <c r="D4" s="918">
        <v>2008</v>
      </c>
    </row>
    <row r="5" spans="1:4" ht="10.5">
      <c r="A5" s="918" t="s">
        <v>48</v>
      </c>
      <c r="B5" s="919" t="s">
        <v>162</v>
      </c>
      <c r="C5" s="918">
        <v>30</v>
      </c>
      <c r="D5" s="918">
        <v>2009</v>
      </c>
    </row>
    <row r="6" spans="1:4" ht="10.5">
      <c r="A6" s="918" t="s">
        <v>49</v>
      </c>
      <c r="B6" s="919" t="s">
        <v>163</v>
      </c>
      <c r="C6" s="918">
        <v>31</v>
      </c>
      <c r="D6" s="918">
        <v>2010</v>
      </c>
    </row>
    <row r="7" spans="1:4" ht="10.5">
      <c r="A7" s="918" t="s">
        <v>50</v>
      </c>
      <c r="B7" s="919" t="s">
        <v>164</v>
      </c>
      <c r="C7" s="918">
        <v>30</v>
      </c>
      <c r="D7" s="918">
        <v>2011</v>
      </c>
    </row>
    <row r="8" spans="1:4" ht="10.5">
      <c r="A8" s="918" t="s">
        <v>51</v>
      </c>
      <c r="B8" s="919" t="s">
        <v>165</v>
      </c>
      <c r="C8" s="918">
        <v>31</v>
      </c>
      <c r="D8" s="918"/>
    </row>
    <row r="9" spans="1:4" ht="10.5">
      <c r="A9" s="918" t="s">
        <v>52</v>
      </c>
      <c r="B9" s="919" t="s">
        <v>166</v>
      </c>
      <c r="C9" s="918">
        <v>31</v>
      </c>
      <c r="D9" s="918"/>
    </row>
    <row r="10" spans="1:4" ht="10.5">
      <c r="A10" s="918" t="s">
        <v>53</v>
      </c>
      <c r="B10" s="919" t="s">
        <v>167</v>
      </c>
      <c r="C10" s="918">
        <v>30</v>
      </c>
      <c r="D10" s="918"/>
    </row>
    <row r="11" spans="1:4" ht="10.5">
      <c r="A11" s="918" t="s">
        <v>54</v>
      </c>
      <c r="B11" s="919" t="s">
        <v>168</v>
      </c>
      <c r="C11" s="918">
        <v>31</v>
      </c>
      <c r="D11" s="918"/>
    </row>
    <row r="12" spans="1:4" ht="10.5">
      <c r="A12" s="918" t="s">
        <v>55</v>
      </c>
      <c r="B12" s="919" t="s">
        <v>169</v>
      </c>
      <c r="C12" s="918">
        <v>30</v>
      </c>
      <c r="D12" s="918"/>
    </row>
    <row r="13" spans="1:9" ht="10.5">
      <c r="A13" s="918" t="s">
        <v>56</v>
      </c>
      <c r="B13" s="919" t="s">
        <v>170</v>
      </c>
      <c r="C13" s="918">
        <v>31</v>
      </c>
      <c r="D13" s="918"/>
      <c r="E13" s="920"/>
      <c r="I13" s="921" t="s">
        <v>204</v>
      </c>
    </row>
    <row r="14" spans="1:9" ht="10.5">
      <c r="A14" s="922">
        <v>6</v>
      </c>
      <c r="B14" s="923">
        <v>2</v>
      </c>
      <c r="C14" s="922" t="str">
        <f ca="1">CELL("CONTENIDO",OFFSET(A1,B14,0))</f>
        <v>febrero</v>
      </c>
      <c r="D14" s="922">
        <f ca="1">CELL("CONTENIDO",OFFSET(C1,B14,0))</f>
        <v>28</v>
      </c>
      <c r="E14" s="922">
        <f ca="1">CELL("CONTENIDO",OFFSET(D1,A14,0))</f>
        <v>2011</v>
      </c>
      <c r="F14" s="922" t="str">
        <f>"Desde el 01 al "&amp;D14&amp;" de "&amp;C14&amp;" de "&amp;E14</f>
        <v>Desde el 01 al 28 de febrero de 2011</v>
      </c>
      <c r="G14" s="922" t="str">
        <f ca="1">CELL("CONTENIDO",OFFSET(B1,B14,0))</f>
        <v>02</v>
      </c>
      <c r="H14" s="922" t="str">
        <f>RIGHT(E14,2)</f>
        <v>11</v>
      </c>
      <c r="I14" s="924" t="s">
        <v>201</v>
      </c>
    </row>
    <row r="15" spans="1:8" ht="10.5">
      <c r="A15" s="922"/>
      <c r="B15" s="925" t="str">
        <f>"\\fileserver\files\Transporte\Transporte\AA PROCESO AUT ARCHIVOS J\TRANSENER\"&amp;E14</f>
        <v>\\fileserver\files\Transporte\Transporte\AA PROCESO AUT ARCHIVOS J\TRANSENER\2011</v>
      </c>
      <c r="C15" s="922"/>
      <c r="D15" s="922"/>
      <c r="E15" s="922"/>
      <c r="F15" s="922"/>
      <c r="G15" s="922" t="str">
        <f>"J"&amp;G14&amp;H14&amp;"NER"</f>
        <v>J0211NER</v>
      </c>
      <c r="H15" s="922"/>
    </row>
    <row r="16" spans="1:8" ht="10.5">
      <c r="A16" s="922"/>
      <c r="B16" s="925" t="str">
        <f>"\\fileserver\files\Transporte\transporte\AA PROCESO AUT\INTERCAMBIO\"&amp;H14&amp;G14</f>
        <v>\\fileserver\files\Transporte\transporte\AA PROCESO AUT\INTERCAMBIO\1102</v>
      </c>
      <c r="C16" s="922"/>
      <c r="D16" s="922"/>
      <c r="E16" s="922"/>
      <c r="F16" s="922"/>
      <c r="G16" s="922"/>
      <c r="H16" s="922"/>
    </row>
    <row r="17" spans="1:29" ht="10.5">
      <c r="A17" s="916" t="s">
        <v>141</v>
      </c>
      <c r="B17" s="916" t="s">
        <v>189</v>
      </c>
      <c r="C17" s="916" t="s">
        <v>173</v>
      </c>
      <c r="D17" s="916" t="s">
        <v>172</v>
      </c>
      <c r="E17" s="916" t="s">
        <v>158</v>
      </c>
      <c r="F17" s="916" t="s">
        <v>171</v>
      </c>
      <c r="G17" s="916" t="s">
        <v>188</v>
      </c>
      <c r="H17" s="916" t="s">
        <v>174</v>
      </c>
      <c r="I17" s="916" t="s">
        <v>175</v>
      </c>
      <c r="J17" s="916" t="s">
        <v>176</v>
      </c>
      <c r="K17" s="916" t="s">
        <v>177</v>
      </c>
      <c r="L17" s="916" t="s">
        <v>178</v>
      </c>
      <c r="M17" s="916" t="s">
        <v>179</v>
      </c>
      <c r="N17" s="916" t="s">
        <v>180</v>
      </c>
      <c r="O17" s="916" t="s">
        <v>181</v>
      </c>
      <c r="P17" s="916" t="s">
        <v>243</v>
      </c>
      <c r="Q17" s="916" t="s">
        <v>182</v>
      </c>
      <c r="R17" s="916" t="s">
        <v>183</v>
      </c>
      <c r="S17" s="916" t="s">
        <v>184</v>
      </c>
      <c r="T17" s="916" t="s">
        <v>185</v>
      </c>
      <c r="U17" s="916" t="s">
        <v>186</v>
      </c>
      <c r="V17" s="916" t="s">
        <v>187</v>
      </c>
      <c r="W17" s="916" t="s">
        <v>205</v>
      </c>
      <c r="X17" s="916" t="s">
        <v>206</v>
      </c>
      <c r="Y17" s="916" t="s">
        <v>208</v>
      </c>
      <c r="Z17" s="916" t="s">
        <v>207</v>
      </c>
      <c r="AA17" s="916" t="s">
        <v>210</v>
      </c>
      <c r="AB17" s="916" t="s">
        <v>209</v>
      </c>
      <c r="AC17" s="916" t="s">
        <v>223</v>
      </c>
    </row>
    <row r="18" spans="1:29" ht="10.5">
      <c r="A18" s="904" t="s">
        <v>142</v>
      </c>
      <c r="B18" s="904">
        <v>22</v>
      </c>
      <c r="C18" s="904">
        <v>20</v>
      </c>
      <c r="D18" s="904">
        <v>13</v>
      </c>
      <c r="E18" s="904" t="str">
        <f>"LI-"&amp;$G$14</f>
        <v>LI-02</v>
      </c>
      <c r="F18" s="904" t="s">
        <v>247</v>
      </c>
      <c r="G18" s="904">
        <v>3</v>
      </c>
      <c r="H18" s="905">
        <v>5</v>
      </c>
      <c r="I18" s="905">
        <v>4</v>
      </c>
      <c r="J18" s="904">
        <v>6</v>
      </c>
      <c r="K18" s="904">
        <v>7</v>
      </c>
      <c r="L18" s="904">
        <v>8</v>
      </c>
      <c r="M18" s="904">
        <v>9</v>
      </c>
      <c r="N18" s="904">
        <v>12</v>
      </c>
      <c r="O18" s="904">
        <v>13</v>
      </c>
      <c r="P18" s="904">
        <v>16</v>
      </c>
      <c r="Q18" s="904">
        <v>19</v>
      </c>
      <c r="R18" s="904">
        <v>30</v>
      </c>
      <c r="S18" s="904">
        <v>0</v>
      </c>
      <c r="T18" s="904">
        <v>0</v>
      </c>
      <c r="U18" s="904">
        <v>0</v>
      </c>
      <c r="V18" s="904">
        <v>0</v>
      </c>
      <c r="W18" s="904">
        <v>17</v>
      </c>
      <c r="X18" s="904">
        <v>9</v>
      </c>
      <c r="Y18" s="904">
        <v>43</v>
      </c>
      <c r="Z18" s="905">
        <v>31</v>
      </c>
      <c r="AA18" s="904">
        <v>20</v>
      </c>
      <c r="AB18" s="905">
        <v>31</v>
      </c>
      <c r="AC18" s="904">
        <v>16</v>
      </c>
    </row>
    <row r="19" spans="1:29" ht="10.5">
      <c r="A19" s="904" t="s">
        <v>145</v>
      </c>
      <c r="B19" s="905">
        <v>20</v>
      </c>
      <c r="C19" s="905">
        <v>20</v>
      </c>
      <c r="D19" s="905">
        <v>13</v>
      </c>
      <c r="E19" s="904" t="str">
        <f>"LI-YACY-"&amp;$G$14</f>
        <v>LI-YACY-02</v>
      </c>
      <c r="F19" s="904" t="s">
        <v>248</v>
      </c>
      <c r="G19" s="905">
        <v>3</v>
      </c>
      <c r="H19" s="905">
        <v>5</v>
      </c>
      <c r="I19" s="905">
        <v>4</v>
      </c>
      <c r="J19" s="905">
        <v>6</v>
      </c>
      <c r="K19" s="905">
        <v>7</v>
      </c>
      <c r="L19" s="905">
        <v>8</v>
      </c>
      <c r="M19" s="905">
        <v>9</v>
      </c>
      <c r="N19" s="905">
        <v>12</v>
      </c>
      <c r="O19" s="905">
        <v>13</v>
      </c>
      <c r="P19" s="905">
        <v>16</v>
      </c>
      <c r="Q19" s="905">
        <v>19</v>
      </c>
      <c r="R19" s="905">
        <v>30</v>
      </c>
      <c r="S19" s="905">
        <v>0</v>
      </c>
      <c r="T19" s="905">
        <v>0</v>
      </c>
      <c r="U19" s="905">
        <v>0</v>
      </c>
      <c r="V19" s="905">
        <v>0</v>
      </c>
      <c r="W19" s="905">
        <v>18</v>
      </c>
      <c r="X19" s="905">
        <v>9</v>
      </c>
      <c r="Y19" s="905">
        <v>41</v>
      </c>
      <c r="Z19" s="905">
        <v>31</v>
      </c>
      <c r="AA19" s="904">
        <v>20</v>
      </c>
      <c r="AB19" s="905">
        <v>31</v>
      </c>
      <c r="AC19" s="905">
        <v>16</v>
      </c>
    </row>
    <row r="20" spans="1:29" ht="10.5">
      <c r="A20" s="904" t="s">
        <v>146</v>
      </c>
      <c r="B20" s="904">
        <v>22</v>
      </c>
      <c r="C20" s="904">
        <v>20</v>
      </c>
      <c r="D20" s="904">
        <v>13</v>
      </c>
      <c r="E20" s="904" t="str">
        <f>"LI-LITSA-"&amp;$G$14</f>
        <v>LI-LITSA-02</v>
      </c>
      <c r="F20" s="904" t="s">
        <v>249</v>
      </c>
      <c r="G20" s="904">
        <v>3</v>
      </c>
      <c r="H20" s="905">
        <v>5</v>
      </c>
      <c r="I20" s="905">
        <v>4</v>
      </c>
      <c r="J20" s="904">
        <v>6</v>
      </c>
      <c r="K20" s="904">
        <v>7</v>
      </c>
      <c r="L20" s="904">
        <v>8</v>
      </c>
      <c r="M20" s="904">
        <v>9</v>
      </c>
      <c r="N20" s="904">
        <v>12</v>
      </c>
      <c r="O20" s="904">
        <v>13</v>
      </c>
      <c r="P20" s="904">
        <v>16</v>
      </c>
      <c r="Q20" s="904">
        <v>19</v>
      </c>
      <c r="R20" s="904">
        <v>30</v>
      </c>
      <c r="S20" s="904">
        <v>0</v>
      </c>
      <c r="T20" s="904">
        <v>0</v>
      </c>
      <c r="U20" s="904">
        <v>0</v>
      </c>
      <c r="V20" s="904">
        <v>0</v>
      </c>
      <c r="W20" s="905">
        <v>19</v>
      </c>
      <c r="X20" s="904">
        <v>9</v>
      </c>
      <c r="Y20" s="904">
        <v>43</v>
      </c>
      <c r="Z20" s="905">
        <v>32</v>
      </c>
      <c r="AA20" s="904">
        <v>20</v>
      </c>
      <c r="AB20" s="905">
        <v>32</v>
      </c>
      <c r="AC20" s="904">
        <v>16</v>
      </c>
    </row>
    <row r="21" spans="1:29" ht="10.5">
      <c r="A21" s="904" t="s">
        <v>190</v>
      </c>
      <c r="B21" s="904">
        <v>22</v>
      </c>
      <c r="C21" s="905">
        <v>20</v>
      </c>
      <c r="D21" s="904">
        <v>13</v>
      </c>
      <c r="E21" s="904" t="str">
        <f>"LI-IV-"&amp;$G$14</f>
        <v>LI-IV-02</v>
      </c>
      <c r="F21" s="904" t="s">
        <v>250</v>
      </c>
      <c r="G21" s="904">
        <v>3</v>
      </c>
      <c r="H21" s="905">
        <v>5</v>
      </c>
      <c r="I21" s="905">
        <v>4</v>
      </c>
      <c r="J21" s="904">
        <v>6</v>
      </c>
      <c r="K21" s="904">
        <v>7</v>
      </c>
      <c r="L21" s="904">
        <v>8</v>
      </c>
      <c r="M21" s="904">
        <v>9</v>
      </c>
      <c r="N21" s="904">
        <v>12</v>
      </c>
      <c r="O21" s="904">
        <v>13</v>
      </c>
      <c r="P21" s="904">
        <v>16</v>
      </c>
      <c r="Q21" s="904">
        <v>19</v>
      </c>
      <c r="R21" s="904">
        <v>30</v>
      </c>
      <c r="S21" s="904">
        <v>0</v>
      </c>
      <c r="T21" s="904">
        <v>0</v>
      </c>
      <c r="U21" s="904">
        <v>0</v>
      </c>
      <c r="V21" s="904">
        <v>0</v>
      </c>
      <c r="W21" s="905">
        <v>20</v>
      </c>
      <c r="X21" s="905">
        <v>9</v>
      </c>
      <c r="Y21" s="904">
        <v>43</v>
      </c>
      <c r="Z21" s="905">
        <v>31</v>
      </c>
      <c r="AA21" s="904">
        <v>20</v>
      </c>
      <c r="AB21" s="905">
        <v>31</v>
      </c>
      <c r="AC21" s="904">
        <v>16</v>
      </c>
    </row>
    <row r="22" spans="1:29" ht="10.5">
      <c r="A22" s="905" t="s">
        <v>230</v>
      </c>
      <c r="B22" s="905">
        <v>20</v>
      </c>
      <c r="C22" s="905">
        <v>20</v>
      </c>
      <c r="D22" s="905">
        <v>13</v>
      </c>
      <c r="E22" s="905" t="str">
        <f>"LI-INTESAR-"&amp;$G$14</f>
        <v>LI-INTESAR-02</v>
      </c>
      <c r="F22" s="905" t="s">
        <v>251</v>
      </c>
      <c r="G22" s="905">
        <v>3</v>
      </c>
      <c r="H22" s="905">
        <v>5</v>
      </c>
      <c r="I22" s="905">
        <v>4</v>
      </c>
      <c r="J22" s="905">
        <v>6</v>
      </c>
      <c r="K22" s="905">
        <v>7</v>
      </c>
      <c r="L22" s="905">
        <v>8</v>
      </c>
      <c r="M22" s="905">
        <v>9</v>
      </c>
      <c r="N22" s="905">
        <v>12</v>
      </c>
      <c r="O22" s="905">
        <v>13</v>
      </c>
      <c r="P22" s="905">
        <v>16</v>
      </c>
      <c r="Q22" s="905">
        <v>19</v>
      </c>
      <c r="R22" s="905">
        <v>30</v>
      </c>
      <c r="S22" s="905">
        <v>0</v>
      </c>
      <c r="T22" s="905">
        <v>0</v>
      </c>
      <c r="U22" s="905">
        <v>0</v>
      </c>
      <c r="V22" s="905">
        <v>0</v>
      </c>
      <c r="W22" s="905">
        <v>21</v>
      </c>
      <c r="X22" s="905">
        <v>9</v>
      </c>
      <c r="Y22" s="905">
        <v>41</v>
      </c>
      <c r="Z22" s="905">
        <v>31</v>
      </c>
      <c r="AA22" s="904">
        <v>20</v>
      </c>
      <c r="AB22" s="905">
        <v>31</v>
      </c>
      <c r="AC22" s="905">
        <v>16</v>
      </c>
    </row>
    <row r="23" spans="1:29" ht="10.5">
      <c r="A23" s="905" t="s">
        <v>231</v>
      </c>
      <c r="B23" s="905">
        <v>20</v>
      </c>
      <c r="C23" s="905">
        <v>20</v>
      </c>
      <c r="D23" s="905">
        <v>13</v>
      </c>
      <c r="E23" s="905" t="str">
        <f>"LI-CUYANA-"&amp;$G$14</f>
        <v>LI-CUYANA-02</v>
      </c>
      <c r="F23" s="905" t="s">
        <v>252</v>
      </c>
      <c r="G23" s="905">
        <v>3</v>
      </c>
      <c r="H23" s="905">
        <v>5</v>
      </c>
      <c r="I23" s="905">
        <v>4</v>
      </c>
      <c r="J23" s="905">
        <v>6</v>
      </c>
      <c r="K23" s="905">
        <v>7</v>
      </c>
      <c r="L23" s="905">
        <v>8</v>
      </c>
      <c r="M23" s="905">
        <v>9</v>
      </c>
      <c r="N23" s="905">
        <v>12</v>
      </c>
      <c r="O23" s="905">
        <v>13</v>
      </c>
      <c r="P23" s="905">
        <v>16</v>
      </c>
      <c r="Q23" s="905">
        <v>19</v>
      </c>
      <c r="R23" s="905">
        <v>30</v>
      </c>
      <c r="S23" s="905">
        <v>0</v>
      </c>
      <c r="T23" s="905">
        <v>0</v>
      </c>
      <c r="U23" s="905">
        <v>0</v>
      </c>
      <c r="V23" s="905">
        <v>0</v>
      </c>
      <c r="W23" s="905">
        <v>22</v>
      </c>
      <c r="X23" s="905">
        <v>9</v>
      </c>
      <c r="Y23" s="905">
        <v>41</v>
      </c>
      <c r="Z23" s="905">
        <v>31</v>
      </c>
      <c r="AA23" s="904">
        <v>20</v>
      </c>
      <c r="AB23" s="905">
        <v>31</v>
      </c>
      <c r="AC23" s="905">
        <v>16</v>
      </c>
    </row>
    <row r="24" spans="1:29" ht="10.5">
      <c r="A24" s="905" t="s">
        <v>227</v>
      </c>
      <c r="B24" s="905">
        <v>20</v>
      </c>
      <c r="C24" s="905">
        <v>20</v>
      </c>
      <c r="D24" s="905">
        <v>13</v>
      </c>
      <c r="E24" s="905" t="str">
        <f>"LI-LIMSA-"&amp;$G$14</f>
        <v>LI-LIMSA-02</v>
      </c>
      <c r="F24" s="905" t="s">
        <v>253</v>
      </c>
      <c r="G24" s="905">
        <v>3</v>
      </c>
      <c r="H24" s="905">
        <v>5</v>
      </c>
      <c r="I24" s="905">
        <v>4</v>
      </c>
      <c r="J24" s="905">
        <v>6</v>
      </c>
      <c r="K24" s="905">
        <v>7</v>
      </c>
      <c r="L24" s="905">
        <v>8</v>
      </c>
      <c r="M24" s="905">
        <v>9</v>
      </c>
      <c r="N24" s="905">
        <v>12</v>
      </c>
      <c r="O24" s="905">
        <v>13</v>
      </c>
      <c r="P24" s="905">
        <v>16</v>
      </c>
      <c r="Q24" s="905">
        <v>19</v>
      </c>
      <c r="R24" s="905">
        <v>30</v>
      </c>
      <c r="S24" s="905">
        <v>0</v>
      </c>
      <c r="T24" s="905">
        <v>0</v>
      </c>
      <c r="U24" s="905">
        <v>0</v>
      </c>
      <c r="V24" s="905">
        <v>0</v>
      </c>
      <c r="W24" s="905">
        <v>23</v>
      </c>
      <c r="X24" s="905">
        <v>9</v>
      </c>
      <c r="Y24" s="905">
        <v>41</v>
      </c>
      <c r="Z24" s="905">
        <v>31</v>
      </c>
      <c r="AA24" s="904">
        <v>20</v>
      </c>
      <c r="AB24" s="905">
        <v>31</v>
      </c>
      <c r="AC24" s="905">
        <v>16</v>
      </c>
    </row>
    <row r="25" spans="1:29" ht="10.5">
      <c r="A25" s="905" t="s">
        <v>273</v>
      </c>
      <c r="B25" s="905">
        <v>20</v>
      </c>
      <c r="C25" s="905">
        <v>20</v>
      </c>
      <c r="D25" s="905">
        <v>13</v>
      </c>
      <c r="E25" s="905" t="str">
        <f>"LI-RIOJA-"&amp;$G$14</f>
        <v>LI-RIOJA-02</v>
      </c>
      <c r="F25" s="905" t="s">
        <v>274</v>
      </c>
      <c r="G25" s="905">
        <v>3</v>
      </c>
      <c r="H25" s="905">
        <v>5</v>
      </c>
      <c r="I25" s="905">
        <v>4</v>
      </c>
      <c r="J25" s="905">
        <v>6</v>
      </c>
      <c r="K25" s="905">
        <v>7</v>
      </c>
      <c r="L25" s="905">
        <v>8</v>
      </c>
      <c r="M25" s="905">
        <v>9</v>
      </c>
      <c r="N25" s="905">
        <v>12</v>
      </c>
      <c r="O25" s="905">
        <v>13</v>
      </c>
      <c r="P25" s="905">
        <v>16</v>
      </c>
      <c r="Q25" s="905">
        <v>19</v>
      </c>
      <c r="R25" s="905">
        <v>30</v>
      </c>
      <c r="S25" s="905">
        <v>0</v>
      </c>
      <c r="T25" s="905">
        <v>0</v>
      </c>
      <c r="U25" s="905">
        <v>0</v>
      </c>
      <c r="V25" s="905">
        <v>0</v>
      </c>
      <c r="W25" s="905">
        <v>24</v>
      </c>
      <c r="X25" s="905">
        <v>9</v>
      </c>
      <c r="Y25" s="905">
        <v>41</v>
      </c>
      <c r="Z25" s="905">
        <v>31</v>
      </c>
      <c r="AA25" s="904">
        <v>20</v>
      </c>
      <c r="AB25" s="905">
        <v>31</v>
      </c>
      <c r="AC25" s="905">
        <v>16</v>
      </c>
    </row>
    <row r="26" spans="1:29" ht="10.5">
      <c r="A26" s="907" t="s">
        <v>143</v>
      </c>
      <c r="B26" s="907">
        <v>22</v>
      </c>
      <c r="C26" s="908">
        <v>20</v>
      </c>
      <c r="D26" s="907">
        <v>14</v>
      </c>
      <c r="E26" s="907" t="str">
        <f>"TR-"&amp;$G$14</f>
        <v>TR-02</v>
      </c>
      <c r="F26" s="907" t="s">
        <v>254</v>
      </c>
      <c r="G26" s="905">
        <v>3</v>
      </c>
      <c r="H26" s="905">
        <v>5</v>
      </c>
      <c r="I26" s="905">
        <v>4</v>
      </c>
      <c r="J26" s="905">
        <v>6</v>
      </c>
      <c r="K26" s="905">
        <v>7</v>
      </c>
      <c r="L26" s="908">
        <v>8</v>
      </c>
      <c r="M26" s="908">
        <v>9</v>
      </c>
      <c r="N26" s="908">
        <v>11</v>
      </c>
      <c r="O26" s="908">
        <v>12</v>
      </c>
      <c r="P26" s="908">
        <v>15</v>
      </c>
      <c r="Q26" s="908">
        <v>17</v>
      </c>
      <c r="R26" s="908">
        <v>18</v>
      </c>
      <c r="S26" s="908">
        <v>28</v>
      </c>
      <c r="T26" s="908">
        <v>0</v>
      </c>
      <c r="U26" s="908">
        <v>0</v>
      </c>
      <c r="V26" s="908">
        <v>0</v>
      </c>
      <c r="W26" s="908">
        <v>28</v>
      </c>
      <c r="X26" s="905">
        <v>9</v>
      </c>
      <c r="Y26" s="907">
        <v>43</v>
      </c>
      <c r="Z26" s="907">
        <v>29</v>
      </c>
      <c r="AA26" s="907">
        <v>20</v>
      </c>
      <c r="AB26" s="907">
        <v>29</v>
      </c>
      <c r="AC26" s="907">
        <v>15</v>
      </c>
    </row>
    <row r="27" spans="1:29" ht="10.5">
      <c r="A27" s="904" t="s">
        <v>147</v>
      </c>
      <c r="B27" s="904">
        <v>22</v>
      </c>
      <c r="C27" s="905">
        <v>20</v>
      </c>
      <c r="D27" s="907">
        <v>14</v>
      </c>
      <c r="E27" s="904" t="str">
        <f>"TR-LITSA-"&amp;$G$14</f>
        <v>TR-LITSA-02</v>
      </c>
      <c r="F27" s="904" t="s">
        <v>255</v>
      </c>
      <c r="G27" s="905">
        <v>3</v>
      </c>
      <c r="H27" s="905">
        <v>5</v>
      </c>
      <c r="I27" s="905">
        <v>4</v>
      </c>
      <c r="J27" s="905">
        <v>6</v>
      </c>
      <c r="K27" s="905">
        <v>7</v>
      </c>
      <c r="L27" s="908">
        <v>8</v>
      </c>
      <c r="M27" s="908">
        <v>9</v>
      </c>
      <c r="N27" s="908">
        <v>11</v>
      </c>
      <c r="O27" s="908">
        <v>12</v>
      </c>
      <c r="P27" s="908">
        <v>15</v>
      </c>
      <c r="Q27" s="908">
        <v>17</v>
      </c>
      <c r="R27" s="908">
        <v>18</v>
      </c>
      <c r="S27" s="908">
        <v>28</v>
      </c>
      <c r="T27" s="908">
        <v>0</v>
      </c>
      <c r="U27" s="908">
        <v>0</v>
      </c>
      <c r="V27" s="908">
        <v>0</v>
      </c>
      <c r="W27" s="908">
        <v>29</v>
      </c>
      <c r="X27" s="905">
        <v>9</v>
      </c>
      <c r="Y27" s="907">
        <v>43</v>
      </c>
      <c r="Z27" s="907">
        <v>29</v>
      </c>
      <c r="AA27" s="907">
        <v>20</v>
      </c>
      <c r="AB27" s="907">
        <v>29</v>
      </c>
      <c r="AC27" s="907">
        <v>15</v>
      </c>
    </row>
    <row r="28" spans="1:29" ht="10.5">
      <c r="A28" s="904" t="s">
        <v>148</v>
      </c>
      <c r="B28" s="904">
        <v>20</v>
      </c>
      <c r="C28" s="905">
        <v>20</v>
      </c>
      <c r="D28" s="907">
        <v>14</v>
      </c>
      <c r="E28" s="904" t="str">
        <f>"TR-TIBA-"&amp;$G$14</f>
        <v>TR-TIBA-02</v>
      </c>
      <c r="F28" s="904" t="s">
        <v>256</v>
      </c>
      <c r="G28" s="905">
        <v>3</v>
      </c>
      <c r="H28" s="905">
        <v>5</v>
      </c>
      <c r="I28" s="905">
        <v>4</v>
      </c>
      <c r="J28" s="905">
        <v>6</v>
      </c>
      <c r="K28" s="905">
        <v>7</v>
      </c>
      <c r="L28" s="908">
        <v>8</v>
      </c>
      <c r="M28" s="908">
        <v>9</v>
      </c>
      <c r="N28" s="908">
        <v>11</v>
      </c>
      <c r="O28" s="908">
        <v>12</v>
      </c>
      <c r="P28" s="908">
        <v>15</v>
      </c>
      <c r="Q28" s="908">
        <v>17</v>
      </c>
      <c r="R28" s="908">
        <v>18</v>
      </c>
      <c r="S28" s="908">
        <v>28</v>
      </c>
      <c r="T28" s="908">
        <v>0</v>
      </c>
      <c r="U28" s="908">
        <v>0</v>
      </c>
      <c r="V28" s="908">
        <v>0</v>
      </c>
      <c r="W28" s="908">
        <v>30</v>
      </c>
      <c r="X28" s="905">
        <v>9</v>
      </c>
      <c r="Y28" s="907">
        <v>41</v>
      </c>
      <c r="Z28" s="907">
        <v>29</v>
      </c>
      <c r="AA28" s="907">
        <v>18</v>
      </c>
      <c r="AB28" s="907">
        <v>29</v>
      </c>
      <c r="AC28" s="907">
        <v>15</v>
      </c>
    </row>
    <row r="29" spans="1:29" ht="10.5">
      <c r="A29" s="904" t="s">
        <v>149</v>
      </c>
      <c r="B29" s="904">
        <v>20</v>
      </c>
      <c r="C29" s="905">
        <v>20</v>
      </c>
      <c r="D29" s="907">
        <v>14</v>
      </c>
      <c r="E29" s="904" t="str">
        <f>"TR-ENECOR-"&amp;$G$14</f>
        <v>TR-ENECOR-02</v>
      </c>
      <c r="F29" s="904" t="s">
        <v>257</v>
      </c>
      <c r="G29" s="905">
        <v>3</v>
      </c>
      <c r="H29" s="905">
        <v>5</v>
      </c>
      <c r="I29" s="905">
        <v>4</v>
      </c>
      <c r="J29" s="905">
        <v>6</v>
      </c>
      <c r="K29" s="905">
        <v>7</v>
      </c>
      <c r="L29" s="908">
        <v>8</v>
      </c>
      <c r="M29" s="908">
        <v>9</v>
      </c>
      <c r="N29" s="908">
        <v>11</v>
      </c>
      <c r="O29" s="908">
        <v>12</v>
      </c>
      <c r="P29" s="908">
        <v>15</v>
      </c>
      <c r="Q29" s="908">
        <v>17</v>
      </c>
      <c r="R29" s="908">
        <v>18</v>
      </c>
      <c r="S29" s="908">
        <v>28</v>
      </c>
      <c r="T29" s="908">
        <v>0</v>
      </c>
      <c r="U29" s="908">
        <v>0</v>
      </c>
      <c r="V29" s="908">
        <v>0</v>
      </c>
      <c r="W29" s="908">
        <v>31</v>
      </c>
      <c r="X29" s="905">
        <v>9</v>
      </c>
      <c r="Y29" s="907">
        <v>41</v>
      </c>
      <c r="Z29" s="907">
        <v>29</v>
      </c>
      <c r="AA29" s="907">
        <v>20</v>
      </c>
      <c r="AB29" s="907">
        <v>29</v>
      </c>
      <c r="AC29" s="907">
        <v>15</v>
      </c>
    </row>
    <row r="30" spans="1:29" ht="10.5">
      <c r="A30" s="905" t="s">
        <v>239</v>
      </c>
      <c r="B30" s="905">
        <v>20</v>
      </c>
      <c r="C30" s="905">
        <v>20</v>
      </c>
      <c r="D30" s="908">
        <v>14</v>
      </c>
      <c r="E30" s="905" t="str">
        <f>"TR-INTESAR-"&amp;$G$14</f>
        <v>TR-INTESAR-02</v>
      </c>
      <c r="F30" s="905" t="s">
        <v>258</v>
      </c>
      <c r="G30" s="905">
        <v>3</v>
      </c>
      <c r="H30" s="905">
        <v>5</v>
      </c>
      <c r="I30" s="905">
        <v>4</v>
      </c>
      <c r="J30" s="905">
        <v>6</v>
      </c>
      <c r="K30" s="905">
        <v>7</v>
      </c>
      <c r="L30" s="908">
        <v>8</v>
      </c>
      <c r="M30" s="908">
        <v>9</v>
      </c>
      <c r="N30" s="908">
        <v>11</v>
      </c>
      <c r="O30" s="908">
        <v>12</v>
      </c>
      <c r="P30" s="908">
        <v>15</v>
      </c>
      <c r="Q30" s="908">
        <v>17</v>
      </c>
      <c r="R30" s="908">
        <v>18</v>
      </c>
      <c r="S30" s="908">
        <v>28</v>
      </c>
      <c r="T30" s="908">
        <v>0</v>
      </c>
      <c r="U30" s="908">
        <v>0</v>
      </c>
      <c r="V30" s="908">
        <v>0</v>
      </c>
      <c r="W30" s="908">
        <v>32</v>
      </c>
      <c r="X30" s="905">
        <v>9</v>
      </c>
      <c r="Y30" s="907">
        <v>41</v>
      </c>
      <c r="Z30" s="908">
        <v>29</v>
      </c>
      <c r="AA30" s="908">
        <v>20</v>
      </c>
      <c r="AB30" s="908">
        <v>29</v>
      </c>
      <c r="AC30" s="908">
        <v>15</v>
      </c>
    </row>
    <row r="31" spans="1:29" ht="10.5">
      <c r="A31" s="905" t="s">
        <v>228</v>
      </c>
      <c r="B31" s="905">
        <v>20</v>
      </c>
      <c r="C31" s="905">
        <v>20</v>
      </c>
      <c r="D31" s="908">
        <v>14</v>
      </c>
      <c r="E31" s="905" t="str">
        <f>"TR-LIMSA-"&amp;$G$14</f>
        <v>TR-LIMSA-02</v>
      </c>
      <c r="F31" s="905" t="s">
        <v>259</v>
      </c>
      <c r="G31" s="905">
        <v>3</v>
      </c>
      <c r="H31" s="905">
        <v>5</v>
      </c>
      <c r="I31" s="905">
        <v>4</v>
      </c>
      <c r="J31" s="905">
        <v>6</v>
      </c>
      <c r="K31" s="905">
        <v>7</v>
      </c>
      <c r="L31" s="908">
        <v>8</v>
      </c>
      <c r="M31" s="908">
        <v>9</v>
      </c>
      <c r="N31" s="908">
        <v>11</v>
      </c>
      <c r="O31" s="908">
        <v>12</v>
      </c>
      <c r="P31" s="908">
        <v>15</v>
      </c>
      <c r="Q31" s="908">
        <v>17</v>
      </c>
      <c r="R31" s="908">
        <v>18</v>
      </c>
      <c r="S31" s="908">
        <v>28</v>
      </c>
      <c r="T31" s="908">
        <v>0</v>
      </c>
      <c r="U31" s="908">
        <v>0</v>
      </c>
      <c r="V31" s="908">
        <v>0</v>
      </c>
      <c r="W31" s="908">
        <v>33</v>
      </c>
      <c r="X31" s="905">
        <v>9</v>
      </c>
      <c r="Y31" s="907">
        <v>41</v>
      </c>
      <c r="Z31" s="908">
        <v>29</v>
      </c>
      <c r="AA31" s="908">
        <v>20</v>
      </c>
      <c r="AB31" s="908">
        <v>29</v>
      </c>
      <c r="AC31" s="908">
        <v>15</v>
      </c>
    </row>
    <row r="32" spans="1:29" ht="10.5">
      <c r="A32" s="905" t="s">
        <v>232</v>
      </c>
      <c r="B32" s="905">
        <v>20</v>
      </c>
      <c r="C32" s="905">
        <v>20</v>
      </c>
      <c r="D32" s="908">
        <v>14</v>
      </c>
      <c r="E32" s="905" t="str">
        <f>"TR-CUYANA-"&amp;$G$14</f>
        <v>TR-CUYANA-02</v>
      </c>
      <c r="F32" s="905" t="s">
        <v>260</v>
      </c>
      <c r="G32" s="905">
        <v>3</v>
      </c>
      <c r="H32" s="905">
        <v>5</v>
      </c>
      <c r="I32" s="905">
        <v>4</v>
      </c>
      <c r="J32" s="905">
        <v>6</v>
      </c>
      <c r="K32" s="905">
        <v>7</v>
      </c>
      <c r="L32" s="908">
        <v>8</v>
      </c>
      <c r="M32" s="908">
        <v>9</v>
      </c>
      <c r="N32" s="908">
        <v>11</v>
      </c>
      <c r="O32" s="908">
        <v>12</v>
      </c>
      <c r="P32" s="908">
        <v>15</v>
      </c>
      <c r="Q32" s="908">
        <v>17</v>
      </c>
      <c r="R32" s="908">
        <v>18</v>
      </c>
      <c r="S32" s="908">
        <v>28</v>
      </c>
      <c r="T32" s="908">
        <v>0</v>
      </c>
      <c r="U32" s="908">
        <v>0</v>
      </c>
      <c r="V32" s="908">
        <v>0</v>
      </c>
      <c r="W32" s="908">
        <v>34</v>
      </c>
      <c r="X32" s="905">
        <v>9</v>
      </c>
      <c r="Y32" s="907">
        <v>41</v>
      </c>
      <c r="Z32" s="908">
        <v>29</v>
      </c>
      <c r="AA32" s="908">
        <v>20</v>
      </c>
      <c r="AB32" s="908">
        <v>29</v>
      </c>
      <c r="AC32" s="908">
        <v>15</v>
      </c>
    </row>
    <row r="33" spans="1:29" ht="10.5">
      <c r="A33" s="905" t="s">
        <v>275</v>
      </c>
      <c r="B33" s="905">
        <v>20</v>
      </c>
      <c r="C33" s="905">
        <v>20</v>
      </c>
      <c r="D33" s="908">
        <v>14</v>
      </c>
      <c r="E33" s="905" t="str">
        <f>"TR-COBRA-"&amp;$G$14</f>
        <v>TR-COBRA-02</v>
      </c>
      <c r="F33" s="905" t="s">
        <v>276</v>
      </c>
      <c r="G33" s="905">
        <v>3</v>
      </c>
      <c r="H33" s="905">
        <v>5</v>
      </c>
      <c r="I33" s="905">
        <v>4</v>
      </c>
      <c r="J33" s="905">
        <v>6</v>
      </c>
      <c r="K33" s="905">
        <v>7</v>
      </c>
      <c r="L33" s="908">
        <v>8</v>
      </c>
      <c r="M33" s="908">
        <v>9</v>
      </c>
      <c r="N33" s="908">
        <v>11</v>
      </c>
      <c r="O33" s="908">
        <v>12</v>
      </c>
      <c r="P33" s="908">
        <v>15</v>
      </c>
      <c r="Q33" s="908">
        <v>17</v>
      </c>
      <c r="R33" s="908">
        <v>18</v>
      </c>
      <c r="S33" s="908">
        <v>28</v>
      </c>
      <c r="T33" s="908">
        <v>0</v>
      </c>
      <c r="U33" s="908">
        <v>0</v>
      </c>
      <c r="V33" s="908">
        <v>0</v>
      </c>
      <c r="W33" s="908">
        <v>35</v>
      </c>
      <c r="X33" s="905">
        <v>9</v>
      </c>
      <c r="Y33" s="907">
        <v>41</v>
      </c>
      <c r="Z33" s="908">
        <v>29</v>
      </c>
      <c r="AA33" s="908">
        <v>20</v>
      </c>
      <c r="AB33" s="908">
        <v>29</v>
      </c>
      <c r="AC33" s="908">
        <v>15</v>
      </c>
    </row>
    <row r="34" spans="1:29" ht="10.5">
      <c r="A34" s="904" t="s">
        <v>144</v>
      </c>
      <c r="B34" s="904">
        <v>24</v>
      </c>
      <c r="C34" s="905">
        <v>20</v>
      </c>
      <c r="D34" s="905">
        <v>11</v>
      </c>
      <c r="E34" s="904" t="str">
        <f>"SA-"&amp;$G$14</f>
        <v>SA-02</v>
      </c>
      <c r="F34" s="904" t="s">
        <v>261</v>
      </c>
      <c r="G34" s="904">
        <v>3</v>
      </c>
      <c r="H34" s="905">
        <v>5</v>
      </c>
      <c r="I34" s="905">
        <v>4</v>
      </c>
      <c r="J34" s="904">
        <v>6</v>
      </c>
      <c r="K34" s="904">
        <v>7</v>
      </c>
      <c r="L34" s="904">
        <v>8</v>
      </c>
      <c r="M34" s="904">
        <v>10</v>
      </c>
      <c r="N34" s="904">
        <v>11</v>
      </c>
      <c r="O34" s="904">
        <v>14</v>
      </c>
      <c r="P34" s="904">
        <v>15</v>
      </c>
      <c r="Q34" s="904">
        <v>21</v>
      </c>
      <c r="R34" s="904">
        <v>0</v>
      </c>
      <c r="S34" s="904">
        <v>0</v>
      </c>
      <c r="T34" s="904">
        <v>0</v>
      </c>
      <c r="U34" s="904">
        <v>0</v>
      </c>
      <c r="V34" s="904">
        <v>0</v>
      </c>
      <c r="W34" s="905">
        <v>37</v>
      </c>
      <c r="X34" s="905">
        <v>9</v>
      </c>
      <c r="Y34" s="904">
        <v>45</v>
      </c>
      <c r="Z34" s="904">
        <v>22</v>
      </c>
      <c r="AA34" s="904">
        <v>22</v>
      </c>
      <c r="AB34" s="904">
        <v>22</v>
      </c>
      <c r="AC34" s="905">
        <v>14</v>
      </c>
    </row>
    <row r="35" spans="1:29" ht="10.5">
      <c r="A35" s="904" t="s">
        <v>150</v>
      </c>
      <c r="B35" s="904">
        <v>22</v>
      </c>
      <c r="C35" s="905">
        <v>20</v>
      </c>
      <c r="D35" s="905">
        <v>11</v>
      </c>
      <c r="E35" s="904" t="str">
        <f>"SA-TIBA-"&amp;$G$14</f>
        <v>SA-TIBA-02</v>
      </c>
      <c r="F35" s="904" t="s">
        <v>262</v>
      </c>
      <c r="G35" s="904">
        <v>3</v>
      </c>
      <c r="H35" s="905">
        <v>5</v>
      </c>
      <c r="I35" s="905">
        <v>4</v>
      </c>
      <c r="J35" s="904">
        <v>6</v>
      </c>
      <c r="K35" s="904">
        <v>7</v>
      </c>
      <c r="L35" s="904">
        <v>8</v>
      </c>
      <c r="M35" s="904">
        <v>10</v>
      </c>
      <c r="N35" s="904">
        <v>11</v>
      </c>
      <c r="O35" s="904">
        <v>14</v>
      </c>
      <c r="P35" s="904">
        <v>15</v>
      </c>
      <c r="Q35" s="904">
        <v>21</v>
      </c>
      <c r="R35" s="904">
        <v>0</v>
      </c>
      <c r="S35" s="904">
        <v>0</v>
      </c>
      <c r="T35" s="904">
        <v>0</v>
      </c>
      <c r="U35" s="904">
        <v>0</v>
      </c>
      <c r="V35" s="904">
        <v>0</v>
      </c>
      <c r="W35" s="905">
        <v>38</v>
      </c>
      <c r="X35" s="905">
        <v>9</v>
      </c>
      <c r="Y35" s="904">
        <v>43</v>
      </c>
      <c r="Z35" s="904">
        <v>22</v>
      </c>
      <c r="AA35" s="904">
        <v>20</v>
      </c>
      <c r="AB35" s="904">
        <v>22</v>
      </c>
      <c r="AC35" s="905">
        <v>14</v>
      </c>
    </row>
    <row r="36" spans="1:29" ht="10.5">
      <c r="A36" s="904" t="s">
        <v>151</v>
      </c>
      <c r="B36" s="904">
        <v>22</v>
      </c>
      <c r="C36" s="905">
        <v>20</v>
      </c>
      <c r="D36" s="905">
        <v>11</v>
      </c>
      <c r="E36" s="904" t="str">
        <f>"SA-ENECOR-"&amp;$G$14</f>
        <v>SA-ENECOR-02</v>
      </c>
      <c r="F36" s="904" t="s">
        <v>263</v>
      </c>
      <c r="G36" s="904">
        <v>3</v>
      </c>
      <c r="H36" s="905">
        <v>5</v>
      </c>
      <c r="I36" s="905">
        <v>4</v>
      </c>
      <c r="J36" s="904">
        <v>6</v>
      </c>
      <c r="K36" s="904">
        <v>7</v>
      </c>
      <c r="L36" s="904">
        <v>8</v>
      </c>
      <c r="M36" s="904">
        <v>10</v>
      </c>
      <c r="N36" s="904">
        <v>11</v>
      </c>
      <c r="O36" s="904">
        <v>14</v>
      </c>
      <c r="P36" s="904">
        <v>15</v>
      </c>
      <c r="Q36" s="904">
        <v>21</v>
      </c>
      <c r="R36" s="904">
        <v>0</v>
      </c>
      <c r="S36" s="904">
        <v>0</v>
      </c>
      <c r="T36" s="904">
        <v>0</v>
      </c>
      <c r="U36" s="904">
        <v>0</v>
      </c>
      <c r="V36" s="904">
        <v>0</v>
      </c>
      <c r="W36" s="905">
        <v>39</v>
      </c>
      <c r="X36" s="905">
        <v>9</v>
      </c>
      <c r="Y36" s="904">
        <v>43</v>
      </c>
      <c r="Z36" s="904">
        <v>22</v>
      </c>
      <c r="AA36" s="904">
        <v>20</v>
      </c>
      <c r="AB36" s="904">
        <v>22</v>
      </c>
      <c r="AC36" s="905">
        <v>14</v>
      </c>
    </row>
    <row r="37" spans="1:29" ht="10.5">
      <c r="A37" s="904" t="s">
        <v>246</v>
      </c>
      <c r="B37" s="904">
        <v>24</v>
      </c>
      <c r="C37" s="905">
        <v>20</v>
      </c>
      <c r="D37" s="905">
        <v>11</v>
      </c>
      <c r="E37" s="904" t="str">
        <f>"SA-LITSA-"&amp;$G$14</f>
        <v>SA-LITSA-02</v>
      </c>
      <c r="F37" s="904" t="s">
        <v>264</v>
      </c>
      <c r="G37" s="904">
        <v>3</v>
      </c>
      <c r="H37" s="905">
        <v>5</v>
      </c>
      <c r="I37" s="905">
        <v>4</v>
      </c>
      <c r="J37" s="904">
        <v>6</v>
      </c>
      <c r="K37" s="904">
        <v>7</v>
      </c>
      <c r="L37" s="904">
        <v>8</v>
      </c>
      <c r="M37" s="904">
        <v>10</v>
      </c>
      <c r="N37" s="904">
        <v>11</v>
      </c>
      <c r="O37" s="904">
        <v>14</v>
      </c>
      <c r="P37" s="904">
        <v>15</v>
      </c>
      <c r="Q37" s="904">
        <v>21</v>
      </c>
      <c r="R37" s="904">
        <v>0</v>
      </c>
      <c r="S37" s="904">
        <v>0</v>
      </c>
      <c r="T37" s="904">
        <v>0</v>
      </c>
      <c r="U37" s="904">
        <v>0</v>
      </c>
      <c r="V37" s="904">
        <v>0</v>
      </c>
      <c r="W37" s="905">
        <v>43</v>
      </c>
      <c r="X37" s="905">
        <v>9</v>
      </c>
      <c r="Y37" s="904">
        <v>45</v>
      </c>
      <c r="Z37" s="904">
        <v>22</v>
      </c>
      <c r="AA37" s="904">
        <v>22</v>
      </c>
      <c r="AB37" s="904">
        <v>22</v>
      </c>
      <c r="AC37" s="905">
        <v>14</v>
      </c>
    </row>
    <row r="38" spans="1:29" ht="10.5">
      <c r="A38" s="904" t="s">
        <v>245</v>
      </c>
      <c r="B38" s="904">
        <v>24</v>
      </c>
      <c r="C38" s="905">
        <v>20</v>
      </c>
      <c r="D38" s="905">
        <v>11</v>
      </c>
      <c r="E38" s="904" t="str">
        <f>"SA-LIMSA-"&amp;$G$14</f>
        <v>SA-LIMSA-02</v>
      </c>
      <c r="F38" s="904" t="s">
        <v>265</v>
      </c>
      <c r="G38" s="904">
        <v>3</v>
      </c>
      <c r="H38" s="905">
        <v>5</v>
      </c>
      <c r="I38" s="905">
        <v>4</v>
      </c>
      <c r="J38" s="904">
        <v>6</v>
      </c>
      <c r="K38" s="904">
        <v>7</v>
      </c>
      <c r="L38" s="904">
        <v>8</v>
      </c>
      <c r="M38" s="904">
        <v>10</v>
      </c>
      <c r="N38" s="904">
        <v>11</v>
      </c>
      <c r="O38" s="904">
        <v>14</v>
      </c>
      <c r="P38" s="904">
        <v>15</v>
      </c>
      <c r="Q38" s="904">
        <v>21</v>
      </c>
      <c r="R38" s="904">
        <v>0</v>
      </c>
      <c r="S38" s="904">
        <v>0</v>
      </c>
      <c r="T38" s="904">
        <v>0</v>
      </c>
      <c r="U38" s="904">
        <v>0</v>
      </c>
      <c r="V38" s="904">
        <v>0</v>
      </c>
      <c r="W38" s="905">
        <v>42</v>
      </c>
      <c r="X38" s="905">
        <v>9</v>
      </c>
      <c r="Y38" s="904">
        <v>45</v>
      </c>
      <c r="Z38" s="904">
        <v>22</v>
      </c>
      <c r="AA38" s="904">
        <v>22</v>
      </c>
      <c r="AB38" s="904">
        <v>22</v>
      </c>
      <c r="AC38" s="905">
        <v>14</v>
      </c>
    </row>
    <row r="39" spans="1:29" ht="10.5">
      <c r="A39" s="905" t="s">
        <v>233</v>
      </c>
      <c r="B39" s="904">
        <v>24</v>
      </c>
      <c r="C39" s="904">
        <v>20</v>
      </c>
      <c r="D39" s="905">
        <v>11</v>
      </c>
      <c r="E39" s="905" t="str">
        <f>"SA-TESA-"&amp;$G$14</f>
        <v>SA-TESA-02</v>
      </c>
      <c r="F39" s="905" t="s">
        <v>266</v>
      </c>
      <c r="G39" s="905">
        <v>3</v>
      </c>
      <c r="H39" s="905">
        <v>5</v>
      </c>
      <c r="I39" s="905">
        <v>4</v>
      </c>
      <c r="J39" s="905">
        <v>6</v>
      </c>
      <c r="K39" s="905">
        <v>7</v>
      </c>
      <c r="L39" s="905">
        <v>8</v>
      </c>
      <c r="M39" s="905">
        <v>10</v>
      </c>
      <c r="N39" s="905">
        <v>11</v>
      </c>
      <c r="O39" s="905">
        <v>14</v>
      </c>
      <c r="P39" s="905">
        <v>15</v>
      </c>
      <c r="Q39" s="904">
        <v>21</v>
      </c>
      <c r="R39" s="905">
        <v>0</v>
      </c>
      <c r="S39" s="905">
        <v>0</v>
      </c>
      <c r="T39" s="905">
        <v>0</v>
      </c>
      <c r="U39" s="905">
        <v>0</v>
      </c>
      <c r="V39" s="905">
        <v>0</v>
      </c>
      <c r="W39" s="905">
        <v>40</v>
      </c>
      <c r="X39" s="905">
        <v>9</v>
      </c>
      <c r="Y39" s="904">
        <v>45</v>
      </c>
      <c r="Z39" s="905">
        <v>22</v>
      </c>
      <c r="AA39" s="905">
        <v>22</v>
      </c>
      <c r="AB39" s="905">
        <v>22</v>
      </c>
      <c r="AC39" s="905">
        <v>14</v>
      </c>
    </row>
    <row r="40" spans="1:29" ht="10.5">
      <c r="A40" s="905" t="s">
        <v>234</v>
      </c>
      <c r="B40" s="904">
        <v>24</v>
      </c>
      <c r="C40" s="904">
        <v>20</v>
      </c>
      <c r="D40" s="905">
        <v>11</v>
      </c>
      <c r="E40" s="905" t="str">
        <f>"SA-CTM-"&amp;$G$14</f>
        <v>SA-CTM-02</v>
      </c>
      <c r="F40" s="905" t="s">
        <v>267</v>
      </c>
      <c r="G40" s="905">
        <v>3</v>
      </c>
      <c r="H40" s="905">
        <v>5</v>
      </c>
      <c r="I40" s="905">
        <v>4</v>
      </c>
      <c r="J40" s="905">
        <v>6</v>
      </c>
      <c r="K40" s="905">
        <v>7</v>
      </c>
      <c r="L40" s="905">
        <v>8</v>
      </c>
      <c r="M40" s="905">
        <v>10</v>
      </c>
      <c r="N40" s="905">
        <v>11</v>
      </c>
      <c r="O40" s="905">
        <v>14</v>
      </c>
      <c r="P40" s="905">
        <v>15</v>
      </c>
      <c r="Q40" s="904">
        <v>21</v>
      </c>
      <c r="R40" s="905">
        <v>0</v>
      </c>
      <c r="S40" s="905">
        <v>0</v>
      </c>
      <c r="T40" s="905">
        <v>0</v>
      </c>
      <c r="U40" s="905">
        <v>0</v>
      </c>
      <c r="V40" s="905">
        <v>0</v>
      </c>
      <c r="W40" s="905">
        <v>41</v>
      </c>
      <c r="X40" s="905">
        <v>9</v>
      </c>
      <c r="Y40" s="904">
        <v>45</v>
      </c>
      <c r="Z40" s="905">
        <v>22</v>
      </c>
      <c r="AA40" s="905">
        <v>22</v>
      </c>
      <c r="AB40" s="905">
        <v>22</v>
      </c>
      <c r="AC40" s="905">
        <v>14</v>
      </c>
    </row>
    <row r="41" spans="1:29" ht="10.5">
      <c r="A41" s="904" t="s">
        <v>152</v>
      </c>
      <c r="B41" s="904">
        <v>22</v>
      </c>
      <c r="C41" s="904">
        <v>20</v>
      </c>
      <c r="D41" s="904">
        <v>12</v>
      </c>
      <c r="E41" s="904" t="str">
        <f>"RE-"&amp;$G$14</f>
        <v>RE-02</v>
      </c>
      <c r="F41" s="904" t="s">
        <v>268</v>
      </c>
      <c r="G41" s="904">
        <v>3</v>
      </c>
      <c r="H41" s="905">
        <v>5</v>
      </c>
      <c r="I41" s="905">
        <v>4</v>
      </c>
      <c r="J41" s="904">
        <v>6</v>
      </c>
      <c r="K41" s="904">
        <v>7</v>
      </c>
      <c r="L41" s="904">
        <v>8</v>
      </c>
      <c r="M41" s="904">
        <v>10</v>
      </c>
      <c r="N41" s="904">
        <v>11</v>
      </c>
      <c r="O41" s="904">
        <v>14</v>
      </c>
      <c r="P41" s="904">
        <v>16</v>
      </c>
      <c r="Q41" s="904">
        <v>25</v>
      </c>
      <c r="R41" s="904">
        <v>15</v>
      </c>
      <c r="S41" s="904">
        <v>0</v>
      </c>
      <c r="T41" s="904">
        <v>0</v>
      </c>
      <c r="U41" s="904">
        <v>0</v>
      </c>
      <c r="V41" s="904">
        <v>0</v>
      </c>
      <c r="W41" s="905">
        <v>46</v>
      </c>
      <c r="X41" s="905">
        <v>9</v>
      </c>
      <c r="Y41" s="904">
        <v>43</v>
      </c>
      <c r="Z41" s="904">
        <v>26</v>
      </c>
      <c r="AA41" s="904">
        <v>20</v>
      </c>
      <c r="AB41" s="904">
        <v>23</v>
      </c>
      <c r="AC41" s="904">
        <v>14</v>
      </c>
    </row>
    <row r="42" spans="1:29" ht="10.5">
      <c r="A42" s="904" t="s">
        <v>156</v>
      </c>
      <c r="B42" s="904">
        <v>22</v>
      </c>
      <c r="C42" s="904">
        <v>20</v>
      </c>
      <c r="D42" s="904">
        <v>12</v>
      </c>
      <c r="E42" s="904" t="str">
        <f>"RE-YACY-"&amp;$G$14</f>
        <v>RE-YACY-02</v>
      </c>
      <c r="F42" s="904" t="s">
        <v>269</v>
      </c>
      <c r="G42" s="904">
        <v>3</v>
      </c>
      <c r="H42" s="905">
        <v>5</v>
      </c>
      <c r="I42" s="905">
        <v>4</v>
      </c>
      <c r="J42" s="904">
        <v>6</v>
      </c>
      <c r="K42" s="904">
        <v>7</v>
      </c>
      <c r="L42" s="904">
        <v>8</v>
      </c>
      <c r="M42" s="904">
        <v>10</v>
      </c>
      <c r="N42" s="904">
        <v>11</v>
      </c>
      <c r="O42" s="904">
        <v>14</v>
      </c>
      <c r="P42" s="904">
        <v>16</v>
      </c>
      <c r="Q42" s="904">
        <v>25</v>
      </c>
      <c r="R42" s="904">
        <v>15</v>
      </c>
      <c r="S42" s="904">
        <v>0</v>
      </c>
      <c r="T42" s="904">
        <v>0</v>
      </c>
      <c r="U42" s="904">
        <v>0</v>
      </c>
      <c r="V42" s="904">
        <v>0</v>
      </c>
      <c r="W42" s="905">
        <v>48</v>
      </c>
      <c r="X42" s="905">
        <v>9</v>
      </c>
      <c r="Y42" s="904">
        <v>43</v>
      </c>
      <c r="Z42" s="904">
        <v>26</v>
      </c>
      <c r="AA42" s="904">
        <v>20</v>
      </c>
      <c r="AB42" s="904">
        <v>23</v>
      </c>
      <c r="AC42" s="904">
        <v>14</v>
      </c>
    </row>
    <row r="43" spans="1:29" ht="10.5">
      <c r="A43" s="904" t="s">
        <v>157</v>
      </c>
      <c r="B43" s="904">
        <v>24</v>
      </c>
      <c r="C43" s="904">
        <v>20</v>
      </c>
      <c r="D43" s="904">
        <v>12</v>
      </c>
      <c r="E43" s="904" t="str">
        <f>"RE-LITSA-"&amp;$G$14</f>
        <v>RE-LITSA-02</v>
      </c>
      <c r="F43" s="904" t="s">
        <v>270</v>
      </c>
      <c r="G43" s="904">
        <v>3</v>
      </c>
      <c r="H43" s="905">
        <v>5</v>
      </c>
      <c r="I43" s="905">
        <v>4</v>
      </c>
      <c r="J43" s="904">
        <v>6</v>
      </c>
      <c r="K43" s="904">
        <v>7</v>
      </c>
      <c r="L43" s="904">
        <v>8</v>
      </c>
      <c r="M43" s="904">
        <v>10</v>
      </c>
      <c r="N43" s="904">
        <v>11</v>
      </c>
      <c r="O43" s="904">
        <v>14</v>
      </c>
      <c r="P43" s="904">
        <v>16</v>
      </c>
      <c r="Q43" s="904">
        <v>22</v>
      </c>
      <c r="R43" s="904">
        <v>15</v>
      </c>
      <c r="S43" s="904">
        <v>0</v>
      </c>
      <c r="T43" s="904">
        <v>0</v>
      </c>
      <c r="U43" s="904">
        <v>0</v>
      </c>
      <c r="V43" s="904">
        <v>0</v>
      </c>
      <c r="W43" s="905">
        <v>49</v>
      </c>
      <c r="X43" s="905">
        <v>9</v>
      </c>
      <c r="Y43" s="904">
        <v>45</v>
      </c>
      <c r="Z43" s="904">
        <v>24</v>
      </c>
      <c r="AA43" s="904">
        <v>22</v>
      </c>
      <c r="AB43" s="904">
        <v>24</v>
      </c>
      <c r="AC43" s="904">
        <v>15</v>
      </c>
    </row>
    <row r="44" spans="1:29" ht="10.5">
      <c r="A44" s="904" t="s">
        <v>203</v>
      </c>
      <c r="B44" s="904">
        <v>22</v>
      </c>
      <c r="C44" s="904">
        <v>20</v>
      </c>
      <c r="D44" s="904">
        <v>12</v>
      </c>
      <c r="E44" s="904" t="str">
        <f>"RE-IV-"&amp;$G$14</f>
        <v>RE-IV-02</v>
      </c>
      <c r="F44" s="904" t="s">
        <v>271</v>
      </c>
      <c r="G44" s="904">
        <v>3</v>
      </c>
      <c r="H44" s="905">
        <v>5</v>
      </c>
      <c r="I44" s="905">
        <v>4</v>
      </c>
      <c r="J44" s="904">
        <v>6</v>
      </c>
      <c r="K44" s="904">
        <v>7</v>
      </c>
      <c r="L44" s="904">
        <v>8</v>
      </c>
      <c r="M44" s="904">
        <v>10</v>
      </c>
      <c r="N44" s="904">
        <v>11</v>
      </c>
      <c r="O44" s="904">
        <v>14</v>
      </c>
      <c r="P44" s="904">
        <v>16</v>
      </c>
      <c r="Q44" s="904">
        <v>22</v>
      </c>
      <c r="R44" s="904">
        <v>15</v>
      </c>
      <c r="S44" s="904">
        <v>0</v>
      </c>
      <c r="T44" s="904">
        <v>0</v>
      </c>
      <c r="U44" s="904">
        <v>0</v>
      </c>
      <c r="V44" s="904">
        <v>0</v>
      </c>
      <c r="W44" s="905">
        <v>50</v>
      </c>
      <c r="X44" s="904">
        <v>9</v>
      </c>
      <c r="Y44" s="904">
        <v>43</v>
      </c>
      <c r="Z44" s="904">
        <v>24</v>
      </c>
      <c r="AA44" s="904">
        <v>20</v>
      </c>
      <c r="AB44" s="904">
        <v>23</v>
      </c>
      <c r="AC44" s="904">
        <v>14</v>
      </c>
    </row>
    <row r="45" spans="1:29" ht="10.5">
      <c r="A45" s="904" t="s">
        <v>279</v>
      </c>
      <c r="B45" s="904">
        <v>22</v>
      </c>
      <c r="C45" s="904">
        <v>20</v>
      </c>
      <c r="D45" s="904">
        <v>12</v>
      </c>
      <c r="E45" s="904" t="str">
        <f>"RE-LIMSA-"&amp;$G$14</f>
        <v>RE-LIMSA-02</v>
      </c>
      <c r="F45" s="904" t="s">
        <v>280</v>
      </c>
      <c r="G45" s="904">
        <v>3</v>
      </c>
      <c r="H45" s="905">
        <v>5</v>
      </c>
      <c r="I45" s="905">
        <v>4</v>
      </c>
      <c r="J45" s="904">
        <v>6</v>
      </c>
      <c r="K45" s="904">
        <v>7</v>
      </c>
      <c r="L45" s="904">
        <v>8</v>
      </c>
      <c r="M45" s="904">
        <v>10</v>
      </c>
      <c r="N45" s="904">
        <v>11</v>
      </c>
      <c r="O45" s="904">
        <v>14</v>
      </c>
      <c r="P45" s="904">
        <v>16</v>
      </c>
      <c r="Q45" s="904">
        <v>25</v>
      </c>
      <c r="R45" s="904">
        <v>15</v>
      </c>
      <c r="S45" s="904">
        <v>0</v>
      </c>
      <c r="T45" s="904">
        <v>0</v>
      </c>
      <c r="U45" s="904">
        <v>0</v>
      </c>
      <c r="V45" s="904">
        <v>0</v>
      </c>
      <c r="W45" s="905">
        <v>51</v>
      </c>
      <c r="X45" s="905">
        <v>9</v>
      </c>
      <c r="Y45" s="904">
        <v>43</v>
      </c>
      <c r="Z45" s="904">
        <v>26</v>
      </c>
      <c r="AA45" s="904">
        <v>20</v>
      </c>
      <c r="AB45" s="904">
        <v>23</v>
      </c>
      <c r="AC45" s="904">
        <v>14</v>
      </c>
    </row>
    <row r="46" spans="1:29" ht="10.5">
      <c r="A46" s="911" t="s">
        <v>191</v>
      </c>
      <c r="B46" s="909">
        <v>32</v>
      </c>
      <c r="C46" s="909">
        <v>25</v>
      </c>
      <c r="D46" s="909">
        <v>11</v>
      </c>
      <c r="E46" s="911" t="s">
        <v>191</v>
      </c>
      <c r="F46" s="909" t="s">
        <v>248</v>
      </c>
      <c r="G46" s="909">
        <v>0</v>
      </c>
      <c r="H46" s="909">
        <v>0</v>
      </c>
      <c r="I46" s="909">
        <v>0</v>
      </c>
      <c r="J46" s="909">
        <v>4</v>
      </c>
      <c r="K46" s="909">
        <v>5</v>
      </c>
      <c r="L46" s="909">
        <v>6</v>
      </c>
      <c r="M46" s="909">
        <v>7</v>
      </c>
      <c r="N46" s="909">
        <v>10</v>
      </c>
      <c r="O46" s="909">
        <v>11</v>
      </c>
      <c r="P46" s="909">
        <v>14</v>
      </c>
      <c r="Q46" s="909">
        <v>17</v>
      </c>
      <c r="R46" s="909">
        <v>28</v>
      </c>
      <c r="S46" s="909">
        <v>0</v>
      </c>
      <c r="T46" s="909">
        <v>0</v>
      </c>
      <c r="U46" s="909">
        <v>0</v>
      </c>
      <c r="V46" s="909">
        <v>0</v>
      </c>
      <c r="W46" s="909">
        <v>0</v>
      </c>
      <c r="X46" s="909">
        <v>0</v>
      </c>
      <c r="Y46" s="909">
        <v>0</v>
      </c>
      <c r="Z46" s="909">
        <v>0</v>
      </c>
      <c r="AA46" s="909">
        <v>0</v>
      </c>
      <c r="AB46" s="909">
        <v>0</v>
      </c>
      <c r="AC46" s="909">
        <v>0</v>
      </c>
    </row>
    <row r="47" spans="1:29" s="939" customFormat="1" ht="10.5">
      <c r="A47" s="911" t="s">
        <v>191</v>
      </c>
      <c r="B47" s="911">
        <v>70</v>
      </c>
      <c r="C47" s="911">
        <v>4</v>
      </c>
      <c r="D47" s="911">
        <v>11</v>
      </c>
      <c r="E47" s="911" t="s">
        <v>191</v>
      </c>
      <c r="F47" s="909" t="s">
        <v>269</v>
      </c>
      <c r="G47" s="911">
        <v>0</v>
      </c>
      <c r="H47" s="911">
        <v>0</v>
      </c>
      <c r="I47" s="911">
        <v>0</v>
      </c>
      <c r="J47" s="911">
        <v>4</v>
      </c>
      <c r="K47" s="911">
        <v>5</v>
      </c>
      <c r="L47" s="911">
        <v>6</v>
      </c>
      <c r="M47" s="911">
        <v>10</v>
      </c>
      <c r="N47" s="911">
        <v>11</v>
      </c>
      <c r="O47" s="911">
        <v>14</v>
      </c>
      <c r="P47" s="911">
        <v>16</v>
      </c>
      <c r="Q47" s="911">
        <v>28</v>
      </c>
      <c r="R47" s="911">
        <v>0</v>
      </c>
      <c r="S47" s="911">
        <v>0</v>
      </c>
      <c r="T47" s="911">
        <v>0</v>
      </c>
      <c r="U47" s="911">
        <v>0</v>
      </c>
      <c r="V47" s="911">
        <v>0</v>
      </c>
      <c r="W47" s="911">
        <v>0</v>
      </c>
      <c r="X47" s="911">
        <v>0</v>
      </c>
      <c r="Y47" s="911">
        <v>0</v>
      </c>
      <c r="Z47" s="911">
        <v>0</v>
      </c>
      <c r="AA47" s="911">
        <v>0</v>
      </c>
      <c r="AB47" s="911">
        <v>0</v>
      </c>
      <c r="AC47" s="911">
        <v>0</v>
      </c>
    </row>
    <row r="48" spans="1:29" ht="10.5">
      <c r="A48" s="911" t="s">
        <v>198</v>
      </c>
      <c r="B48" s="909">
        <v>90</v>
      </c>
      <c r="C48" s="909">
        <v>10</v>
      </c>
      <c r="D48" s="910">
        <v>12</v>
      </c>
      <c r="E48" s="911" t="s">
        <v>198</v>
      </c>
      <c r="F48" s="909" t="s">
        <v>264</v>
      </c>
      <c r="G48" s="909">
        <v>0</v>
      </c>
      <c r="H48" s="909">
        <v>0</v>
      </c>
      <c r="I48" s="909">
        <v>0</v>
      </c>
      <c r="J48" s="909">
        <v>4</v>
      </c>
      <c r="K48" s="909">
        <v>5</v>
      </c>
      <c r="L48" s="909">
        <v>6</v>
      </c>
      <c r="M48" s="909">
        <v>10</v>
      </c>
      <c r="N48" s="909">
        <v>11</v>
      </c>
      <c r="O48" s="909">
        <v>14</v>
      </c>
      <c r="P48" s="909">
        <v>15</v>
      </c>
      <c r="Q48" s="909">
        <v>28</v>
      </c>
      <c r="R48" s="909">
        <v>0</v>
      </c>
      <c r="S48" s="909">
        <v>0</v>
      </c>
      <c r="T48" s="909">
        <v>0</v>
      </c>
      <c r="U48" s="909">
        <v>0</v>
      </c>
      <c r="V48" s="909">
        <v>0</v>
      </c>
      <c r="W48" s="909">
        <v>0</v>
      </c>
      <c r="X48" s="909">
        <v>0</v>
      </c>
      <c r="Y48" s="909">
        <v>0</v>
      </c>
      <c r="Z48" s="909">
        <v>0</v>
      </c>
      <c r="AA48" s="909">
        <v>0</v>
      </c>
      <c r="AB48" s="909">
        <v>0</v>
      </c>
      <c r="AC48" s="909">
        <v>0</v>
      </c>
    </row>
    <row r="49" spans="1:29" ht="10.5">
      <c r="A49" s="911" t="s">
        <v>198</v>
      </c>
      <c r="B49" s="909">
        <v>61</v>
      </c>
      <c r="C49" s="909">
        <v>24</v>
      </c>
      <c r="D49" s="910">
        <v>12</v>
      </c>
      <c r="E49" s="911" t="s">
        <v>198</v>
      </c>
      <c r="F49" s="909" t="s">
        <v>255</v>
      </c>
      <c r="G49" s="909">
        <v>0</v>
      </c>
      <c r="H49" s="909">
        <v>0</v>
      </c>
      <c r="I49" s="909">
        <v>0</v>
      </c>
      <c r="J49" s="909">
        <v>4</v>
      </c>
      <c r="K49" s="909">
        <v>5</v>
      </c>
      <c r="L49" s="909">
        <v>6</v>
      </c>
      <c r="M49" s="909">
        <v>8</v>
      </c>
      <c r="N49" s="909">
        <v>9</v>
      </c>
      <c r="O49" s="909">
        <v>10</v>
      </c>
      <c r="P49" s="909">
        <v>13</v>
      </c>
      <c r="Q49" s="909">
        <v>15</v>
      </c>
      <c r="R49" s="909">
        <v>16</v>
      </c>
      <c r="S49" s="909">
        <v>0</v>
      </c>
      <c r="T49" s="909">
        <v>0</v>
      </c>
      <c r="U49" s="909">
        <v>0</v>
      </c>
      <c r="V49" s="909">
        <v>0</v>
      </c>
      <c r="W49" s="909">
        <v>0</v>
      </c>
      <c r="X49" s="909">
        <v>0</v>
      </c>
      <c r="Y49" s="909">
        <v>0</v>
      </c>
      <c r="Z49" s="909">
        <v>0</v>
      </c>
      <c r="AA49" s="909">
        <v>0</v>
      </c>
      <c r="AB49" s="909">
        <v>0</v>
      </c>
      <c r="AC49" s="909">
        <v>0</v>
      </c>
    </row>
    <row r="50" spans="1:29" ht="10.5">
      <c r="A50" s="911" t="s">
        <v>198</v>
      </c>
      <c r="B50" s="909">
        <v>32</v>
      </c>
      <c r="C50" s="909">
        <v>24</v>
      </c>
      <c r="D50" s="909">
        <v>11</v>
      </c>
      <c r="E50" s="911" t="s">
        <v>198</v>
      </c>
      <c r="F50" s="909" t="s">
        <v>249</v>
      </c>
      <c r="G50" s="909">
        <v>0</v>
      </c>
      <c r="H50" s="909">
        <v>0</v>
      </c>
      <c r="I50" s="909">
        <v>0</v>
      </c>
      <c r="J50" s="909">
        <v>4</v>
      </c>
      <c r="K50" s="909">
        <v>5</v>
      </c>
      <c r="L50" s="909">
        <v>6</v>
      </c>
      <c r="M50" s="909">
        <v>7</v>
      </c>
      <c r="N50" s="909">
        <v>10</v>
      </c>
      <c r="O50" s="909">
        <v>11</v>
      </c>
      <c r="P50" s="909">
        <v>14</v>
      </c>
      <c r="Q50" s="909">
        <v>17</v>
      </c>
      <c r="R50" s="909">
        <v>28</v>
      </c>
      <c r="S50" s="909">
        <v>0</v>
      </c>
      <c r="T50" s="909">
        <v>0</v>
      </c>
      <c r="U50" s="909">
        <v>0</v>
      </c>
      <c r="V50" s="909">
        <v>0</v>
      </c>
      <c r="W50" s="909">
        <v>0</v>
      </c>
      <c r="X50" s="909">
        <v>0</v>
      </c>
      <c r="Y50" s="909">
        <v>0</v>
      </c>
      <c r="Z50" s="909">
        <v>0</v>
      </c>
      <c r="AA50" s="909">
        <v>0</v>
      </c>
      <c r="AB50" s="909">
        <v>0</v>
      </c>
      <c r="AC50" s="909">
        <v>0</v>
      </c>
    </row>
    <row r="51" spans="1:29" s="939" customFormat="1" ht="10.5">
      <c r="A51" s="911" t="s">
        <v>198</v>
      </c>
      <c r="B51" s="911">
        <v>105</v>
      </c>
      <c r="C51" s="911">
        <v>8</v>
      </c>
      <c r="D51" s="911">
        <v>11</v>
      </c>
      <c r="E51" s="911" t="s">
        <v>198</v>
      </c>
      <c r="F51" s="909" t="s">
        <v>270</v>
      </c>
      <c r="G51" s="911">
        <v>0</v>
      </c>
      <c r="H51" s="911">
        <v>0</v>
      </c>
      <c r="I51" s="911">
        <v>0</v>
      </c>
      <c r="J51" s="911">
        <v>4</v>
      </c>
      <c r="K51" s="911">
        <v>5</v>
      </c>
      <c r="L51" s="911">
        <v>6</v>
      </c>
      <c r="M51" s="911">
        <v>10</v>
      </c>
      <c r="N51" s="911">
        <v>11</v>
      </c>
      <c r="O51" s="911">
        <v>14</v>
      </c>
      <c r="P51" s="911">
        <v>16</v>
      </c>
      <c r="Q51" s="911">
        <v>28</v>
      </c>
      <c r="R51" s="911">
        <v>0</v>
      </c>
      <c r="S51" s="911">
        <v>0</v>
      </c>
      <c r="T51" s="911">
        <v>0</v>
      </c>
      <c r="U51" s="911">
        <v>0</v>
      </c>
      <c r="V51" s="911">
        <v>0</v>
      </c>
      <c r="W51" s="911">
        <v>0</v>
      </c>
      <c r="X51" s="911">
        <v>0</v>
      </c>
      <c r="Y51" s="911">
        <v>0</v>
      </c>
      <c r="Z51" s="911">
        <v>0</v>
      </c>
      <c r="AA51" s="911">
        <v>0</v>
      </c>
      <c r="AB51" s="911">
        <v>0</v>
      </c>
      <c r="AC51" s="911">
        <v>0</v>
      </c>
    </row>
    <row r="52" spans="1:29" ht="10.5">
      <c r="A52" s="911" t="s">
        <v>199</v>
      </c>
      <c r="B52" s="909">
        <v>60</v>
      </c>
      <c r="C52" s="909">
        <v>36</v>
      </c>
      <c r="D52" s="909">
        <v>9</v>
      </c>
      <c r="E52" s="911" t="s">
        <v>199</v>
      </c>
      <c r="F52" s="909" t="s">
        <v>262</v>
      </c>
      <c r="G52" s="909">
        <v>0</v>
      </c>
      <c r="H52" s="909">
        <v>0</v>
      </c>
      <c r="I52" s="909">
        <v>0</v>
      </c>
      <c r="J52" s="909">
        <v>4</v>
      </c>
      <c r="K52" s="909">
        <v>5</v>
      </c>
      <c r="L52" s="909">
        <v>7</v>
      </c>
      <c r="M52" s="909">
        <v>9</v>
      </c>
      <c r="N52" s="909">
        <v>10</v>
      </c>
      <c r="O52" s="909">
        <v>13</v>
      </c>
      <c r="P52" s="909">
        <v>14</v>
      </c>
      <c r="Q52" s="909">
        <v>21</v>
      </c>
      <c r="R52" s="909">
        <v>0</v>
      </c>
      <c r="S52" s="909">
        <v>0</v>
      </c>
      <c r="T52" s="909">
        <v>0</v>
      </c>
      <c r="U52" s="909">
        <v>0</v>
      </c>
      <c r="V52" s="909">
        <v>0</v>
      </c>
      <c r="W52" s="909">
        <v>0</v>
      </c>
      <c r="X52" s="909">
        <v>0</v>
      </c>
      <c r="Y52" s="909">
        <v>0</v>
      </c>
      <c r="Z52" s="909">
        <v>0</v>
      </c>
      <c r="AA52" s="909">
        <v>0</v>
      </c>
      <c r="AB52" s="909">
        <v>0</v>
      </c>
      <c r="AC52" s="909">
        <v>0</v>
      </c>
    </row>
    <row r="53" spans="1:29" ht="10.5">
      <c r="A53" s="911" t="s">
        <v>199</v>
      </c>
      <c r="B53" s="909">
        <v>31</v>
      </c>
      <c r="C53" s="909">
        <v>25</v>
      </c>
      <c r="D53" s="910">
        <v>12</v>
      </c>
      <c r="E53" s="911" t="s">
        <v>199</v>
      </c>
      <c r="F53" s="909" t="s">
        <v>256</v>
      </c>
      <c r="G53" s="909">
        <v>0</v>
      </c>
      <c r="H53" s="909">
        <v>0</v>
      </c>
      <c r="I53" s="909">
        <v>0</v>
      </c>
      <c r="J53" s="909">
        <v>4</v>
      </c>
      <c r="K53" s="909">
        <v>5</v>
      </c>
      <c r="L53" s="909">
        <v>6</v>
      </c>
      <c r="M53" s="909">
        <v>7</v>
      </c>
      <c r="N53" s="909">
        <v>9</v>
      </c>
      <c r="O53" s="909">
        <v>10</v>
      </c>
      <c r="P53" s="909">
        <v>13</v>
      </c>
      <c r="Q53" s="909">
        <v>15</v>
      </c>
      <c r="R53" s="909">
        <v>16</v>
      </c>
      <c r="S53" s="909">
        <v>0</v>
      </c>
      <c r="T53" s="909">
        <v>0</v>
      </c>
      <c r="U53" s="909">
        <v>0</v>
      </c>
      <c r="V53" s="909">
        <v>0</v>
      </c>
      <c r="W53" s="909">
        <v>0</v>
      </c>
      <c r="X53" s="909">
        <v>0</v>
      </c>
      <c r="Y53" s="909">
        <v>0</v>
      </c>
      <c r="Z53" s="909">
        <v>0</v>
      </c>
      <c r="AA53" s="909">
        <v>0</v>
      </c>
      <c r="AB53" s="909">
        <v>0</v>
      </c>
      <c r="AC53" s="909">
        <v>0</v>
      </c>
    </row>
    <row r="54" spans="1:29" ht="10.5">
      <c r="A54" s="911" t="s">
        <v>200</v>
      </c>
      <c r="B54" s="909">
        <v>60</v>
      </c>
      <c r="C54" s="909">
        <v>25</v>
      </c>
      <c r="D54" s="909">
        <v>9</v>
      </c>
      <c r="E54" s="911" t="s">
        <v>200</v>
      </c>
      <c r="F54" s="909" t="s">
        <v>263</v>
      </c>
      <c r="G54" s="909">
        <v>0</v>
      </c>
      <c r="H54" s="909">
        <v>0</v>
      </c>
      <c r="I54" s="909">
        <v>0</v>
      </c>
      <c r="J54" s="909">
        <v>4</v>
      </c>
      <c r="K54" s="909">
        <v>5</v>
      </c>
      <c r="L54" s="909">
        <v>7</v>
      </c>
      <c r="M54" s="909">
        <v>9</v>
      </c>
      <c r="N54" s="909">
        <v>10</v>
      </c>
      <c r="O54" s="909">
        <v>13</v>
      </c>
      <c r="P54" s="909">
        <v>14</v>
      </c>
      <c r="Q54" s="909">
        <v>21</v>
      </c>
      <c r="R54" s="909">
        <v>0</v>
      </c>
      <c r="S54" s="909">
        <v>0</v>
      </c>
      <c r="T54" s="909">
        <v>0</v>
      </c>
      <c r="U54" s="909">
        <v>0</v>
      </c>
      <c r="V54" s="909">
        <v>0</v>
      </c>
      <c r="W54" s="909">
        <v>0</v>
      </c>
      <c r="X54" s="909">
        <v>0</v>
      </c>
      <c r="Y54" s="909">
        <v>0</v>
      </c>
      <c r="Z54" s="909">
        <v>0</v>
      </c>
      <c r="AA54" s="909">
        <v>0</v>
      </c>
      <c r="AB54" s="909">
        <v>0</v>
      </c>
      <c r="AC54" s="909">
        <v>0</v>
      </c>
    </row>
    <row r="55" spans="1:29" ht="10.5">
      <c r="A55" s="911" t="s">
        <v>200</v>
      </c>
      <c r="B55" s="909">
        <v>31</v>
      </c>
      <c r="C55" s="909">
        <v>25</v>
      </c>
      <c r="D55" s="910">
        <v>12</v>
      </c>
      <c r="E55" s="911" t="s">
        <v>200</v>
      </c>
      <c r="F55" s="909" t="s">
        <v>257</v>
      </c>
      <c r="G55" s="909">
        <v>0</v>
      </c>
      <c r="H55" s="909">
        <v>0</v>
      </c>
      <c r="I55" s="909">
        <v>0</v>
      </c>
      <c r="J55" s="909">
        <v>4</v>
      </c>
      <c r="K55" s="909">
        <v>5</v>
      </c>
      <c r="L55" s="909">
        <v>6</v>
      </c>
      <c r="M55" s="909">
        <v>7</v>
      </c>
      <c r="N55" s="909">
        <v>9</v>
      </c>
      <c r="O55" s="909">
        <v>10</v>
      </c>
      <c r="P55" s="909">
        <v>13</v>
      </c>
      <c r="Q55" s="909">
        <v>15</v>
      </c>
      <c r="R55" s="909">
        <v>16</v>
      </c>
      <c r="S55" s="909">
        <v>0</v>
      </c>
      <c r="T55" s="909">
        <v>0</v>
      </c>
      <c r="U55" s="909">
        <v>0</v>
      </c>
      <c r="V55" s="909">
        <v>0</v>
      </c>
      <c r="W55" s="909">
        <v>0</v>
      </c>
      <c r="X55" s="909">
        <v>0</v>
      </c>
      <c r="Y55" s="909">
        <v>0</v>
      </c>
      <c r="Z55" s="909">
        <v>0</v>
      </c>
      <c r="AA55" s="909">
        <v>0</v>
      </c>
      <c r="AB55" s="909">
        <v>0</v>
      </c>
      <c r="AC55" s="909">
        <v>0</v>
      </c>
    </row>
    <row r="56" spans="1:29" ht="10.5">
      <c r="A56" s="911" t="s">
        <v>235</v>
      </c>
      <c r="B56" s="911">
        <v>32</v>
      </c>
      <c r="C56" s="911">
        <v>3</v>
      </c>
      <c r="D56" s="911">
        <v>9</v>
      </c>
      <c r="E56" s="911" t="s">
        <v>235</v>
      </c>
      <c r="F56" s="911" t="s">
        <v>266</v>
      </c>
      <c r="G56" s="911">
        <v>0</v>
      </c>
      <c r="H56" s="911">
        <v>0</v>
      </c>
      <c r="I56" s="911">
        <v>0</v>
      </c>
      <c r="J56" s="911">
        <v>4</v>
      </c>
      <c r="K56" s="911">
        <v>5</v>
      </c>
      <c r="L56" s="911">
        <v>7</v>
      </c>
      <c r="M56" s="911">
        <v>9</v>
      </c>
      <c r="N56" s="911">
        <v>10</v>
      </c>
      <c r="O56" s="911">
        <v>13</v>
      </c>
      <c r="P56" s="911">
        <v>14</v>
      </c>
      <c r="Q56" s="911">
        <v>21</v>
      </c>
      <c r="R56" s="911">
        <v>0</v>
      </c>
      <c r="S56" s="911">
        <v>0</v>
      </c>
      <c r="T56" s="911">
        <v>0</v>
      </c>
      <c r="U56" s="911">
        <v>0</v>
      </c>
      <c r="V56" s="911">
        <v>0</v>
      </c>
      <c r="W56" s="911">
        <v>0</v>
      </c>
      <c r="X56" s="911">
        <v>0</v>
      </c>
      <c r="Y56" s="911">
        <v>0</v>
      </c>
      <c r="Z56" s="911">
        <v>0</v>
      </c>
      <c r="AA56" s="911">
        <v>0</v>
      </c>
      <c r="AB56" s="911">
        <v>0</v>
      </c>
      <c r="AC56" s="911">
        <v>0</v>
      </c>
    </row>
    <row r="57" spans="1:29" ht="10.5">
      <c r="A57" s="911" t="s">
        <v>236</v>
      </c>
      <c r="B57" s="911">
        <v>32</v>
      </c>
      <c r="C57" s="911">
        <v>3</v>
      </c>
      <c r="D57" s="911">
        <v>9</v>
      </c>
      <c r="E57" s="911" t="s">
        <v>236</v>
      </c>
      <c r="F57" s="911" t="s">
        <v>267</v>
      </c>
      <c r="G57" s="911">
        <v>0</v>
      </c>
      <c r="H57" s="911">
        <v>0</v>
      </c>
      <c r="I57" s="911">
        <v>0</v>
      </c>
      <c r="J57" s="911">
        <v>4</v>
      </c>
      <c r="K57" s="911">
        <v>5</v>
      </c>
      <c r="L57" s="911">
        <v>7</v>
      </c>
      <c r="M57" s="911">
        <v>9</v>
      </c>
      <c r="N57" s="911">
        <v>10</v>
      </c>
      <c r="O57" s="911">
        <v>13</v>
      </c>
      <c r="P57" s="911">
        <v>14</v>
      </c>
      <c r="Q57" s="911">
        <v>21</v>
      </c>
      <c r="R57" s="911">
        <v>0</v>
      </c>
      <c r="S57" s="911">
        <v>0</v>
      </c>
      <c r="T57" s="911">
        <v>0</v>
      </c>
      <c r="U57" s="911">
        <v>0</v>
      </c>
      <c r="V57" s="911">
        <v>0</v>
      </c>
      <c r="W57" s="911">
        <v>0</v>
      </c>
      <c r="X57" s="911">
        <v>0</v>
      </c>
      <c r="Y57" s="911">
        <v>0</v>
      </c>
      <c r="Z57" s="911">
        <v>0</v>
      </c>
      <c r="AA57" s="911">
        <v>0</v>
      </c>
      <c r="AB57" s="911">
        <v>0</v>
      </c>
      <c r="AC57" s="911">
        <v>0</v>
      </c>
    </row>
    <row r="58" spans="1:29" ht="10.5">
      <c r="A58" s="911" t="s">
        <v>238</v>
      </c>
      <c r="B58" s="911">
        <v>32</v>
      </c>
      <c r="C58" s="911">
        <v>4</v>
      </c>
      <c r="D58" s="911">
        <v>11</v>
      </c>
      <c r="E58" s="911" t="s">
        <v>238</v>
      </c>
      <c r="F58" s="911" t="s">
        <v>251</v>
      </c>
      <c r="G58" s="911">
        <v>0</v>
      </c>
      <c r="H58" s="911">
        <v>0</v>
      </c>
      <c r="I58" s="911">
        <v>0</v>
      </c>
      <c r="J58" s="911">
        <v>4</v>
      </c>
      <c r="K58" s="911">
        <v>5</v>
      </c>
      <c r="L58" s="911">
        <v>6</v>
      </c>
      <c r="M58" s="911">
        <v>7</v>
      </c>
      <c r="N58" s="911">
        <v>10</v>
      </c>
      <c r="O58" s="911">
        <v>11</v>
      </c>
      <c r="P58" s="911">
        <v>14</v>
      </c>
      <c r="Q58" s="911">
        <v>17</v>
      </c>
      <c r="R58" s="911">
        <v>28</v>
      </c>
      <c r="S58" s="911">
        <v>0</v>
      </c>
      <c r="T58" s="911">
        <v>0</v>
      </c>
      <c r="U58" s="911">
        <v>0</v>
      </c>
      <c r="V58" s="911">
        <v>0</v>
      </c>
      <c r="W58" s="911">
        <v>0</v>
      </c>
      <c r="X58" s="911">
        <v>0</v>
      </c>
      <c r="Y58" s="911">
        <v>0</v>
      </c>
      <c r="Z58" s="911">
        <v>0</v>
      </c>
      <c r="AA58" s="911">
        <v>0</v>
      </c>
      <c r="AB58" s="911">
        <v>0</v>
      </c>
      <c r="AC58" s="911">
        <v>0</v>
      </c>
    </row>
    <row r="59" spans="1:29" ht="10.5">
      <c r="A59" s="911" t="s">
        <v>238</v>
      </c>
      <c r="B59" s="911">
        <v>40</v>
      </c>
      <c r="C59" s="911">
        <v>4</v>
      </c>
      <c r="D59" s="911">
        <v>12</v>
      </c>
      <c r="E59" s="911" t="s">
        <v>238</v>
      </c>
      <c r="F59" s="911" t="s">
        <v>258</v>
      </c>
      <c r="G59" s="911">
        <v>0</v>
      </c>
      <c r="H59" s="911">
        <v>0</v>
      </c>
      <c r="I59" s="911">
        <v>0</v>
      </c>
      <c r="J59" s="911">
        <v>4</v>
      </c>
      <c r="K59" s="911">
        <v>5</v>
      </c>
      <c r="L59" s="911">
        <v>6</v>
      </c>
      <c r="M59" s="911">
        <v>8</v>
      </c>
      <c r="N59" s="911">
        <v>9</v>
      </c>
      <c r="O59" s="911">
        <v>10</v>
      </c>
      <c r="P59" s="911">
        <v>13</v>
      </c>
      <c r="Q59" s="911">
        <v>15</v>
      </c>
      <c r="R59" s="911">
        <v>16</v>
      </c>
      <c r="S59" s="911">
        <v>0</v>
      </c>
      <c r="T59" s="911">
        <v>0</v>
      </c>
      <c r="U59" s="911">
        <v>0</v>
      </c>
      <c r="V59" s="911">
        <v>0</v>
      </c>
      <c r="W59" s="911">
        <v>0</v>
      </c>
      <c r="X59" s="911">
        <v>0</v>
      </c>
      <c r="Y59" s="911">
        <v>0</v>
      </c>
      <c r="Z59" s="911">
        <v>0</v>
      </c>
      <c r="AA59" s="911">
        <v>0</v>
      </c>
      <c r="AB59" s="911">
        <v>0</v>
      </c>
      <c r="AC59" s="911">
        <v>0</v>
      </c>
    </row>
    <row r="60" spans="1:29" ht="10.5">
      <c r="A60" s="911" t="s">
        <v>237</v>
      </c>
      <c r="B60" s="911">
        <v>32</v>
      </c>
      <c r="C60" s="911">
        <v>4</v>
      </c>
      <c r="D60" s="911">
        <v>11</v>
      </c>
      <c r="E60" s="911" t="s">
        <v>237</v>
      </c>
      <c r="F60" s="911" t="s">
        <v>252</v>
      </c>
      <c r="G60" s="911">
        <v>0</v>
      </c>
      <c r="H60" s="911">
        <v>0</v>
      </c>
      <c r="I60" s="911">
        <v>0</v>
      </c>
      <c r="J60" s="911">
        <v>4</v>
      </c>
      <c r="K60" s="911">
        <v>5</v>
      </c>
      <c r="L60" s="911">
        <v>6</v>
      </c>
      <c r="M60" s="911">
        <v>7</v>
      </c>
      <c r="N60" s="911">
        <v>10</v>
      </c>
      <c r="O60" s="911">
        <v>11</v>
      </c>
      <c r="P60" s="911">
        <v>14</v>
      </c>
      <c r="Q60" s="911">
        <v>17</v>
      </c>
      <c r="R60" s="911">
        <v>28</v>
      </c>
      <c r="S60" s="911">
        <v>0</v>
      </c>
      <c r="T60" s="911">
        <v>0</v>
      </c>
      <c r="U60" s="911">
        <v>0</v>
      </c>
      <c r="V60" s="911">
        <v>0</v>
      </c>
      <c r="W60" s="911">
        <v>0</v>
      </c>
      <c r="X60" s="911">
        <v>0</v>
      </c>
      <c r="Y60" s="911">
        <v>0</v>
      </c>
      <c r="Z60" s="911">
        <v>0</v>
      </c>
      <c r="AA60" s="911">
        <v>0</v>
      </c>
      <c r="AB60" s="911">
        <v>0</v>
      </c>
      <c r="AC60" s="911">
        <v>0</v>
      </c>
    </row>
    <row r="61" spans="1:29" ht="10.5">
      <c r="A61" s="911" t="s">
        <v>237</v>
      </c>
      <c r="B61" s="911">
        <v>40</v>
      </c>
      <c r="C61" s="911">
        <v>4</v>
      </c>
      <c r="D61" s="912">
        <v>12</v>
      </c>
      <c r="E61" s="911" t="s">
        <v>237</v>
      </c>
      <c r="F61" s="911" t="s">
        <v>260</v>
      </c>
      <c r="G61" s="911">
        <v>0</v>
      </c>
      <c r="H61" s="911">
        <v>0</v>
      </c>
      <c r="I61" s="911">
        <v>0</v>
      </c>
      <c r="J61" s="911">
        <v>4</v>
      </c>
      <c r="K61" s="911">
        <v>5</v>
      </c>
      <c r="L61" s="911">
        <v>6</v>
      </c>
      <c r="M61" s="911">
        <v>8</v>
      </c>
      <c r="N61" s="911">
        <v>9</v>
      </c>
      <c r="O61" s="911">
        <v>10</v>
      </c>
      <c r="P61" s="911">
        <v>13</v>
      </c>
      <c r="Q61" s="911">
        <v>15</v>
      </c>
      <c r="R61" s="911">
        <v>16</v>
      </c>
      <c r="S61" s="911">
        <v>0</v>
      </c>
      <c r="T61" s="911">
        <v>0</v>
      </c>
      <c r="U61" s="911">
        <v>0</v>
      </c>
      <c r="V61" s="911">
        <v>0</v>
      </c>
      <c r="W61" s="911">
        <v>0</v>
      </c>
      <c r="X61" s="911">
        <v>0</v>
      </c>
      <c r="Y61" s="911">
        <v>0</v>
      </c>
      <c r="Z61" s="911">
        <v>0</v>
      </c>
      <c r="AA61" s="911">
        <v>0</v>
      </c>
      <c r="AB61" s="911">
        <v>0</v>
      </c>
      <c r="AC61" s="911">
        <v>0</v>
      </c>
    </row>
    <row r="62" spans="1:29" ht="10.5">
      <c r="A62" s="911" t="s">
        <v>229</v>
      </c>
      <c r="B62" s="911">
        <v>52</v>
      </c>
      <c r="C62" s="911">
        <v>10</v>
      </c>
      <c r="D62" s="912">
        <v>12</v>
      </c>
      <c r="E62" s="911" t="s">
        <v>229</v>
      </c>
      <c r="F62" s="911" t="s">
        <v>265</v>
      </c>
      <c r="G62" s="911">
        <v>0</v>
      </c>
      <c r="H62" s="911">
        <v>0</v>
      </c>
      <c r="I62" s="911">
        <v>0</v>
      </c>
      <c r="J62" s="909">
        <v>4</v>
      </c>
      <c r="K62" s="909">
        <v>5</v>
      </c>
      <c r="L62" s="909">
        <v>6</v>
      </c>
      <c r="M62" s="909">
        <v>10</v>
      </c>
      <c r="N62" s="909">
        <v>11</v>
      </c>
      <c r="O62" s="909">
        <v>14</v>
      </c>
      <c r="P62" s="909">
        <v>15</v>
      </c>
      <c r="Q62" s="909">
        <v>28</v>
      </c>
      <c r="R62" s="911">
        <v>0</v>
      </c>
      <c r="S62" s="911">
        <v>0</v>
      </c>
      <c r="T62" s="911">
        <v>0</v>
      </c>
      <c r="U62" s="911">
        <v>0</v>
      </c>
      <c r="V62" s="911">
        <v>0</v>
      </c>
      <c r="W62" s="911">
        <v>0</v>
      </c>
      <c r="X62" s="911">
        <v>0</v>
      </c>
      <c r="Y62" s="911">
        <v>0</v>
      </c>
      <c r="Z62" s="911">
        <v>0</v>
      </c>
      <c r="AA62" s="911">
        <v>0</v>
      </c>
      <c r="AB62" s="911">
        <v>0</v>
      </c>
      <c r="AC62" s="911">
        <v>0</v>
      </c>
    </row>
    <row r="63" spans="1:29" ht="10.5">
      <c r="A63" s="911" t="s">
        <v>229</v>
      </c>
      <c r="B63" s="911">
        <v>45</v>
      </c>
      <c r="C63" s="911">
        <v>2</v>
      </c>
      <c r="D63" s="912">
        <v>12</v>
      </c>
      <c r="E63" s="911" t="s">
        <v>229</v>
      </c>
      <c r="F63" s="911" t="s">
        <v>259</v>
      </c>
      <c r="G63" s="911">
        <v>0</v>
      </c>
      <c r="H63" s="911">
        <v>0</v>
      </c>
      <c r="I63" s="911">
        <v>0</v>
      </c>
      <c r="J63" s="911">
        <v>4</v>
      </c>
      <c r="K63" s="911">
        <v>5</v>
      </c>
      <c r="L63" s="911">
        <v>6</v>
      </c>
      <c r="M63" s="911">
        <v>8</v>
      </c>
      <c r="N63" s="911">
        <v>9</v>
      </c>
      <c r="O63" s="911">
        <v>10</v>
      </c>
      <c r="P63" s="911">
        <v>13</v>
      </c>
      <c r="Q63" s="911">
        <v>15</v>
      </c>
      <c r="R63" s="911">
        <v>16</v>
      </c>
      <c r="S63" s="911">
        <v>0</v>
      </c>
      <c r="T63" s="911">
        <v>0</v>
      </c>
      <c r="U63" s="911">
        <v>0</v>
      </c>
      <c r="V63" s="911">
        <v>0</v>
      </c>
      <c r="W63" s="911">
        <v>0</v>
      </c>
      <c r="X63" s="911">
        <v>0</v>
      </c>
      <c r="Y63" s="911">
        <v>0</v>
      </c>
      <c r="Z63" s="911">
        <v>0</v>
      </c>
      <c r="AA63" s="911">
        <v>0</v>
      </c>
      <c r="AB63" s="911">
        <v>0</v>
      </c>
      <c r="AC63" s="911">
        <v>0</v>
      </c>
    </row>
    <row r="64" spans="1:29" ht="10.5">
      <c r="A64" s="911" t="s">
        <v>229</v>
      </c>
      <c r="B64" s="911">
        <v>33</v>
      </c>
      <c r="C64" s="911">
        <v>7</v>
      </c>
      <c r="D64" s="911">
        <v>11</v>
      </c>
      <c r="E64" s="911" t="s">
        <v>229</v>
      </c>
      <c r="F64" s="911" t="s">
        <v>253</v>
      </c>
      <c r="G64" s="911">
        <v>0</v>
      </c>
      <c r="H64" s="911">
        <v>0</v>
      </c>
      <c r="I64" s="911">
        <v>0</v>
      </c>
      <c r="J64" s="911">
        <v>4</v>
      </c>
      <c r="K64" s="911">
        <v>5</v>
      </c>
      <c r="L64" s="911">
        <v>6</v>
      </c>
      <c r="M64" s="911">
        <v>7</v>
      </c>
      <c r="N64" s="911">
        <v>10</v>
      </c>
      <c r="O64" s="911">
        <v>11</v>
      </c>
      <c r="P64" s="911">
        <v>14</v>
      </c>
      <c r="Q64" s="911">
        <v>17</v>
      </c>
      <c r="R64" s="911">
        <v>28</v>
      </c>
      <c r="S64" s="911">
        <v>0</v>
      </c>
      <c r="T64" s="911">
        <v>0</v>
      </c>
      <c r="U64" s="911">
        <v>0</v>
      </c>
      <c r="V64" s="911">
        <v>0</v>
      </c>
      <c r="W64" s="911">
        <v>0</v>
      </c>
      <c r="X64" s="911">
        <v>0</v>
      </c>
      <c r="Y64" s="911">
        <v>0</v>
      </c>
      <c r="Z64" s="911">
        <v>0</v>
      </c>
      <c r="AA64" s="911">
        <v>0</v>
      </c>
      <c r="AB64" s="911">
        <v>0</v>
      </c>
      <c r="AC64" s="911">
        <v>0</v>
      </c>
    </row>
    <row r="65" spans="1:29" s="939" customFormat="1" ht="10.5">
      <c r="A65" s="911" t="s">
        <v>229</v>
      </c>
      <c r="B65" s="911">
        <v>67</v>
      </c>
      <c r="C65" s="911">
        <v>8</v>
      </c>
      <c r="D65" s="911">
        <v>11</v>
      </c>
      <c r="E65" s="911" t="s">
        <v>229</v>
      </c>
      <c r="F65" s="909" t="s">
        <v>280</v>
      </c>
      <c r="G65" s="911">
        <v>0</v>
      </c>
      <c r="H65" s="911">
        <v>0</v>
      </c>
      <c r="I65" s="911">
        <v>0</v>
      </c>
      <c r="J65" s="911">
        <v>4</v>
      </c>
      <c r="K65" s="911">
        <v>5</v>
      </c>
      <c r="L65" s="911">
        <v>6</v>
      </c>
      <c r="M65" s="911">
        <v>10</v>
      </c>
      <c r="N65" s="911">
        <v>11</v>
      </c>
      <c r="O65" s="911">
        <v>14</v>
      </c>
      <c r="P65" s="911">
        <v>16</v>
      </c>
      <c r="Q65" s="911">
        <v>28</v>
      </c>
      <c r="R65" s="911">
        <v>0</v>
      </c>
      <c r="S65" s="911">
        <v>0</v>
      </c>
      <c r="T65" s="911">
        <v>0</v>
      </c>
      <c r="U65" s="911">
        <v>0</v>
      </c>
      <c r="V65" s="911">
        <v>0</v>
      </c>
      <c r="W65" s="911">
        <v>0</v>
      </c>
      <c r="X65" s="911">
        <v>0</v>
      </c>
      <c r="Y65" s="911">
        <v>0</v>
      </c>
      <c r="Z65" s="911">
        <v>0</v>
      </c>
      <c r="AA65" s="911">
        <v>0</v>
      </c>
      <c r="AB65" s="911">
        <v>0</v>
      </c>
      <c r="AC65" s="911">
        <v>0</v>
      </c>
    </row>
    <row r="66" spans="1:29" ht="10.5">
      <c r="A66" s="911" t="s">
        <v>277</v>
      </c>
      <c r="B66" s="911">
        <v>32</v>
      </c>
      <c r="C66" s="911">
        <v>4</v>
      </c>
      <c r="D66" s="911">
        <v>11</v>
      </c>
      <c r="E66" s="911" t="s">
        <v>277</v>
      </c>
      <c r="F66" s="911" t="s">
        <v>274</v>
      </c>
      <c r="G66" s="911">
        <v>0</v>
      </c>
      <c r="H66" s="911">
        <v>0</v>
      </c>
      <c r="I66" s="911">
        <v>0</v>
      </c>
      <c r="J66" s="911">
        <v>4</v>
      </c>
      <c r="K66" s="911">
        <v>5</v>
      </c>
      <c r="L66" s="911">
        <v>6</v>
      </c>
      <c r="M66" s="911">
        <v>7</v>
      </c>
      <c r="N66" s="911">
        <v>10</v>
      </c>
      <c r="O66" s="911">
        <v>11</v>
      </c>
      <c r="P66" s="911">
        <v>14</v>
      </c>
      <c r="Q66" s="911">
        <v>17</v>
      </c>
      <c r="R66" s="911">
        <v>28</v>
      </c>
      <c r="S66" s="911">
        <v>0</v>
      </c>
      <c r="T66" s="911">
        <v>0</v>
      </c>
      <c r="U66" s="911">
        <v>0</v>
      </c>
      <c r="V66" s="911">
        <v>0</v>
      </c>
      <c r="W66" s="911">
        <v>0</v>
      </c>
      <c r="X66" s="911">
        <v>0</v>
      </c>
      <c r="Y66" s="911">
        <v>0</v>
      </c>
      <c r="Z66" s="911">
        <v>0</v>
      </c>
      <c r="AA66" s="911">
        <v>0</v>
      </c>
      <c r="AB66" s="911">
        <v>0</v>
      </c>
      <c r="AC66" s="911">
        <v>0</v>
      </c>
    </row>
    <row r="67" spans="1:29" ht="10.5">
      <c r="A67" s="911" t="s">
        <v>278</v>
      </c>
      <c r="B67" s="911">
        <v>40</v>
      </c>
      <c r="C67" s="911">
        <v>4</v>
      </c>
      <c r="D67" s="911">
        <v>12</v>
      </c>
      <c r="E67" s="911" t="s">
        <v>278</v>
      </c>
      <c r="F67" s="911" t="s">
        <v>276</v>
      </c>
      <c r="G67" s="911">
        <v>0</v>
      </c>
      <c r="H67" s="911">
        <v>0</v>
      </c>
      <c r="I67" s="911">
        <v>0</v>
      </c>
      <c r="J67" s="911">
        <v>4</v>
      </c>
      <c r="K67" s="911">
        <v>5</v>
      </c>
      <c r="L67" s="911">
        <v>6</v>
      </c>
      <c r="M67" s="911">
        <v>8</v>
      </c>
      <c r="N67" s="911">
        <v>9</v>
      </c>
      <c r="O67" s="911">
        <v>10</v>
      </c>
      <c r="P67" s="911">
        <v>13</v>
      </c>
      <c r="Q67" s="911">
        <v>15</v>
      </c>
      <c r="R67" s="911">
        <v>16</v>
      </c>
      <c r="S67" s="911">
        <v>0</v>
      </c>
      <c r="T67" s="911">
        <v>0</v>
      </c>
      <c r="U67" s="911">
        <v>0</v>
      </c>
      <c r="V67" s="911">
        <v>0</v>
      </c>
      <c r="W67" s="911">
        <v>0</v>
      </c>
      <c r="X67" s="911">
        <v>0</v>
      </c>
      <c r="Y67" s="911">
        <v>0</v>
      </c>
      <c r="Z67" s="911">
        <v>0</v>
      </c>
      <c r="AA67" s="911">
        <v>0</v>
      </c>
      <c r="AB67" s="911">
        <v>0</v>
      </c>
      <c r="AC67" s="911">
        <v>0</v>
      </c>
    </row>
    <row r="68" spans="1:29" ht="10.5">
      <c r="A68" s="911" t="s">
        <v>241</v>
      </c>
      <c r="B68" s="911">
        <v>19</v>
      </c>
      <c r="C68" s="911">
        <v>24</v>
      </c>
      <c r="D68" s="912">
        <v>4</v>
      </c>
      <c r="E68" s="911" t="str">
        <f>"CAUSAS-VST-"&amp;$G$14</f>
        <v>CAUSAS-VST-02</v>
      </c>
      <c r="F68" s="911" t="s">
        <v>242</v>
      </c>
      <c r="G68" s="911">
        <v>3</v>
      </c>
      <c r="H68" s="911">
        <v>4</v>
      </c>
      <c r="I68" s="911">
        <v>5</v>
      </c>
      <c r="J68" s="911">
        <v>6</v>
      </c>
      <c r="K68" s="911">
        <v>7</v>
      </c>
      <c r="L68" s="911">
        <v>0</v>
      </c>
      <c r="M68" s="911">
        <v>0</v>
      </c>
      <c r="N68" s="911">
        <v>0</v>
      </c>
      <c r="O68" s="911">
        <v>0</v>
      </c>
      <c r="P68" s="911">
        <v>0</v>
      </c>
      <c r="Q68" s="911">
        <v>0</v>
      </c>
      <c r="R68" s="911">
        <v>0</v>
      </c>
      <c r="S68" s="911">
        <v>0</v>
      </c>
      <c r="T68" s="911">
        <v>0</v>
      </c>
      <c r="U68" s="911">
        <v>0</v>
      </c>
      <c r="V68" s="911">
        <v>0</v>
      </c>
      <c r="W68" s="911">
        <v>999</v>
      </c>
      <c r="X68" s="911">
        <v>999</v>
      </c>
      <c r="Y68" s="911">
        <v>0</v>
      </c>
      <c r="Z68" s="911">
        <v>0</v>
      </c>
      <c r="AA68" s="911">
        <v>0</v>
      </c>
      <c r="AB68" s="911">
        <v>0</v>
      </c>
      <c r="AC68" s="911">
        <v>0</v>
      </c>
    </row>
    <row r="69" spans="1:29" ht="10.5">
      <c r="A69" s="913"/>
      <c r="B69" s="913">
        <v>30</v>
      </c>
      <c r="C69" s="913">
        <v>10</v>
      </c>
      <c r="D69" s="914">
        <v>11</v>
      </c>
      <c r="E69" s="913" t="s">
        <v>240</v>
      </c>
      <c r="F69" s="915" t="s">
        <v>272</v>
      </c>
      <c r="G69" s="913">
        <v>3</v>
      </c>
      <c r="H69" s="913">
        <v>5</v>
      </c>
      <c r="I69" s="915">
        <v>0</v>
      </c>
      <c r="J69" s="915">
        <v>4</v>
      </c>
      <c r="K69" s="915">
        <v>5</v>
      </c>
      <c r="L69" s="915">
        <v>6</v>
      </c>
      <c r="M69" s="915">
        <v>8</v>
      </c>
      <c r="N69" s="915">
        <v>9</v>
      </c>
      <c r="O69" s="915">
        <v>10</v>
      </c>
      <c r="P69" s="915">
        <v>13</v>
      </c>
      <c r="Q69" s="915">
        <v>15</v>
      </c>
      <c r="R69" s="915">
        <v>16</v>
      </c>
      <c r="S69" s="915">
        <v>0</v>
      </c>
      <c r="T69" s="915">
        <v>0</v>
      </c>
      <c r="U69" s="915">
        <v>0</v>
      </c>
      <c r="V69" s="915">
        <v>0</v>
      </c>
      <c r="W69" s="913">
        <v>0</v>
      </c>
      <c r="X69" s="913">
        <v>0</v>
      </c>
      <c r="Y69" s="913">
        <v>0</v>
      </c>
      <c r="Z69" s="913">
        <v>0</v>
      </c>
      <c r="AA69" s="913">
        <v>0</v>
      </c>
      <c r="AB69" s="913">
        <v>0</v>
      </c>
      <c r="AC69" s="913">
        <v>0</v>
      </c>
    </row>
    <row r="72" spans="6:9" ht="12.75">
      <c r="F72" s="926"/>
      <c r="G72" s="926"/>
      <c r="H72" s="926"/>
      <c r="I72" s="92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+'TOT-0211'!B2</f>
        <v>ANEXO III al Memorándum D.T.E.E. N°  1088 /2012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3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139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'TOT-0211'!B14</f>
        <v>Desde el 01 al 28 de febrero de 2011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6"/>
      <c r="Q14" s="19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8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7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88</v>
      </c>
      <c r="G16" s="817">
        <v>204.601</v>
      </c>
      <c r="H16" s="19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89</v>
      </c>
      <c r="G17" s="817">
        <v>170.503</v>
      </c>
      <c r="H17" s="198"/>
      <c r="I17" s="4"/>
      <c r="J17" s="4"/>
      <c r="K17" s="4"/>
      <c r="L17" s="199"/>
      <c r="M17" s="200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927">
        <v>3</v>
      </c>
      <c r="D18" s="927">
        <v>4</v>
      </c>
      <c r="E18" s="927">
        <v>5</v>
      </c>
      <c r="F18" s="927">
        <v>6</v>
      </c>
      <c r="G18" s="927">
        <v>7</v>
      </c>
      <c r="H18" s="927">
        <v>8</v>
      </c>
      <c r="I18" s="927">
        <v>9</v>
      </c>
      <c r="J18" s="927">
        <v>10</v>
      </c>
      <c r="K18" s="927">
        <v>11</v>
      </c>
      <c r="L18" s="927">
        <v>12</v>
      </c>
      <c r="M18" s="927">
        <v>13</v>
      </c>
      <c r="N18" s="927">
        <v>14</v>
      </c>
      <c r="O18" s="927">
        <v>15</v>
      </c>
      <c r="P18" s="927">
        <v>16</v>
      </c>
      <c r="Q18" s="927">
        <v>17</v>
      </c>
      <c r="R18" s="927">
        <v>18</v>
      </c>
      <c r="S18" s="927">
        <v>19</v>
      </c>
      <c r="T18" s="927">
        <v>20</v>
      </c>
      <c r="U18" s="927">
        <v>21</v>
      </c>
      <c r="V18" s="927">
        <v>22</v>
      </c>
      <c r="W18" s="927">
        <v>23</v>
      </c>
      <c r="X18" s="927">
        <v>24</v>
      </c>
      <c r="Y18" s="927">
        <v>25</v>
      </c>
      <c r="Z18" s="927">
        <v>26</v>
      </c>
      <c r="AA18" s="927">
        <v>27</v>
      </c>
      <c r="AB18" s="927">
        <v>28</v>
      </c>
      <c r="AC18" s="927">
        <v>29</v>
      </c>
      <c r="AD18" s="927">
        <v>30</v>
      </c>
      <c r="AE18" s="927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225</v>
      </c>
      <c r="E19" s="84" t="s">
        <v>226</v>
      </c>
      <c r="F19" s="85" t="s">
        <v>0</v>
      </c>
      <c r="G19" s="750" t="s">
        <v>13</v>
      </c>
      <c r="H19" s="86" t="s">
        <v>14</v>
      </c>
      <c r="I19" s="203" t="s">
        <v>71</v>
      </c>
      <c r="J19" s="751" t="s">
        <v>36</v>
      </c>
      <c r="K19" s="752" t="s">
        <v>15</v>
      </c>
      <c r="L19" s="85" t="s">
        <v>16</v>
      </c>
      <c r="M19" s="176" t="s">
        <v>17</v>
      </c>
      <c r="N19" s="88" t="s">
        <v>35</v>
      </c>
      <c r="O19" s="86" t="s">
        <v>30</v>
      </c>
      <c r="P19" s="88" t="s">
        <v>18</v>
      </c>
      <c r="Q19" s="86" t="s">
        <v>57</v>
      </c>
      <c r="R19" s="176" t="s">
        <v>58</v>
      </c>
      <c r="S19" s="85" t="s">
        <v>31</v>
      </c>
      <c r="T19" s="136" t="s">
        <v>19</v>
      </c>
      <c r="U19" s="753" t="s">
        <v>20</v>
      </c>
      <c r="V19" s="205" t="s">
        <v>59</v>
      </c>
      <c r="W19" s="206"/>
      <c r="X19" s="207"/>
      <c r="Y19" s="754" t="s">
        <v>140</v>
      </c>
      <c r="Z19" s="755"/>
      <c r="AA19" s="756"/>
      <c r="AB19" s="208" t="s">
        <v>21</v>
      </c>
      <c r="AC19" s="209" t="s">
        <v>73</v>
      </c>
      <c r="AD19" s="132" t="s">
        <v>74</v>
      </c>
      <c r="AE19" s="132" t="s">
        <v>23</v>
      </c>
      <c r="AF19" s="210"/>
    </row>
    <row r="20" spans="2:32" s="5" customFormat="1" ht="16.5" customHeight="1" thickTop="1">
      <c r="B20" s="50"/>
      <c r="C20" s="178"/>
      <c r="D20" s="178"/>
      <c r="E20" s="178"/>
      <c r="F20" s="800"/>
      <c r="G20" s="800"/>
      <c r="H20" s="818"/>
      <c r="I20" s="799"/>
      <c r="J20" s="801"/>
      <c r="K20" s="802"/>
      <c r="L20" s="813"/>
      <c r="M20" s="813"/>
      <c r="N20" s="799"/>
      <c r="O20" s="799"/>
      <c r="P20" s="799"/>
      <c r="Q20" s="799"/>
      <c r="R20" s="799"/>
      <c r="S20" s="799"/>
      <c r="T20" s="803"/>
      <c r="U20" s="804"/>
      <c r="V20" s="805"/>
      <c r="W20" s="806"/>
      <c r="X20" s="807"/>
      <c r="Y20" s="808"/>
      <c r="Z20" s="809"/>
      <c r="AA20" s="810"/>
      <c r="AB20" s="811"/>
      <c r="AC20" s="812"/>
      <c r="AD20" s="799"/>
      <c r="AE20" s="757"/>
      <c r="AF20" s="17"/>
    </row>
    <row r="21" spans="2:32" s="5" customFormat="1" ht="16.5" customHeight="1">
      <c r="B21" s="50"/>
      <c r="C21" s="274"/>
      <c r="D21" s="274"/>
      <c r="E21" s="274"/>
      <c r="F21" s="180"/>
      <c r="G21" s="7"/>
      <c r="H21" s="819"/>
      <c r="I21" s="180"/>
      <c r="J21" s="758"/>
      <c r="K21" s="759"/>
      <c r="L21" s="211"/>
      <c r="M21" s="115"/>
      <c r="N21" s="180"/>
      <c r="O21" s="180"/>
      <c r="P21" s="181"/>
      <c r="Q21" s="180"/>
      <c r="R21" s="180"/>
      <c r="S21" s="180"/>
      <c r="T21" s="760"/>
      <c r="U21" s="761"/>
      <c r="V21" s="762"/>
      <c r="W21" s="763"/>
      <c r="X21" s="764"/>
      <c r="Y21" s="765"/>
      <c r="Z21" s="766"/>
      <c r="AA21" s="767"/>
      <c r="AB21" s="215"/>
      <c r="AC21" s="216"/>
      <c r="AD21" s="180"/>
      <c r="AE21" s="217"/>
      <c r="AF21" s="17"/>
    </row>
    <row r="22" spans="2:32" s="5" customFormat="1" ht="16.5" customHeight="1">
      <c r="B22" s="50"/>
      <c r="C22" s="152">
        <v>1</v>
      </c>
      <c r="D22" s="152">
        <v>231073</v>
      </c>
      <c r="E22" s="152">
        <v>30</v>
      </c>
      <c r="F22" s="152" t="s">
        <v>284</v>
      </c>
      <c r="G22" s="183">
        <v>500</v>
      </c>
      <c r="H22" s="820">
        <v>4.5</v>
      </c>
      <c r="I22" s="183" t="s">
        <v>285</v>
      </c>
      <c r="J22" s="768">
        <f aca="true" t="shared" si="0" ref="J22:J41">IF(I22="A",200,IF(I22="B",60,20))</f>
        <v>20</v>
      </c>
      <c r="K22" s="769">
        <f aca="true" t="shared" si="1" ref="K22:K41">IF(G22=500,IF(H22&lt;100,100*$G$16/100,H22*$G$16/100),IF(H22&lt;100,100*$G$17/100,H22*$G$17/100))</f>
        <v>204.601</v>
      </c>
      <c r="L22" s="770">
        <v>40578.361805555556</v>
      </c>
      <c r="M22" s="771">
        <v>40578.751388888886</v>
      </c>
      <c r="N22" s="186">
        <f aca="true" t="shared" si="2" ref="N22:N41">IF(F22="","",(M22-L22)*24)</f>
        <v>9.34999999991851</v>
      </c>
      <c r="O22" s="187">
        <f aca="true" t="shared" si="3" ref="O22:O41">IF(F22="","",ROUND((M22-L22)*24*60,0))</f>
        <v>561</v>
      </c>
      <c r="P22" s="220" t="s">
        <v>286</v>
      </c>
      <c r="Q22" s="884" t="str">
        <f aca="true" t="shared" si="4" ref="Q22:Q41">IF(F22="","","--")</f>
        <v>--</v>
      </c>
      <c r="R22" s="221" t="str">
        <f aca="true" t="shared" si="5" ref="R22:R41">IF(F22="","","NO")</f>
        <v>NO</v>
      </c>
      <c r="S22" s="221" t="str">
        <f aca="true" t="shared" si="6" ref="S22:S41">IF(F22="","",IF(OR(P22="P",P22="RP"),"--","NO"))</f>
        <v>--</v>
      </c>
      <c r="T22" s="772">
        <f aca="true" t="shared" si="7" ref="T22:T41">IF(P22="P",K22*J22*ROUND(O22/60,2)*0.01,"--")</f>
        <v>382.60387</v>
      </c>
      <c r="U22" s="773" t="str">
        <f aca="true" t="shared" si="8" ref="U22:U41">IF(P22="RP",K22*J22*ROUND(O22/60,2)*0.01*Q22/100,"--")</f>
        <v>--</v>
      </c>
      <c r="V22" s="222" t="str">
        <f aca="true" t="shared" si="9" ref="V22:V41">IF(AND(P22="F",S22="NO"),K22*J22*IF(R22="SI",1.2,1),"--")</f>
        <v>--</v>
      </c>
      <c r="W22" s="223" t="str">
        <f aca="true" t="shared" si="10" ref="W22:W41">IF(AND(P22="F",O22&gt;=10),K22*J22*IF(R22="SI",1.2,1)*IF(O22&lt;=300,ROUND(O22/60,2),5),"--")</f>
        <v>--</v>
      </c>
      <c r="X22" s="224" t="str">
        <f aca="true" t="shared" si="11" ref="X22:X41">IF(AND(P22="F",O22&gt;300),(ROUND(O22/60,2)-5)*K22*J22*0.1*IF(R22="SI",1.2,1),"--")</f>
        <v>--</v>
      </c>
      <c r="Y22" s="774" t="str">
        <f aca="true" t="shared" si="12" ref="Y22:Y41">IF(AND(P22="R",S22="NO"),K22*J22*Q22/100*IF(R22="SI",1.2,1),"--")</f>
        <v>--</v>
      </c>
      <c r="Z22" s="775" t="str">
        <f aca="true" t="shared" si="13" ref="Z22:Z41">IF(AND(P22="R",O22&gt;=10),K22*J22*Q22/100*IF(R22="SI",1.2,1)*IF(O22&lt;=300,ROUND(O22/60,2),5),"--")</f>
        <v>--</v>
      </c>
      <c r="AA22" s="776" t="str">
        <f aca="true" t="shared" si="14" ref="AA22:AA41">IF(AND(P22="R",O22&gt;300),(ROUND(O22/60,2)-5)*K22*J22*0.1*Q22/100*IF(R22="SI",1.2,1),"--")</f>
        <v>--</v>
      </c>
      <c r="AB22" s="225" t="str">
        <f aca="true" t="shared" si="15" ref="AB22:AB41">IF(P22="RF",ROUND(O22/60,2)*K22*J22*0.1*IF(R22="SI",1.2,1),"--")</f>
        <v>--</v>
      </c>
      <c r="AC22" s="226" t="str">
        <f aca="true" t="shared" si="16" ref="AC22:AC41">IF(P22="RR",ROUND(O22/60,2)*K22*J22*0.1*Q22/100*IF(R22="SI",1.2,1),"--")</f>
        <v>--</v>
      </c>
      <c r="AD22" s="885" t="s">
        <v>202</v>
      </c>
      <c r="AE22" s="16">
        <f aca="true" t="shared" si="17" ref="AE22:AE41">IF(F22="","",SUM(T22:AC22)*IF(AD22="SI",1,2))</f>
        <v>382.60387</v>
      </c>
      <c r="AF22" s="777"/>
    </row>
    <row r="23" spans="2:32" s="5" customFormat="1" ht="16.5" customHeight="1">
      <c r="B23" s="50"/>
      <c r="C23" s="274">
        <v>2</v>
      </c>
      <c r="D23" s="274">
        <v>231086</v>
      </c>
      <c r="E23" s="274">
        <v>45</v>
      </c>
      <c r="F23" s="152" t="s">
        <v>287</v>
      </c>
      <c r="G23" s="183">
        <v>500</v>
      </c>
      <c r="H23" s="820">
        <v>345</v>
      </c>
      <c r="I23" s="183" t="s">
        <v>334</v>
      </c>
      <c r="J23" s="768">
        <f t="shared" si="0"/>
        <v>200</v>
      </c>
      <c r="K23" s="769">
        <f t="shared" si="1"/>
        <v>705.87345</v>
      </c>
      <c r="L23" s="770">
        <v>40580.44375</v>
      </c>
      <c r="M23" s="771">
        <v>40580.728472222225</v>
      </c>
      <c r="N23" s="186">
        <f t="shared" si="2"/>
        <v>6.833333333430346</v>
      </c>
      <c r="O23" s="187">
        <f t="shared" si="3"/>
        <v>410</v>
      </c>
      <c r="P23" s="220" t="s">
        <v>286</v>
      </c>
      <c r="Q23" s="884" t="str">
        <f t="shared" si="4"/>
        <v>--</v>
      </c>
      <c r="R23" s="221" t="str">
        <f t="shared" si="5"/>
        <v>NO</v>
      </c>
      <c r="S23" s="221" t="str">
        <f t="shared" si="6"/>
        <v>--</v>
      </c>
      <c r="T23" s="772">
        <f t="shared" si="7"/>
        <v>9642.231327000001</v>
      </c>
      <c r="U23" s="773" t="str">
        <f t="shared" si="8"/>
        <v>--</v>
      </c>
      <c r="V23" s="222" t="str">
        <f t="shared" si="9"/>
        <v>--</v>
      </c>
      <c r="W23" s="223" t="str">
        <f t="shared" si="10"/>
        <v>--</v>
      </c>
      <c r="X23" s="224" t="str">
        <f t="shared" si="11"/>
        <v>--</v>
      </c>
      <c r="Y23" s="774" t="str">
        <f t="shared" si="12"/>
        <v>--</v>
      </c>
      <c r="Z23" s="775" t="str">
        <f t="shared" si="13"/>
        <v>--</v>
      </c>
      <c r="AA23" s="776" t="str">
        <f t="shared" si="14"/>
        <v>--</v>
      </c>
      <c r="AB23" s="225" t="str">
        <f t="shared" si="15"/>
        <v>--</v>
      </c>
      <c r="AC23" s="226" t="str">
        <f t="shared" si="16"/>
        <v>--</v>
      </c>
      <c r="AD23" s="885" t="s">
        <v>202</v>
      </c>
      <c r="AE23" s="16">
        <f t="shared" si="17"/>
        <v>9642.231327000001</v>
      </c>
      <c r="AF23" s="777"/>
    </row>
    <row r="24" spans="2:32" s="5" customFormat="1" ht="16.5" customHeight="1">
      <c r="B24" s="50"/>
      <c r="C24" s="152">
        <v>3</v>
      </c>
      <c r="D24" s="152">
        <v>231261</v>
      </c>
      <c r="E24" s="152">
        <v>2</v>
      </c>
      <c r="F24" s="778" t="s">
        <v>289</v>
      </c>
      <c r="G24" s="779">
        <v>500</v>
      </c>
      <c r="H24" s="821">
        <v>58</v>
      </c>
      <c r="I24" s="779" t="s">
        <v>285</v>
      </c>
      <c r="J24" s="768">
        <f t="shared" si="0"/>
        <v>20</v>
      </c>
      <c r="K24" s="769">
        <f t="shared" si="1"/>
        <v>204.601</v>
      </c>
      <c r="L24" s="780">
        <v>40582.46319444444</v>
      </c>
      <c r="M24" s="781">
        <v>40582.52013888889</v>
      </c>
      <c r="N24" s="186">
        <f t="shared" si="2"/>
        <v>1.3666666667559184</v>
      </c>
      <c r="O24" s="187">
        <f t="shared" si="3"/>
        <v>82</v>
      </c>
      <c r="P24" s="220" t="s">
        <v>290</v>
      </c>
      <c r="Q24" s="884" t="str">
        <f t="shared" si="4"/>
        <v>--</v>
      </c>
      <c r="R24" s="221" t="str">
        <f t="shared" si="5"/>
        <v>NO</v>
      </c>
      <c r="S24" s="221" t="s">
        <v>202</v>
      </c>
      <c r="T24" s="772" t="str">
        <f t="shared" si="7"/>
        <v>--</v>
      </c>
      <c r="U24" s="773" t="str">
        <f t="shared" si="8"/>
        <v>--</v>
      </c>
      <c r="V24" s="222" t="str">
        <f t="shared" si="9"/>
        <v>--</v>
      </c>
      <c r="W24" s="223">
        <f t="shared" si="10"/>
        <v>5606.067400000001</v>
      </c>
      <c r="X24" s="224" t="str">
        <f t="shared" si="11"/>
        <v>--</v>
      </c>
      <c r="Y24" s="774" t="str">
        <f t="shared" si="12"/>
        <v>--</v>
      </c>
      <c r="Z24" s="775" t="str">
        <f t="shared" si="13"/>
        <v>--</v>
      </c>
      <c r="AA24" s="776" t="str">
        <f t="shared" si="14"/>
        <v>--</v>
      </c>
      <c r="AB24" s="225" t="str">
        <f t="shared" si="15"/>
        <v>--</v>
      </c>
      <c r="AC24" s="226" t="str">
        <f t="shared" si="16"/>
        <v>--</v>
      </c>
      <c r="AD24" s="885" t="s">
        <v>202</v>
      </c>
      <c r="AE24" s="16">
        <f t="shared" si="17"/>
        <v>5606.067400000001</v>
      </c>
      <c r="AF24" s="777"/>
    </row>
    <row r="25" spans="2:32" s="5" customFormat="1" ht="16.5" customHeight="1">
      <c r="B25" s="50"/>
      <c r="C25" s="274">
        <v>4</v>
      </c>
      <c r="D25" s="274">
        <v>231262</v>
      </c>
      <c r="E25" s="274">
        <v>1</v>
      </c>
      <c r="F25" s="778" t="s">
        <v>291</v>
      </c>
      <c r="G25" s="779">
        <v>500</v>
      </c>
      <c r="H25" s="821">
        <v>58</v>
      </c>
      <c r="I25" s="779" t="s">
        <v>285</v>
      </c>
      <c r="J25" s="768">
        <f t="shared" si="0"/>
        <v>20</v>
      </c>
      <c r="K25" s="769">
        <f t="shared" si="1"/>
        <v>204.601</v>
      </c>
      <c r="L25" s="780">
        <v>40583.21666666667</v>
      </c>
      <c r="M25" s="781">
        <v>40583.228472222225</v>
      </c>
      <c r="N25" s="186">
        <f t="shared" si="2"/>
        <v>0.28333333338378</v>
      </c>
      <c r="O25" s="187">
        <f t="shared" si="3"/>
        <v>17</v>
      </c>
      <c r="P25" s="220" t="s">
        <v>290</v>
      </c>
      <c r="Q25" s="884" t="str">
        <f t="shared" si="4"/>
        <v>--</v>
      </c>
      <c r="R25" s="221" t="str">
        <f t="shared" si="5"/>
        <v>NO</v>
      </c>
      <c r="S25" s="221" t="s">
        <v>202</v>
      </c>
      <c r="T25" s="772" t="str">
        <f t="shared" si="7"/>
        <v>--</v>
      </c>
      <c r="U25" s="773" t="str">
        <f t="shared" si="8"/>
        <v>--</v>
      </c>
      <c r="V25" s="222" t="str">
        <f t="shared" si="9"/>
        <v>--</v>
      </c>
      <c r="W25" s="223">
        <f t="shared" si="10"/>
        <v>1145.7656000000002</v>
      </c>
      <c r="X25" s="224" t="str">
        <f t="shared" si="11"/>
        <v>--</v>
      </c>
      <c r="Y25" s="774" t="str">
        <f t="shared" si="12"/>
        <v>--</v>
      </c>
      <c r="Z25" s="775" t="str">
        <f t="shared" si="13"/>
        <v>--</v>
      </c>
      <c r="AA25" s="776" t="str">
        <f t="shared" si="14"/>
        <v>--</v>
      </c>
      <c r="AB25" s="225" t="str">
        <f t="shared" si="15"/>
        <v>--</v>
      </c>
      <c r="AC25" s="226" t="str">
        <f t="shared" si="16"/>
        <v>--</v>
      </c>
      <c r="AD25" s="885" t="s">
        <v>202</v>
      </c>
      <c r="AE25" s="16">
        <f t="shared" si="17"/>
        <v>1145.7656000000002</v>
      </c>
      <c r="AF25" s="777"/>
    </row>
    <row r="26" spans="2:32" s="5" customFormat="1" ht="16.5" customHeight="1">
      <c r="B26" s="50"/>
      <c r="C26" s="152">
        <v>5</v>
      </c>
      <c r="D26" s="152">
        <v>231271</v>
      </c>
      <c r="E26" s="152">
        <v>24</v>
      </c>
      <c r="F26" s="152" t="s">
        <v>292</v>
      </c>
      <c r="G26" s="183">
        <v>500</v>
      </c>
      <c r="H26" s="820">
        <v>255</v>
      </c>
      <c r="I26" s="183" t="s">
        <v>288</v>
      </c>
      <c r="J26" s="768">
        <f t="shared" si="0"/>
        <v>60</v>
      </c>
      <c r="K26" s="769">
        <f t="shared" si="1"/>
        <v>521.73255</v>
      </c>
      <c r="L26" s="770">
        <v>40586.444444444445</v>
      </c>
      <c r="M26" s="771">
        <v>40586.70347222222</v>
      </c>
      <c r="N26" s="186">
        <f t="shared" si="2"/>
        <v>6.216666666674428</v>
      </c>
      <c r="O26" s="187">
        <f t="shared" si="3"/>
        <v>373</v>
      </c>
      <c r="P26" s="220" t="s">
        <v>286</v>
      </c>
      <c r="Q26" s="884" t="str">
        <f t="shared" si="4"/>
        <v>--</v>
      </c>
      <c r="R26" s="221" t="str">
        <f t="shared" si="5"/>
        <v>NO</v>
      </c>
      <c r="S26" s="221" t="str">
        <f t="shared" si="6"/>
        <v>--</v>
      </c>
      <c r="T26" s="772">
        <f t="shared" si="7"/>
        <v>1947.1058765999999</v>
      </c>
      <c r="U26" s="773" t="str">
        <f t="shared" si="8"/>
        <v>--</v>
      </c>
      <c r="V26" s="222" t="str">
        <f t="shared" si="9"/>
        <v>--</v>
      </c>
      <c r="W26" s="223" t="str">
        <f t="shared" si="10"/>
        <v>--</v>
      </c>
      <c r="X26" s="224" t="str">
        <f t="shared" si="11"/>
        <v>--</v>
      </c>
      <c r="Y26" s="774" t="str">
        <f t="shared" si="12"/>
        <v>--</v>
      </c>
      <c r="Z26" s="775" t="str">
        <f t="shared" si="13"/>
        <v>--</v>
      </c>
      <c r="AA26" s="776" t="str">
        <f t="shared" si="14"/>
        <v>--</v>
      </c>
      <c r="AB26" s="225" t="str">
        <f t="shared" si="15"/>
        <v>--</v>
      </c>
      <c r="AC26" s="226" t="str">
        <f t="shared" si="16"/>
        <v>--</v>
      </c>
      <c r="AD26" s="885" t="s">
        <v>202</v>
      </c>
      <c r="AE26" s="16">
        <f t="shared" si="17"/>
        <v>1947.1058765999999</v>
      </c>
      <c r="AF26" s="777"/>
    </row>
    <row r="27" spans="2:32" s="5" customFormat="1" ht="16.5" customHeight="1">
      <c r="B27" s="50"/>
      <c r="C27" s="274">
        <v>6</v>
      </c>
      <c r="D27" s="274">
        <v>231417</v>
      </c>
      <c r="E27" s="274">
        <v>27</v>
      </c>
      <c r="F27" s="152" t="s">
        <v>293</v>
      </c>
      <c r="G27" s="183">
        <v>500</v>
      </c>
      <c r="H27" s="820">
        <v>3</v>
      </c>
      <c r="I27" s="183" t="s">
        <v>285</v>
      </c>
      <c r="J27" s="768">
        <f t="shared" si="0"/>
        <v>20</v>
      </c>
      <c r="K27" s="769">
        <f t="shared" si="1"/>
        <v>204.601</v>
      </c>
      <c r="L27" s="770">
        <v>40588.322916666664</v>
      </c>
      <c r="M27" s="771">
        <v>40588.46944444445</v>
      </c>
      <c r="N27" s="186">
        <f t="shared" si="2"/>
        <v>3.5166666667792015</v>
      </c>
      <c r="O27" s="187">
        <f t="shared" si="3"/>
        <v>211</v>
      </c>
      <c r="P27" s="220" t="s">
        <v>286</v>
      </c>
      <c r="Q27" s="884" t="str">
        <f t="shared" si="4"/>
        <v>--</v>
      </c>
      <c r="R27" s="221" t="str">
        <f t="shared" si="5"/>
        <v>NO</v>
      </c>
      <c r="S27" s="221" t="str">
        <f t="shared" si="6"/>
        <v>--</v>
      </c>
      <c r="T27" s="772">
        <f t="shared" si="7"/>
        <v>144.039104</v>
      </c>
      <c r="U27" s="773" t="str">
        <f t="shared" si="8"/>
        <v>--</v>
      </c>
      <c r="V27" s="222" t="str">
        <f t="shared" si="9"/>
        <v>--</v>
      </c>
      <c r="W27" s="223" t="str">
        <f t="shared" si="10"/>
        <v>--</v>
      </c>
      <c r="X27" s="224" t="str">
        <f t="shared" si="11"/>
        <v>--</v>
      </c>
      <c r="Y27" s="774" t="str">
        <f t="shared" si="12"/>
        <v>--</v>
      </c>
      <c r="Z27" s="775" t="str">
        <f t="shared" si="13"/>
        <v>--</v>
      </c>
      <c r="AA27" s="776" t="str">
        <f t="shared" si="14"/>
        <v>--</v>
      </c>
      <c r="AB27" s="225" t="str">
        <f t="shared" si="15"/>
        <v>--</v>
      </c>
      <c r="AC27" s="226" t="str">
        <f t="shared" si="16"/>
        <v>--</v>
      </c>
      <c r="AD27" s="885" t="s">
        <v>202</v>
      </c>
      <c r="AE27" s="16">
        <v>0</v>
      </c>
      <c r="AF27" s="777"/>
    </row>
    <row r="28" spans="2:32" s="5" customFormat="1" ht="16.5" customHeight="1">
      <c r="B28" s="50"/>
      <c r="C28" s="152">
        <v>7</v>
      </c>
      <c r="D28" s="152">
        <v>231431</v>
      </c>
      <c r="E28" s="152">
        <v>4821</v>
      </c>
      <c r="F28" s="146" t="s">
        <v>333</v>
      </c>
      <c r="G28" s="147">
        <v>500</v>
      </c>
      <c r="H28" s="822">
        <v>137.94</v>
      </c>
      <c r="I28" s="147" t="s">
        <v>285</v>
      </c>
      <c r="J28" s="768">
        <f t="shared" si="0"/>
        <v>20</v>
      </c>
      <c r="K28" s="769">
        <f t="shared" si="1"/>
        <v>282.2266194</v>
      </c>
      <c r="L28" s="184">
        <v>40593.32777777778</v>
      </c>
      <c r="M28" s="219">
        <v>40593.711805555555</v>
      </c>
      <c r="N28" s="186">
        <f t="shared" si="2"/>
        <v>9.216666666674428</v>
      </c>
      <c r="O28" s="187">
        <f t="shared" si="3"/>
        <v>553</v>
      </c>
      <c r="P28" s="220" t="s">
        <v>286</v>
      </c>
      <c r="Q28" s="884" t="str">
        <f t="shared" si="4"/>
        <v>--</v>
      </c>
      <c r="R28" s="221" t="str">
        <f t="shared" si="5"/>
        <v>NO</v>
      </c>
      <c r="S28" s="221" t="str">
        <f t="shared" si="6"/>
        <v>--</v>
      </c>
      <c r="T28" s="772">
        <f t="shared" si="7"/>
        <v>520.4258861736</v>
      </c>
      <c r="U28" s="773" t="str">
        <f t="shared" si="8"/>
        <v>--</v>
      </c>
      <c r="V28" s="222" t="str">
        <f t="shared" si="9"/>
        <v>--</v>
      </c>
      <c r="W28" s="223" t="str">
        <f t="shared" si="10"/>
        <v>--</v>
      </c>
      <c r="X28" s="224" t="str">
        <f t="shared" si="11"/>
        <v>--</v>
      </c>
      <c r="Y28" s="774" t="str">
        <f t="shared" si="12"/>
        <v>--</v>
      </c>
      <c r="Z28" s="775" t="str">
        <f t="shared" si="13"/>
        <v>--</v>
      </c>
      <c r="AA28" s="776" t="str">
        <f t="shared" si="14"/>
        <v>--</v>
      </c>
      <c r="AB28" s="225" t="str">
        <f t="shared" si="15"/>
        <v>--</v>
      </c>
      <c r="AC28" s="226" t="str">
        <f t="shared" si="16"/>
        <v>--</v>
      </c>
      <c r="AD28" s="885" t="s">
        <v>202</v>
      </c>
      <c r="AE28" s="16">
        <f t="shared" si="17"/>
        <v>520.4258861736</v>
      </c>
      <c r="AF28" s="777"/>
    </row>
    <row r="29" spans="2:32" s="5" customFormat="1" ht="16.5" customHeight="1">
      <c r="B29" s="50"/>
      <c r="C29" s="274">
        <v>8</v>
      </c>
      <c r="D29" s="274">
        <v>231429</v>
      </c>
      <c r="E29" s="274">
        <v>4821</v>
      </c>
      <c r="F29" s="146" t="s">
        <v>333</v>
      </c>
      <c r="G29" s="147">
        <v>500</v>
      </c>
      <c r="H29" s="822">
        <v>137.94</v>
      </c>
      <c r="I29" s="147" t="s">
        <v>285</v>
      </c>
      <c r="J29" s="768">
        <f t="shared" si="0"/>
        <v>20</v>
      </c>
      <c r="K29" s="769">
        <f t="shared" si="1"/>
        <v>282.2266194</v>
      </c>
      <c r="L29" s="184">
        <v>40594.32847222222</v>
      </c>
      <c r="M29" s="219">
        <v>40594.729166666664</v>
      </c>
      <c r="N29" s="186">
        <f t="shared" si="2"/>
        <v>9.616666666581295</v>
      </c>
      <c r="O29" s="187">
        <f t="shared" si="3"/>
        <v>577</v>
      </c>
      <c r="P29" s="220" t="s">
        <v>286</v>
      </c>
      <c r="Q29" s="884" t="str">
        <f t="shared" si="4"/>
        <v>--</v>
      </c>
      <c r="R29" s="221" t="str">
        <f t="shared" si="5"/>
        <v>NO</v>
      </c>
      <c r="S29" s="221" t="str">
        <f t="shared" si="6"/>
        <v>--</v>
      </c>
      <c r="T29" s="772">
        <f t="shared" si="7"/>
        <v>543.0040157255999</v>
      </c>
      <c r="U29" s="773" t="str">
        <f t="shared" si="8"/>
        <v>--</v>
      </c>
      <c r="V29" s="222" t="str">
        <f t="shared" si="9"/>
        <v>--</v>
      </c>
      <c r="W29" s="223" t="str">
        <f t="shared" si="10"/>
        <v>--</v>
      </c>
      <c r="X29" s="224" t="str">
        <f t="shared" si="11"/>
        <v>--</v>
      </c>
      <c r="Y29" s="774" t="str">
        <f t="shared" si="12"/>
        <v>--</v>
      </c>
      <c r="Z29" s="775" t="str">
        <f t="shared" si="13"/>
        <v>--</v>
      </c>
      <c r="AA29" s="776" t="str">
        <f t="shared" si="14"/>
        <v>--</v>
      </c>
      <c r="AB29" s="225" t="str">
        <f t="shared" si="15"/>
        <v>--</v>
      </c>
      <c r="AC29" s="226" t="str">
        <f t="shared" si="16"/>
        <v>--</v>
      </c>
      <c r="AD29" s="885" t="s">
        <v>202</v>
      </c>
      <c r="AE29" s="16">
        <f t="shared" si="17"/>
        <v>543.0040157255999</v>
      </c>
      <c r="AF29" s="777"/>
    </row>
    <row r="30" spans="2:32" s="5" customFormat="1" ht="16.5" customHeight="1">
      <c r="B30" s="50"/>
      <c r="C30" s="152"/>
      <c r="D30" s="152"/>
      <c r="E30" s="152"/>
      <c r="F30" s="146"/>
      <c r="G30" s="147"/>
      <c r="H30" s="822"/>
      <c r="I30" s="147"/>
      <c r="J30" s="768">
        <f t="shared" si="0"/>
        <v>20</v>
      </c>
      <c r="K30" s="769">
        <f t="shared" si="1"/>
        <v>170.503</v>
      </c>
      <c r="L30" s="184"/>
      <c r="M30" s="219"/>
      <c r="N30" s="186">
        <f t="shared" si="2"/>
      </c>
      <c r="O30" s="187">
        <f t="shared" si="3"/>
      </c>
      <c r="P30" s="220"/>
      <c r="Q30" s="884">
        <f t="shared" si="4"/>
      </c>
      <c r="R30" s="221">
        <f t="shared" si="5"/>
      </c>
      <c r="S30" s="221">
        <f t="shared" si="6"/>
      </c>
      <c r="T30" s="772" t="str">
        <f t="shared" si="7"/>
        <v>--</v>
      </c>
      <c r="U30" s="773" t="str">
        <f t="shared" si="8"/>
        <v>--</v>
      </c>
      <c r="V30" s="222" t="str">
        <f t="shared" si="9"/>
        <v>--</v>
      </c>
      <c r="W30" s="223" t="str">
        <f t="shared" si="10"/>
        <v>--</v>
      </c>
      <c r="X30" s="224" t="str">
        <f t="shared" si="11"/>
        <v>--</v>
      </c>
      <c r="Y30" s="774" t="str">
        <f t="shared" si="12"/>
        <v>--</v>
      </c>
      <c r="Z30" s="775" t="str">
        <f t="shared" si="13"/>
        <v>--</v>
      </c>
      <c r="AA30" s="776" t="str">
        <f t="shared" si="14"/>
        <v>--</v>
      </c>
      <c r="AB30" s="225" t="str">
        <f t="shared" si="15"/>
        <v>--</v>
      </c>
      <c r="AC30" s="226" t="str">
        <f t="shared" si="16"/>
        <v>--</v>
      </c>
      <c r="AD30" s="885">
        <f aca="true" t="shared" si="18" ref="AD30:AD41">IF(F30="","","SI")</f>
      </c>
      <c r="AE30" s="16">
        <f t="shared" si="17"/>
      </c>
      <c r="AF30" s="777"/>
    </row>
    <row r="31" spans="2:32" s="5" customFormat="1" ht="16.5" customHeight="1">
      <c r="B31" s="50"/>
      <c r="C31" s="274"/>
      <c r="D31" s="274"/>
      <c r="E31" s="274"/>
      <c r="F31" s="146"/>
      <c r="G31" s="147"/>
      <c r="H31" s="822"/>
      <c r="I31" s="147"/>
      <c r="J31" s="768">
        <f t="shared" si="0"/>
        <v>20</v>
      </c>
      <c r="K31" s="769">
        <f t="shared" si="1"/>
        <v>170.503</v>
      </c>
      <c r="L31" s="184"/>
      <c r="M31" s="219"/>
      <c r="N31" s="186">
        <f t="shared" si="2"/>
      </c>
      <c r="O31" s="187">
        <f t="shared" si="3"/>
      </c>
      <c r="P31" s="220"/>
      <c r="Q31" s="884">
        <f t="shared" si="4"/>
      </c>
      <c r="R31" s="221">
        <f t="shared" si="5"/>
      </c>
      <c r="S31" s="221">
        <f t="shared" si="6"/>
      </c>
      <c r="T31" s="772" t="str">
        <f t="shared" si="7"/>
        <v>--</v>
      </c>
      <c r="U31" s="773" t="str">
        <f t="shared" si="8"/>
        <v>--</v>
      </c>
      <c r="V31" s="222" t="str">
        <f t="shared" si="9"/>
        <v>--</v>
      </c>
      <c r="W31" s="223" t="str">
        <f t="shared" si="10"/>
        <v>--</v>
      </c>
      <c r="X31" s="224" t="str">
        <f t="shared" si="11"/>
        <v>--</v>
      </c>
      <c r="Y31" s="774" t="str">
        <f t="shared" si="12"/>
        <v>--</v>
      </c>
      <c r="Z31" s="775" t="str">
        <f t="shared" si="13"/>
        <v>--</v>
      </c>
      <c r="AA31" s="776" t="str">
        <f t="shared" si="14"/>
        <v>--</v>
      </c>
      <c r="AB31" s="225" t="str">
        <f t="shared" si="15"/>
        <v>--</v>
      </c>
      <c r="AC31" s="226" t="str">
        <f t="shared" si="16"/>
        <v>--</v>
      </c>
      <c r="AD31" s="885">
        <f t="shared" si="18"/>
      </c>
      <c r="AE31" s="16">
        <f t="shared" si="17"/>
      </c>
      <c r="AF31" s="777"/>
    </row>
    <row r="32" spans="2:32" s="5" customFormat="1" ht="16.5" customHeight="1">
      <c r="B32" s="50"/>
      <c r="C32" s="152"/>
      <c r="D32" s="152"/>
      <c r="E32" s="152"/>
      <c r="F32" s="146"/>
      <c r="G32" s="147"/>
      <c r="H32" s="822"/>
      <c r="I32" s="147"/>
      <c r="J32" s="768">
        <f t="shared" si="0"/>
        <v>20</v>
      </c>
      <c r="K32" s="769">
        <f t="shared" si="1"/>
        <v>170.503</v>
      </c>
      <c r="L32" s="184"/>
      <c r="M32" s="219"/>
      <c r="N32" s="186">
        <f t="shared" si="2"/>
      </c>
      <c r="O32" s="187">
        <f t="shared" si="3"/>
      </c>
      <c r="P32" s="220"/>
      <c r="Q32" s="884">
        <f t="shared" si="4"/>
      </c>
      <c r="R32" s="221">
        <f t="shared" si="5"/>
      </c>
      <c r="S32" s="221">
        <f t="shared" si="6"/>
      </c>
      <c r="T32" s="772" t="str">
        <f t="shared" si="7"/>
        <v>--</v>
      </c>
      <c r="U32" s="773" t="str">
        <f t="shared" si="8"/>
        <v>--</v>
      </c>
      <c r="V32" s="222" t="str">
        <f t="shared" si="9"/>
        <v>--</v>
      </c>
      <c r="W32" s="223" t="str">
        <f t="shared" si="10"/>
        <v>--</v>
      </c>
      <c r="X32" s="224" t="str">
        <f t="shared" si="11"/>
        <v>--</v>
      </c>
      <c r="Y32" s="774" t="str">
        <f t="shared" si="12"/>
        <v>--</v>
      </c>
      <c r="Z32" s="775" t="str">
        <f t="shared" si="13"/>
        <v>--</v>
      </c>
      <c r="AA32" s="776" t="str">
        <f t="shared" si="14"/>
        <v>--</v>
      </c>
      <c r="AB32" s="225" t="str">
        <f t="shared" si="15"/>
        <v>--</v>
      </c>
      <c r="AC32" s="226" t="str">
        <f t="shared" si="16"/>
        <v>--</v>
      </c>
      <c r="AD32" s="885">
        <f t="shared" si="18"/>
      </c>
      <c r="AE32" s="16">
        <f t="shared" si="17"/>
      </c>
      <c r="AF32" s="777"/>
    </row>
    <row r="33" spans="2:32" s="5" customFormat="1" ht="16.5" customHeight="1">
      <c r="B33" s="50"/>
      <c r="C33" s="274"/>
      <c r="D33" s="274"/>
      <c r="E33" s="274"/>
      <c r="F33" s="146"/>
      <c r="G33" s="147"/>
      <c r="H33" s="822"/>
      <c r="I33" s="147"/>
      <c r="J33" s="768">
        <f t="shared" si="0"/>
        <v>20</v>
      </c>
      <c r="K33" s="769">
        <f t="shared" si="1"/>
        <v>170.503</v>
      </c>
      <c r="L33" s="184"/>
      <c r="M33" s="185"/>
      <c r="N33" s="186">
        <f t="shared" si="2"/>
      </c>
      <c r="O33" s="187">
        <f t="shared" si="3"/>
      </c>
      <c r="P33" s="220"/>
      <c r="Q33" s="884">
        <f t="shared" si="4"/>
      </c>
      <c r="R33" s="221">
        <f t="shared" si="5"/>
      </c>
      <c r="S33" s="221">
        <f t="shared" si="6"/>
      </c>
      <c r="T33" s="772" t="str">
        <f t="shared" si="7"/>
        <v>--</v>
      </c>
      <c r="U33" s="773" t="str">
        <f t="shared" si="8"/>
        <v>--</v>
      </c>
      <c r="V33" s="222" t="str">
        <f t="shared" si="9"/>
        <v>--</v>
      </c>
      <c r="W33" s="223" t="str">
        <f t="shared" si="10"/>
        <v>--</v>
      </c>
      <c r="X33" s="224" t="str">
        <f t="shared" si="11"/>
        <v>--</v>
      </c>
      <c r="Y33" s="774" t="str">
        <f t="shared" si="12"/>
        <v>--</v>
      </c>
      <c r="Z33" s="775" t="str">
        <f t="shared" si="13"/>
        <v>--</v>
      </c>
      <c r="AA33" s="776" t="str">
        <f t="shared" si="14"/>
        <v>--</v>
      </c>
      <c r="AB33" s="225" t="str">
        <f t="shared" si="15"/>
        <v>--</v>
      </c>
      <c r="AC33" s="226" t="str">
        <f t="shared" si="16"/>
        <v>--</v>
      </c>
      <c r="AD33" s="885">
        <f t="shared" si="18"/>
      </c>
      <c r="AE33" s="16">
        <f t="shared" si="17"/>
      </c>
      <c r="AF33" s="777"/>
    </row>
    <row r="34" spans="2:32" s="5" customFormat="1" ht="16.5" customHeight="1">
      <c r="B34" s="50"/>
      <c r="C34" s="152"/>
      <c r="D34" s="152"/>
      <c r="E34" s="152"/>
      <c r="F34" s="146"/>
      <c r="G34" s="147"/>
      <c r="H34" s="822"/>
      <c r="I34" s="147"/>
      <c r="J34" s="768">
        <f t="shared" si="0"/>
        <v>20</v>
      </c>
      <c r="K34" s="769">
        <f t="shared" si="1"/>
        <v>170.503</v>
      </c>
      <c r="L34" s="184"/>
      <c r="M34" s="185"/>
      <c r="N34" s="186">
        <f t="shared" si="2"/>
      </c>
      <c r="O34" s="187">
        <f t="shared" si="3"/>
      </c>
      <c r="P34" s="220"/>
      <c r="Q34" s="884">
        <f t="shared" si="4"/>
      </c>
      <c r="R34" s="221">
        <f t="shared" si="5"/>
      </c>
      <c r="S34" s="221">
        <f t="shared" si="6"/>
      </c>
      <c r="T34" s="772" t="str">
        <f t="shared" si="7"/>
        <v>--</v>
      </c>
      <c r="U34" s="773" t="str">
        <f t="shared" si="8"/>
        <v>--</v>
      </c>
      <c r="V34" s="222" t="str">
        <f t="shared" si="9"/>
        <v>--</v>
      </c>
      <c r="W34" s="223" t="str">
        <f t="shared" si="10"/>
        <v>--</v>
      </c>
      <c r="X34" s="224" t="str">
        <f t="shared" si="11"/>
        <v>--</v>
      </c>
      <c r="Y34" s="774" t="str">
        <f t="shared" si="12"/>
        <v>--</v>
      </c>
      <c r="Z34" s="775" t="str">
        <f t="shared" si="13"/>
        <v>--</v>
      </c>
      <c r="AA34" s="776" t="str">
        <f t="shared" si="14"/>
        <v>--</v>
      </c>
      <c r="AB34" s="225" t="str">
        <f t="shared" si="15"/>
        <v>--</v>
      </c>
      <c r="AC34" s="226" t="str">
        <f t="shared" si="16"/>
        <v>--</v>
      </c>
      <c r="AD34" s="885">
        <f t="shared" si="18"/>
      </c>
      <c r="AE34" s="16">
        <f t="shared" si="17"/>
      </c>
      <c r="AF34" s="777"/>
    </row>
    <row r="35" spans="2:32" s="5" customFormat="1" ht="16.5" customHeight="1">
      <c r="B35" s="50"/>
      <c r="C35" s="274"/>
      <c r="D35" s="274"/>
      <c r="E35" s="274"/>
      <c r="F35" s="146"/>
      <c r="G35" s="147"/>
      <c r="H35" s="822"/>
      <c r="I35" s="147"/>
      <c r="J35" s="768">
        <f t="shared" si="0"/>
        <v>20</v>
      </c>
      <c r="K35" s="769">
        <f t="shared" si="1"/>
        <v>170.503</v>
      </c>
      <c r="L35" s="184"/>
      <c r="M35" s="185"/>
      <c r="N35" s="186">
        <f t="shared" si="2"/>
      </c>
      <c r="O35" s="187">
        <f t="shared" si="3"/>
      </c>
      <c r="P35" s="220"/>
      <c r="Q35" s="884">
        <f t="shared" si="4"/>
      </c>
      <c r="R35" s="221">
        <f t="shared" si="5"/>
      </c>
      <c r="S35" s="221">
        <f t="shared" si="6"/>
      </c>
      <c r="T35" s="772" t="str">
        <f t="shared" si="7"/>
        <v>--</v>
      </c>
      <c r="U35" s="773" t="str">
        <f t="shared" si="8"/>
        <v>--</v>
      </c>
      <c r="V35" s="222" t="str">
        <f t="shared" si="9"/>
        <v>--</v>
      </c>
      <c r="W35" s="223" t="str">
        <f t="shared" si="10"/>
        <v>--</v>
      </c>
      <c r="X35" s="224" t="str">
        <f t="shared" si="11"/>
        <v>--</v>
      </c>
      <c r="Y35" s="774" t="str">
        <f t="shared" si="12"/>
        <v>--</v>
      </c>
      <c r="Z35" s="775" t="str">
        <f t="shared" si="13"/>
        <v>--</v>
      </c>
      <c r="AA35" s="776" t="str">
        <f t="shared" si="14"/>
        <v>--</v>
      </c>
      <c r="AB35" s="225" t="str">
        <f t="shared" si="15"/>
        <v>--</v>
      </c>
      <c r="AC35" s="226" t="str">
        <f t="shared" si="16"/>
        <v>--</v>
      </c>
      <c r="AD35" s="885">
        <f t="shared" si="18"/>
      </c>
      <c r="AE35" s="16">
        <f t="shared" si="17"/>
      </c>
      <c r="AF35" s="777"/>
    </row>
    <row r="36" spans="2:32" s="5" customFormat="1" ht="16.5" customHeight="1">
      <c r="B36" s="50"/>
      <c r="C36" s="152"/>
      <c r="D36" s="152"/>
      <c r="E36" s="152"/>
      <c r="F36" s="146"/>
      <c r="G36" s="147"/>
      <c r="H36" s="822"/>
      <c r="I36" s="147"/>
      <c r="J36" s="768">
        <f t="shared" si="0"/>
        <v>20</v>
      </c>
      <c r="K36" s="769">
        <f t="shared" si="1"/>
        <v>170.503</v>
      </c>
      <c r="L36" s="184"/>
      <c r="M36" s="185"/>
      <c r="N36" s="186">
        <f t="shared" si="2"/>
      </c>
      <c r="O36" s="187">
        <f t="shared" si="3"/>
      </c>
      <c r="P36" s="220"/>
      <c r="Q36" s="884">
        <f t="shared" si="4"/>
      </c>
      <c r="R36" s="221">
        <f t="shared" si="5"/>
      </c>
      <c r="S36" s="221">
        <f t="shared" si="6"/>
      </c>
      <c r="T36" s="772" t="str">
        <f t="shared" si="7"/>
        <v>--</v>
      </c>
      <c r="U36" s="773" t="str">
        <f t="shared" si="8"/>
        <v>--</v>
      </c>
      <c r="V36" s="222" t="str">
        <f t="shared" si="9"/>
        <v>--</v>
      </c>
      <c r="W36" s="223" t="str">
        <f t="shared" si="10"/>
        <v>--</v>
      </c>
      <c r="X36" s="224" t="str">
        <f t="shared" si="11"/>
        <v>--</v>
      </c>
      <c r="Y36" s="774" t="str">
        <f t="shared" si="12"/>
        <v>--</v>
      </c>
      <c r="Z36" s="775" t="str">
        <f t="shared" si="13"/>
        <v>--</v>
      </c>
      <c r="AA36" s="776" t="str">
        <f t="shared" si="14"/>
        <v>--</v>
      </c>
      <c r="AB36" s="225" t="str">
        <f t="shared" si="15"/>
        <v>--</v>
      </c>
      <c r="AC36" s="226" t="str">
        <f t="shared" si="16"/>
        <v>--</v>
      </c>
      <c r="AD36" s="885">
        <f t="shared" si="18"/>
      </c>
      <c r="AE36" s="16">
        <f t="shared" si="17"/>
      </c>
      <c r="AF36" s="777"/>
    </row>
    <row r="37" spans="2:32" s="5" customFormat="1" ht="16.5" customHeight="1">
      <c r="B37" s="50"/>
      <c r="C37" s="274"/>
      <c r="D37" s="274"/>
      <c r="E37" s="274"/>
      <c r="F37" s="146"/>
      <c r="G37" s="147"/>
      <c r="H37" s="822"/>
      <c r="I37" s="147"/>
      <c r="J37" s="768">
        <f t="shared" si="0"/>
        <v>20</v>
      </c>
      <c r="K37" s="769">
        <f t="shared" si="1"/>
        <v>170.503</v>
      </c>
      <c r="L37" s="184"/>
      <c r="M37" s="185"/>
      <c r="N37" s="186">
        <f t="shared" si="2"/>
      </c>
      <c r="O37" s="187">
        <f t="shared" si="3"/>
      </c>
      <c r="P37" s="220"/>
      <c r="Q37" s="884">
        <f t="shared" si="4"/>
      </c>
      <c r="R37" s="221">
        <f t="shared" si="5"/>
      </c>
      <c r="S37" s="221">
        <f t="shared" si="6"/>
      </c>
      <c r="T37" s="772" t="str">
        <f t="shared" si="7"/>
        <v>--</v>
      </c>
      <c r="U37" s="773" t="str">
        <f t="shared" si="8"/>
        <v>--</v>
      </c>
      <c r="V37" s="222" t="str">
        <f t="shared" si="9"/>
        <v>--</v>
      </c>
      <c r="W37" s="223" t="str">
        <f t="shared" si="10"/>
        <v>--</v>
      </c>
      <c r="X37" s="224" t="str">
        <f t="shared" si="11"/>
        <v>--</v>
      </c>
      <c r="Y37" s="774" t="str">
        <f t="shared" si="12"/>
        <v>--</v>
      </c>
      <c r="Z37" s="775" t="str">
        <f t="shared" si="13"/>
        <v>--</v>
      </c>
      <c r="AA37" s="776" t="str">
        <f t="shared" si="14"/>
        <v>--</v>
      </c>
      <c r="AB37" s="225" t="str">
        <f t="shared" si="15"/>
        <v>--</v>
      </c>
      <c r="AC37" s="226" t="str">
        <f t="shared" si="16"/>
        <v>--</v>
      </c>
      <c r="AD37" s="885">
        <f t="shared" si="18"/>
      </c>
      <c r="AE37" s="16">
        <f t="shared" si="17"/>
      </c>
      <c r="AF37" s="777"/>
    </row>
    <row r="38" spans="2:32" s="5" customFormat="1" ht="16.5" customHeight="1">
      <c r="B38" s="50"/>
      <c r="C38" s="152"/>
      <c r="D38" s="152"/>
      <c r="E38" s="152"/>
      <c r="F38" s="146"/>
      <c r="G38" s="147"/>
      <c r="H38" s="822"/>
      <c r="I38" s="147"/>
      <c r="J38" s="768">
        <f t="shared" si="0"/>
        <v>20</v>
      </c>
      <c r="K38" s="769">
        <f t="shared" si="1"/>
        <v>170.503</v>
      </c>
      <c r="L38" s="184"/>
      <c r="M38" s="185"/>
      <c r="N38" s="186">
        <f t="shared" si="2"/>
      </c>
      <c r="O38" s="187">
        <f t="shared" si="3"/>
      </c>
      <c r="P38" s="220"/>
      <c r="Q38" s="884">
        <f t="shared" si="4"/>
      </c>
      <c r="R38" s="221">
        <f t="shared" si="5"/>
      </c>
      <c r="S38" s="221">
        <f t="shared" si="6"/>
      </c>
      <c r="T38" s="772" t="str">
        <f t="shared" si="7"/>
        <v>--</v>
      </c>
      <c r="U38" s="773" t="str">
        <f t="shared" si="8"/>
        <v>--</v>
      </c>
      <c r="V38" s="222" t="str">
        <f t="shared" si="9"/>
        <v>--</v>
      </c>
      <c r="W38" s="223" t="str">
        <f t="shared" si="10"/>
        <v>--</v>
      </c>
      <c r="X38" s="224" t="str">
        <f t="shared" si="11"/>
        <v>--</v>
      </c>
      <c r="Y38" s="774" t="str">
        <f t="shared" si="12"/>
        <v>--</v>
      </c>
      <c r="Z38" s="775" t="str">
        <f t="shared" si="13"/>
        <v>--</v>
      </c>
      <c r="AA38" s="776" t="str">
        <f t="shared" si="14"/>
        <v>--</v>
      </c>
      <c r="AB38" s="225" t="str">
        <f t="shared" si="15"/>
        <v>--</v>
      </c>
      <c r="AC38" s="226" t="str">
        <f t="shared" si="16"/>
        <v>--</v>
      </c>
      <c r="AD38" s="885">
        <f t="shared" si="18"/>
      </c>
      <c r="AE38" s="16">
        <f t="shared" si="17"/>
      </c>
      <c r="AF38" s="777"/>
    </row>
    <row r="39" spans="2:32" s="5" customFormat="1" ht="16.5" customHeight="1">
      <c r="B39" s="50"/>
      <c r="C39" s="274"/>
      <c r="D39" s="274"/>
      <c r="E39" s="274"/>
      <c r="F39" s="146"/>
      <c r="G39" s="147"/>
      <c r="H39" s="822"/>
      <c r="I39" s="147"/>
      <c r="J39" s="768">
        <f t="shared" si="0"/>
        <v>20</v>
      </c>
      <c r="K39" s="769">
        <f t="shared" si="1"/>
        <v>170.503</v>
      </c>
      <c r="L39" s="184"/>
      <c r="M39" s="185"/>
      <c r="N39" s="186">
        <f t="shared" si="2"/>
      </c>
      <c r="O39" s="187">
        <f t="shared" si="3"/>
      </c>
      <c r="P39" s="220"/>
      <c r="Q39" s="884">
        <f t="shared" si="4"/>
      </c>
      <c r="R39" s="221">
        <f t="shared" si="5"/>
      </c>
      <c r="S39" s="221">
        <f t="shared" si="6"/>
      </c>
      <c r="T39" s="772" t="str">
        <f t="shared" si="7"/>
        <v>--</v>
      </c>
      <c r="U39" s="773" t="str">
        <f t="shared" si="8"/>
        <v>--</v>
      </c>
      <c r="V39" s="222" t="str">
        <f t="shared" si="9"/>
        <v>--</v>
      </c>
      <c r="W39" s="223" t="str">
        <f t="shared" si="10"/>
        <v>--</v>
      </c>
      <c r="X39" s="224" t="str">
        <f t="shared" si="11"/>
        <v>--</v>
      </c>
      <c r="Y39" s="774" t="str">
        <f t="shared" si="12"/>
        <v>--</v>
      </c>
      <c r="Z39" s="775" t="str">
        <f t="shared" si="13"/>
        <v>--</v>
      </c>
      <c r="AA39" s="776" t="str">
        <f t="shared" si="14"/>
        <v>--</v>
      </c>
      <c r="AB39" s="225" t="str">
        <f t="shared" si="15"/>
        <v>--</v>
      </c>
      <c r="AC39" s="226" t="str">
        <f t="shared" si="16"/>
        <v>--</v>
      </c>
      <c r="AD39" s="885">
        <f t="shared" si="18"/>
      </c>
      <c r="AE39" s="16">
        <f t="shared" si="17"/>
      </c>
      <c r="AF39" s="777"/>
    </row>
    <row r="40" spans="2:32" s="5" customFormat="1" ht="16.5" customHeight="1">
      <c r="B40" s="50"/>
      <c r="C40" s="152"/>
      <c r="D40" s="152"/>
      <c r="E40" s="152"/>
      <c r="F40" s="146"/>
      <c r="G40" s="147"/>
      <c r="H40" s="822"/>
      <c r="I40" s="147"/>
      <c r="J40" s="768">
        <f t="shared" si="0"/>
        <v>20</v>
      </c>
      <c r="K40" s="769">
        <f t="shared" si="1"/>
        <v>170.503</v>
      </c>
      <c r="L40" s="184"/>
      <c r="M40" s="185"/>
      <c r="N40" s="186">
        <f t="shared" si="2"/>
      </c>
      <c r="O40" s="187">
        <f t="shared" si="3"/>
      </c>
      <c r="P40" s="220"/>
      <c r="Q40" s="884">
        <f t="shared" si="4"/>
      </c>
      <c r="R40" s="221">
        <f t="shared" si="5"/>
      </c>
      <c r="S40" s="221">
        <f t="shared" si="6"/>
      </c>
      <c r="T40" s="772" t="str">
        <f t="shared" si="7"/>
        <v>--</v>
      </c>
      <c r="U40" s="773" t="str">
        <f t="shared" si="8"/>
        <v>--</v>
      </c>
      <c r="V40" s="222" t="str">
        <f t="shared" si="9"/>
        <v>--</v>
      </c>
      <c r="W40" s="223" t="str">
        <f t="shared" si="10"/>
        <v>--</v>
      </c>
      <c r="X40" s="224" t="str">
        <f t="shared" si="11"/>
        <v>--</v>
      </c>
      <c r="Y40" s="774" t="str">
        <f t="shared" si="12"/>
        <v>--</v>
      </c>
      <c r="Z40" s="775" t="str">
        <f t="shared" si="13"/>
        <v>--</v>
      </c>
      <c r="AA40" s="776" t="str">
        <f t="shared" si="14"/>
        <v>--</v>
      </c>
      <c r="AB40" s="225" t="str">
        <f t="shared" si="15"/>
        <v>--</v>
      </c>
      <c r="AC40" s="226" t="str">
        <f t="shared" si="16"/>
        <v>--</v>
      </c>
      <c r="AD40" s="885">
        <f t="shared" si="18"/>
      </c>
      <c r="AE40" s="16">
        <f t="shared" si="17"/>
      </c>
      <c r="AF40" s="777"/>
    </row>
    <row r="41" spans="2:32" s="5" customFormat="1" ht="16.5" customHeight="1">
      <c r="B41" s="50"/>
      <c r="C41" s="274"/>
      <c r="D41" s="274"/>
      <c r="E41" s="274"/>
      <c r="F41" s="146"/>
      <c r="G41" s="147"/>
      <c r="H41" s="822"/>
      <c r="I41" s="147"/>
      <c r="J41" s="768">
        <f t="shared" si="0"/>
        <v>20</v>
      </c>
      <c r="K41" s="769">
        <f t="shared" si="1"/>
        <v>170.503</v>
      </c>
      <c r="L41" s="184"/>
      <c r="M41" s="185"/>
      <c r="N41" s="186">
        <f t="shared" si="2"/>
      </c>
      <c r="O41" s="187">
        <f t="shared" si="3"/>
      </c>
      <c r="P41" s="220"/>
      <c r="Q41" s="884">
        <f t="shared" si="4"/>
      </c>
      <c r="R41" s="221">
        <f t="shared" si="5"/>
      </c>
      <c r="S41" s="221">
        <f t="shared" si="6"/>
      </c>
      <c r="T41" s="772" t="str">
        <f t="shared" si="7"/>
        <v>--</v>
      </c>
      <c r="U41" s="773" t="str">
        <f t="shared" si="8"/>
        <v>--</v>
      </c>
      <c r="V41" s="222" t="str">
        <f t="shared" si="9"/>
        <v>--</v>
      </c>
      <c r="W41" s="223" t="str">
        <f t="shared" si="10"/>
        <v>--</v>
      </c>
      <c r="X41" s="224" t="str">
        <f t="shared" si="11"/>
        <v>--</v>
      </c>
      <c r="Y41" s="774" t="str">
        <f t="shared" si="12"/>
        <v>--</v>
      </c>
      <c r="Z41" s="775" t="str">
        <f t="shared" si="13"/>
        <v>--</v>
      </c>
      <c r="AA41" s="776" t="str">
        <f t="shared" si="14"/>
        <v>--</v>
      </c>
      <c r="AB41" s="225" t="str">
        <f t="shared" si="15"/>
        <v>--</v>
      </c>
      <c r="AC41" s="226" t="str">
        <f t="shared" si="16"/>
        <v>--</v>
      </c>
      <c r="AD41" s="885">
        <f t="shared" si="18"/>
      </c>
      <c r="AE41" s="16">
        <f t="shared" si="17"/>
      </c>
      <c r="AF41" s="777"/>
    </row>
    <row r="42" spans="2:32" s="5" customFormat="1" ht="16.5" customHeight="1" thickBot="1">
      <c r="B42" s="50"/>
      <c r="C42" s="883"/>
      <c r="D42" s="886"/>
      <c r="E42" s="152"/>
      <c r="F42" s="149"/>
      <c r="G42" s="228"/>
      <c r="H42" s="816"/>
      <c r="I42" s="229"/>
      <c r="J42" s="782"/>
      <c r="K42" s="783"/>
      <c r="L42" s="814"/>
      <c r="M42" s="814"/>
      <c r="N42" s="9"/>
      <c r="O42" s="9"/>
      <c r="P42" s="151"/>
      <c r="Q42" s="189"/>
      <c r="R42" s="151"/>
      <c r="S42" s="151"/>
      <c r="T42" s="784"/>
      <c r="U42" s="785"/>
      <c r="V42" s="230"/>
      <c r="W42" s="231"/>
      <c r="X42" s="232"/>
      <c r="Y42" s="786"/>
      <c r="Z42" s="787"/>
      <c r="AA42" s="788"/>
      <c r="AB42" s="233"/>
      <c r="AC42" s="234"/>
      <c r="AD42" s="789"/>
      <c r="AE42" s="235"/>
      <c r="AF42" s="777"/>
    </row>
    <row r="43" spans="2:32" s="5" customFormat="1" ht="16.5" customHeight="1" thickBot="1" thickTop="1">
      <c r="B43" s="50"/>
      <c r="C43" s="127" t="s">
        <v>24</v>
      </c>
      <c r="D43" s="901"/>
      <c r="E43" s="127"/>
      <c r="F43" s="128"/>
      <c r="G43" s="236"/>
      <c r="H43" s="201"/>
      <c r="I43" s="237"/>
      <c r="J43" s="201"/>
      <c r="K43" s="190"/>
      <c r="L43" s="190"/>
      <c r="M43" s="190"/>
      <c r="N43" s="190"/>
      <c r="O43" s="190"/>
      <c r="P43" s="190"/>
      <c r="Q43" s="238"/>
      <c r="R43" s="190"/>
      <c r="S43" s="190"/>
      <c r="T43" s="790">
        <f aca="true" t="shared" si="19" ref="T43:AC43">SUM(T20:T42)</f>
        <v>13179.410079499201</v>
      </c>
      <c r="U43" s="791">
        <f t="shared" si="19"/>
        <v>0</v>
      </c>
      <c r="V43" s="792">
        <f t="shared" si="19"/>
        <v>0</v>
      </c>
      <c r="W43" s="792">
        <f t="shared" si="19"/>
        <v>6751.8330000000005</v>
      </c>
      <c r="X43" s="792">
        <f t="shared" si="19"/>
        <v>0</v>
      </c>
      <c r="Y43" s="793">
        <f t="shared" si="19"/>
        <v>0</v>
      </c>
      <c r="Z43" s="793">
        <f t="shared" si="19"/>
        <v>0</v>
      </c>
      <c r="AA43" s="793">
        <f t="shared" si="19"/>
        <v>0</v>
      </c>
      <c r="AB43" s="239">
        <f t="shared" si="19"/>
        <v>0</v>
      </c>
      <c r="AC43" s="240">
        <f t="shared" si="19"/>
        <v>0</v>
      </c>
      <c r="AD43" s="241"/>
      <c r="AE43" s="242">
        <f>ROUND(SUM(AE20:AE42),2)</f>
        <v>19787.2</v>
      </c>
      <c r="AF43" s="777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Roman,Normal"&amp;7&amp;F-&amp;A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43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+'TOT-0211'!B2</f>
        <v>ANEXO III al Memorándum D.T.E.E. N°  1088 /2012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3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832" customFormat="1" ht="33" customHeight="1">
      <c r="B10" s="833"/>
      <c r="C10" s="831"/>
      <c r="D10" s="831"/>
      <c r="E10" s="831"/>
      <c r="F10" s="830" t="s">
        <v>11</v>
      </c>
      <c r="G10" s="831"/>
      <c r="H10" s="831"/>
      <c r="I10" s="831"/>
      <c r="K10" s="831"/>
      <c r="L10" s="831"/>
      <c r="M10" s="831"/>
      <c r="N10" s="831"/>
      <c r="O10" s="831"/>
      <c r="P10" s="831"/>
      <c r="Q10" s="831"/>
      <c r="R10" s="830"/>
      <c r="S10" s="830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4"/>
    </row>
    <row r="11" spans="2:32" s="835" customFormat="1" ht="33" customHeight="1">
      <c r="B11" s="836"/>
      <c r="C11" s="837"/>
      <c r="D11" s="837"/>
      <c r="E11" s="837"/>
      <c r="F11" s="869" t="s">
        <v>357</v>
      </c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9"/>
    </row>
    <row r="12" spans="2:32" s="36" customFormat="1" ht="19.5">
      <c r="B12" s="37" t="str">
        <f>'TOT-0211'!B14</f>
        <v>Desde el 01 al 28 de febrero de 2011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6"/>
      <c r="Q12" s="196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8"/>
    </row>
    <row r="13" spans="2:32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7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6.5" customHeight="1" thickBot="1" thickTop="1">
      <c r="B14" s="50"/>
      <c r="C14" s="4"/>
      <c r="D14" s="4"/>
      <c r="E14" s="4"/>
      <c r="F14" s="82" t="s">
        <v>88</v>
      </c>
      <c r="G14" s="817">
        <f>204.601*0.6*0.333</f>
        <v>40.8792798</v>
      </c>
      <c r="H14" s="19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6.5" customHeight="1" thickTop="1">
      <c r="B15" s="50"/>
      <c r="C15" s="4"/>
      <c r="D15" s="4"/>
      <c r="E15" s="4"/>
      <c r="F15" s="199"/>
      <c r="G15" s="1038"/>
      <c r="H15" s="103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>
      <c r="B16" s="50"/>
      <c r="C16" s="927">
        <v>3</v>
      </c>
      <c r="D16" s="927">
        <v>4</v>
      </c>
      <c r="E16" s="927">
        <v>5</v>
      </c>
      <c r="F16" s="927">
        <v>6</v>
      </c>
      <c r="G16" s="927">
        <v>7</v>
      </c>
      <c r="H16" s="927">
        <v>8</v>
      </c>
      <c r="I16" s="927">
        <v>9</v>
      </c>
      <c r="J16" s="927">
        <v>10</v>
      </c>
      <c r="K16" s="927">
        <v>11</v>
      </c>
      <c r="L16" s="927">
        <v>12</v>
      </c>
      <c r="M16" s="927">
        <v>13</v>
      </c>
      <c r="N16" s="927">
        <v>14</v>
      </c>
      <c r="O16" s="927">
        <v>15</v>
      </c>
      <c r="P16" s="927">
        <v>16</v>
      </c>
      <c r="Q16" s="927">
        <v>17</v>
      </c>
      <c r="R16" s="927">
        <v>18</v>
      </c>
      <c r="S16" s="927">
        <v>19</v>
      </c>
      <c r="T16" s="927">
        <v>20</v>
      </c>
      <c r="U16" s="927">
        <v>21</v>
      </c>
      <c r="V16" s="927">
        <v>22</v>
      </c>
      <c r="W16" s="927">
        <v>23</v>
      </c>
      <c r="X16" s="927">
        <v>24</v>
      </c>
      <c r="Y16" s="927">
        <v>25</v>
      </c>
      <c r="Z16" s="927">
        <v>26</v>
      </c>
      <c r="AA16" s="927">
        <v>27</v>
      </c>
      <c r="AB16" s="927">
        <v>28</v>
      </c>
      <c r="AC16" s="927">
        <v>29</v>
      </c>
      <c r="AD16" s="927">
        <v>30</v>
      </c>
      <c r="AE16" s="927">
        <v>31</v>
      </c>
      <c r="AF16" s="17"/>
    </row>
    <row r="17" spans="2:32" s="5" customFormat="1" ht="33.75" customHeight="1" thickBot="1" thickTop="1">
      <c r="B17" s="50"/>
      <c r="C17" s="84" t="s">
        <v>12</v>
      </c>
      <c r="D17" s="84" t="s">
        <v>225</v>
      </c>
      <c r="E17" s="84" t="s">
        <v>226</v>
      </c>
      <c r="F17" s="85" t="s">
        <v>0</v>
      </c>
      <c r="G17" s="750" t="s">
        <v>13</v>
      </c>
      <c r="H17" s="86" t="s">
        <v>14</v>
      </c>
      <c r="I17" s="203" t="s">
        <v>71</v>
      </c>
      <c r="J17" s="751" t="s">
        <v>36</v>
      </c>
      <c r="K17" s="752" t="s">
        <v>15</v>
      </c>
      <c r="L17" s="85" t="s">
        <v>16</v>
      </c>
      <c r="M17" s="176" t="s">
        <v>17</v>
      </c>
      <c r="N17" s="88" t="s">
        <v>35</v>
      </c>
      <c r="O17" s="86" t="s">
        <v>30</v>
      </c>
      <c r="P17" s="88" t="s">
        <v>18</v>
      </c>
      <c r="Q17" s="86" t="s">
        <v>57</v>
      </c>
      <c r="R17" s="176" t="s">
        <v>58</v>
      </c>
      <c r="S17" s="85" t="s">
        <v>31</v>
      </c>
      <c r="T17" s="136" t="s">
        <v>19</v>
      </c>
      <c r="U17" s="753" t="s">
        <v>20</v>
      </c>
      <c r="V17" s="205" t="s">
        <v>59</v>
      </c>
      <c r="W17" s="206"/>
      <c r="X17" s="207"/>
      <c r="Y17" s="754" t="s">
        <v>140</v>
      </c>
      <c r="Z17" s="755"/>
      <c r="AA17" s="756"/>
      <c r="AB17" s="208" t="s">
        <v>21</v>
      </c>
      <c r="AC17" s="209" t="s">
        <v>73</v>
      </c>
      <c r="AD17" s="132" t="s">
        <v>74</v>
      </c>
      <c r="AE17" s="132" t="s">
        <v>23</v>
      </c>
      <c r="AF17" s="210"/>
    </row>
    <row r="18" spans="2:32" s="5" customFormat="1" ht="16.5" customHeight="1" thickTop="1">
      <c r="B18" s="50"/>
      <c r="C18" s="178"/>
      <c r="D18" s="178"/>
      <c r="E18" s="178"/>
      <c r="F18" s="800"/>
      <c r="G18" s="800"/>
      <c r="H18" s="818"/>
      <c r="I18" s="799"/>
      <c r="J18" s="801"/>
      <c r="K18" s="802"/>
      <c r="L18" s="813"/>
      <c r="M18" s="813"/>
      <c r="N18" s="799"/>
      <c r="O18" s="799"/>
      <c r="P18" s="799"/>
      <c r="Q18" s="799"/>
      <c r="R18" s="799"/>
      <c r="S18" s="799"/>
      <c r="T18" s="803"/>
      <c r="U18" s="804"/>
      <c r="V18" s="805"/>
      <c r="W18" s="806"/>
      <c r="X18" s="807"/>
      <c r="Y18" s="808"/>
      <c r="Z18" s="809"/>
      <c r="AA18" s="810"/>
      <c r="AB18" s="811"/>
      <c r="AC18" s="812"/>
      <c r="AD18" s="799"/>
      <c r="AE18" s="757"/>
      <c r="AF18" s="17"/>
    </row>
    <row r="19" spans="2:32" s="5" customFormat="1" ht="16.5" customHeight="1">
      <c r="B19" s="50"/>
      <c r="C19" s="10"/>
      <c r="D19" s="10"/>
      <c r="E19" s="10"/>
      <c r="F19" s="778"/>
      <c r="G19" s="779"/>
      <c r="H19" s="821"/>
      <c r="I19" s="779"/>
      <c r="J19" s="768">
        <f aca="true" t="shared" si="0" ref="J19:J39">IF(I19="A",200,IF(I19="B",60,20))</f>
        <v>20</v>
      </c>
      <c r="K19" s="769" t="e">
        <f>IF(G19=500,IF(H19&lt;100,100*$G$14/100,H19*$G$14/100),IF(H19&lt;100,100*#REF!/100,H19*#REF!/100))</f>
        <v>#REF!</v>
      </c>
      <c r="L19" s="770"/>
      <c r="M19" s="771"/>
      <c r="N19" s="186">
        <f aca="true" t="shared" si="1" ref="N19:N39">IF(F19="","",(M19-L19)*24)</f>
      </c>
      <c r="O19" s="187">
        <f aca="true" t="shared" si="2" ref="O19:O39">IF(F19="","",ROUND((M19-L19)*24*60,0))</f>
      </c>
      <c r="P19" s="220"/>
      <c r="Q19" s="884">
        <f aca="true" t="shared" si="3" ref="Q19:Q39">IF(F19="","","--")</f>
      </c>
      <c r="R19" s="221">
        <f aca="true" t="shared" si="4" ref="R19:R39">IF(F19="","","NO")</f>
      </c>
      <c r="S19" s="221">
        <f aca="true" t="shared" si="5" ref="S19:S39">IF(F19="","",IF(OR(P19="P",P19="RP"),"--","NO"))</f>
      </c>
      <c r="T19" s="888" t="str">
        <f aca="true" t="shared" si="6" ref="T19:T39">IF(P19="P",K19*J19*ROUND(O19/60,2)*0.01,"--")</f>
        <v>--</v>
      </c>
      <c r="U19" s="889" t="str">
        <f aca="true" t="shared" si="7" ref="U19:U39">IF(P19="RP",K19*J19*ROUND(O19/60,2)*0.01*Q19/100,"--")</f>
        <v>--</v>
      </c>
      <c r="V19" s="212" t="str">
        <f aca="true" t="shared" si="8" ref="V19:V39">IF(AND(P19="F",S19="NO"),K19*J19*IF(R19="SI",1.2,1),"--")</f>
        <v>--</v>
      </c>
      <c r="W19" s="213" t="str">
        <f aca="true" t="shared" si="9" ref="W19:W39">IF(AND(P19="F",O19&gt;=10),K19*J19*IF(R19="SI",1.2,1)*IF(O19&lt;=300,ROUND(O19/60,2),5),"--")</f>
        <v>--</v>
      </c>
      <c r="X19" s="214" t="str">
        <f aca="true" t="shared" si="10" ref="X19:X39">IF(AND(P19="F",O19&gt;300),(ROUND(O19/60,2)-5)*K19*J19*0.1*IF(R19="SI",1.2,1),"--")</f>
        <v>--</v>
      </c>
      <c r="Y19" s="890" t="str">
        <f aca="true" t="shared" si="11" ref="Y19:Y39">IF(AND(P19="R",S19="NO"),K19*J19*Q19/100*IF(R19="SI",1.2,1),"--")</f>
        <v>--</v>
      </c>
      <c r="Z19" s="891" t="str">
        <f aca="true" t="shared" si="12" ref="Z19:Z39">IF(AND(P19="R",O19&gt;=10),K19*J19*Q19/100*IF(R19="SI",1.2,1)*IF(O19&lt;=300,ROUND(O19/60,2),5),"--")</f>
        <v>--</v>
      </c>
      <c r="AA19" s="892" t="str">
        <f aca="true" t="shared" si="13" ref="AA19:AA39">IF(AND(P19="R",O19&gt;300),(ROUND(O19/60,2)-5)*K19*J19*0.1*Q19/100*IF(R19="SI",1.2,1),"--")</f>
        <v>--</v>
      </c>
      <c r="AB19" s="893" t="str">
        <f aca="true" t="shared" si="14" ref="AB19:AB39">IF(P19="RF",ROUND(O19/60,2)*K19*J19*0.1*IF(R19="SI",1.2,1),"--")</f>
        <v>--</v>
      </c>
      <c r="AC19" s="894" t="str">
        <f aca="true" t="shared" si="15" ref="AC19:AC39">IF(P19="RR",ROUND(O19/60,2)*K19*J19*0.1*Q19/100*IF(R19="SI",1.2,1),"--")</f>
        <v>--</v>
      </c>
      <c r="AD19" s="887">
        <f aca="true" t="shared" si="16" ref="AD19:AD39">IF(F19="","","SI")</f>
      </c>
      <c r="AE19" s="16">
        <f aca="true" t="shared" si="17" ref="AE19:AE39">IF(F19="","",SUM(T19:AC19)*IF(AD19="SI",1,2))</f>
      </c>
      <c r="AF19" s="17"/>
    </row>
    <row r="20" spans="2:32" s="5" customFormat="1" ht="16.5" customHeight="1">
      <c r="B20" s="50"/>
      <c r="C20" s="10">
        <v>9</v>
      </c>
      <c r="D20" s="10">
        <v>231423</v>
      </c>
      <c r="E20" s="10">
        <v>5039</v>
      </c>
      <c r="F20" s="778" t="s">
        <v>335</v>
      </c>
      <c r="G20" s="779">
        <v>500</v>
      </c>
      <c r="H20" s="821">
        <v>285</v>
      </c>
      <c r="I20" s="779" t="s">
        <v>285</v>
      </c>
      <c r="J20" s="768">
        <f t="shared" si="0"/>
        <v>20</v>
      </c>
      <c r="K20" s="769">
        <f>IF(G20=500,IF(H20&lt;100,100*$G$14/100,H20*$G$14/100),IF(H20&lt;100,100*#REF!/100,H20*#REF!/100))</f>
        <v>116.50594742999999</v>
      </c>
      <c r="L20" s="770">
        <v>40590.36875</v>
      </c>
      <c r="M20" s="771">
        <v>40590.861805555556</v>
      </c>
      <c r="N20" s="186">
        <f t="shared" si="1"/>
        <v>11.83333333331393</v>
      </c>
      <c r="O20" s="187">
        <f t="shared" si="2"/>
        <v>710</v>
      </c>
      <c r="P20" s="220" t="s">
        <v>286</v>
      </c>
      <c r="Q20" s="884" t="str">
        <f t="shared" si="3"/>
        <v>--</v>
      </c>
      <c r="R20" s="221" t="str">
        <f t="shared" si="4"/>
        <v>NO</v>
      </c>
      <c r="S20" s="221" t="str">
        <f t="shared" si="5"/>
        <v>--</v>
      </c>
      <c r="T20" s="888">
        <f t="shared" si="6"/>
        <v>275.65307161938</v>
      </c>
      <c r="U20" s="889" t="str">
        <f t="shared" si="7"/>
        <v>--</v>
      </c>
      <c r="V20" s="212" t="str">
        <f t="shared" si="8"/>
        <v>--</v>
      </c>
      <c r="W20" s="213" t="str">
        <f t="shared" si="9"/>
        <v>--</v>
      </c>
      <c r="X20" s="214" t="str">
        <f t="shared" si="10"/>
        <v>--</v>
      </c>
      <c r="Y20" s="890" t="str">
        <f t="shared" si="11"/>
        <v>--</v>
      </c>
      <c r="Z20" s="891" t="str">
        <f t="shared" si="12"/>
        <v>--</v>
      </c>
      <c r="AA20" s="892" t="str">
        <f t="shared" si="13"/>
        <v>--</v>
      </c>
      <c r="AB20" s="893" t="str">
        <f t="shared" si="14"/>
        <v>--</v>
      </c>
      <c r="AC20" s="894" t="str">
        <f t="shared" si="15"/>
        <v>--</v>
      </c>
      <c r="AD20" s="887" t="str">
        <f t="shared" si="16"/>
        <v>SI</v>
      </c>
      <c r="AE20" s="16">
        <f t="shared" si="17"/>
        <v>275.65307161938</v>
      </c>
      <c r="AF20" s="777"/>
    </row>
    <row r="21" spans="2:32" s="5" customFormat="1" ht="16.5" customHeight="1">
      <c r="B21" s="50"/>
      <c r="C21" s="274"/>
      <c r="D21" s="274"/>
      <c r="E21" s="274"/>
      <c r="F21" s="778"/>
      <c r="G21" s="779"/>
      <c r="H21" s="821"/>
      <c r="I21" s="779"/>
      <c r="J21" s="768">
        <f t="shared" si="0"/>
        <v>20</v>
      </c>
      <c r="K21" s="769" t="e">
        <f>IF(G21=500,IF(H21&lt;100,100*$G$14/100,H21*$G$14/100),IF(H21&lt;100,100*#REF!/100,H21*#REF!/100))</f>
        <v>#REF!</v>
      </c>
      <c r="L21" s="770"/>
      <c r="M21" s="771"/>
      <c r="N21" s="186">
        <f t="shared" si="1"/>
      </c>
      <c r="O21" s="187">
        <f t="shared" si="2"/>
      </c>
      <c r="P21" s="220"/>
      <c r="Q21" s="884">
        <f t="shared" si="3"/>
      </c>
      <c r="R21" s="221">
        <f t="shared" si="4"/>
      </c>
      <c r="S21" s="221">
        <f t="shared" si="5"/>
      </c>
      <c r="T21" s="888" t="str">
        <f t="shared" si="6"/>
        <v>--</v>
      </c>
      <c r="U21" s="889" t="str">
        <f t="shared" si="7"/>
        <v>--</v>
      </c>
      <c r="V21" s="212" t="str">
        <f t="shared" si="8"/>
        <v>--</v>
      </c>
      <c r="W21" s="213" t="str">
        <f t="shared" si="9"/>
        <v>--</v>
      </c>
      <c r="X21" s="214" t="str">
        <f t="shared" si="10"/>
        <v>--</v>
      </c>
      <c r="Y21" s="890" t="str">
        <f t="shared" si="11"/>
        <v>--</v>
      </c>
      <c r="Z21" s="891" t="str">
        <f t="shared" si="12"/>
        <v>--</v>
      </c>
      <c r="AA21" s="892" t="str">
        <f t="shared" si="13"/>
        <v>--</v>
      </c>
      <c r="AB21" s="893" t="str">
        <f t="shared" si="14"/>
        <v>--</v>
      </c>
      <c r="AC21" s="894" t="str">
        <f t="shared" si="15"/>
        <v>--</v>
      </c>
      <c r="AD21" s="885">
        <f t="shared" si="16"/>
      </c>
      <c r="AE21" s="16">
        <f t="shared" si="17"/>
      </c>
      <c r="AF21" s="777"/>
    </row>
    <row r="22" spans="2:32" s="5" customFormat="1" ht="16.5" customHeight="1">
      <c r="B22" s="50"/>
      <c r="C22" s="152"/>
      <c r="D22" s="152"/>
      <c r="E22" s="152"/>
      <c r="F22" s="778"/>
      <c r="G22" s="779"/>
      <c r="H22" s="821"/>
      <c r="I22" s="779"/>
      <c r="J22" s="768">
        <f t="shared" si="0"/>
        <v>20</v>
      </c>
      <c r="K22" s="769" t="e">
        <f>IF(G22=500,IF(H22&lt;100,100*$G$14/100,H22*$G$14/100),IF(H22&lt;100,100*#REF!/100,H22*#REF!/100))</f>
        <v>#REF!</v>
      </c>
      <c r="L22" s="780"/>
      <c r="M22" s="781"/>
      <c r="N22" s="186">
        <f t="shared" si="1"/>
      </c>
      <c r="O22" s="187">
        <f t="shared" si="2"/>
      </c>
      <c r="P22" s="220"/>
      <c r="Q22" s="884">
        <f t="shared" si="3"/>
      </c>
      <c r="R22" s="221">
        <f t="shared" si="4"/>
      </c>
      <c r="S22" s="221">
        <f t="shared" si="5"/>
      </c>
      <c r="T22" s="888" t="str">
        <f t="shared" si="6"/>
        <v>--</v>
      </c>
      <c r="U22" s="889" t="str">
        <f t="shared" si="7"/>
        <v>--</v>
      </c>
      <c r="V22" s="212" t="str">
        <f t="shared" si="8"/>
        <v>--</v>
      </c>
      <c r="W22" s="213" t="str">
        <f t="shared" si="9"/>
        <v>--</v>
      </c>
      <c r="X22" s="214" t="str">
        <f t="shared" si="10"/>
        <v>--</v>
      </c>
      <c r="Y22" s="890" t="str">
        <f t="shared" si="11"/>
        <v>--</v>
      </c>
      <c r="Z22" s="891" t="str">
        <f t="shared" si="12"/>
        <v>--</v>
      </c>
      <c r="AA22" s="892" t="str">
        <f t="shared" si="13"/>
        <v>--</v>
      </c>
      <c r="AB22" s="893" t="str">
        <f t="shared" si="14"/>
        <v>--</v>
      </c>
      <c r="AC22" s="894" t="str">
        <f t="shared" si="15"/>
        <v>--</v>
      </c>
      <c r="AD22" s="885">
        <f t="shared" si="16"/>
      </c>
      <c r="AE22" s="16">
        <f t="shared" si="17"/>
      </c>
      <c r="AF22" s="777"/>
    </row>
    <row r="23" spans="2:32" s="5" customFormat="1" ht="16.5" customHeight="1">
      <c r="B23" s="50"/>
      <c r="C23" s="274"/>
      <c r="D23" s="274"/>
      <c r="E23" s="274"/>
      <c r="F23" s="778"/>
      <c r="G23" s="779"/>
      <c r="H23" s="821"/>
      <c r="I23" s="779"/>
      <c r="J23" s="768">
        <f t="shared" si="0"/>
        <v>20</v>
      </c>
      <c r="K23" s="769" t="e">
        <f>IF(G23=500,IF(H23&lt;100,100*$G$14/100,H23*$G$14/100),IF(H23&lt;100,100*#REF!/100,H23*#REF!/100))</f>
        <v>#REF!</v>
      </c>
      <c r="L23" s="780"/>
      <c r="M23" s="781"/>
      <c r="N23" s="186">
        <f t="shared" si="1"/>
      </c>
      <c r="O23" s="187">
        <f t="shared" si="2"/>
      </c>
      <c r="P23" s="220"/>
      <c r="Q23" s="884">
        <f t="shared" si="3"/>
      </c>
      <c r="R23" s="221">
        <f t="shared" si="4"/>
      </c>
      <c r="S23" s="221">
        <f t="shared" si="5"/>
      </c>
      <c r="T23" s="888" t="str">
        <f t="shared" si="6"/>
        <v>--</v>
      </c>
      <c r="U23" s="889" t="str">
        <f t="shared" si="7"/>
        <v>--</v>
      </c>
      <c r="V23" s="212" t="str">
        <f t="shared" si="8"/>
        <v>--</v>
      </c>
      <c r="W23" s="213" t="str">
        <f t="shared" si="9"/>
        <v>--</v>
      </c>
      <c r="X23" s="214" t="str">
        <f t="shared" si="10"/>
        <v>--</v>
      </c>
      <c r="Y23" s="890" t="str">
        <f t="shared" si="11"/>
        <v>--</v>
      </c>
      <c r="Z23" s="891" t="str">
        <f t="shared" si="12"/>
        <v>--</v>
      </c>
      <c r="AA23" s="892" t="str">
        <f t="shared" si="13"/>
        <v>--</v>
      </c>
      <c r="AB23" s="893" t="str">
        <f t="shared" si="14"/>
        <v>--</v>
      </c>
      <c r="AC23" s="894" t="str">
        <f t="shared" si="15"/>
        <v>--</v>
      </c>
      <c r="AD23" s="885">
        <f t="shared" si="16"/>
      </c>
      <c r="AE23" s="16">
        <f t="shared" si="17"/>
      </c>
      <c r="AF23" s="777"/>
    </row>
    <row r="24" spans="2:32" s="5" customFormat="1" ht="16.5" customHeight="1">
      <c r="B24" s="50"/>
      <c r="C24" s="152"/>
      <c r="D24" s="152"/>
      <c r="E24" s="152"/>
      <c r="F24" s="152"/>
      <c r="G24" s="183"/>
      <c r="H24" s="820"/>
      <c r="I24" s="183"/>
      <c r="J24" s="768">
        <f t="shared" si="0"/>
        <v>20</v>
      </c>
      <c r="K24" s="769" t="e">
        <f>IF(G24=500,IF(H24&lt;100,100*$G$14/100,H24*$G$14/100),IF(H24&lt;100,100*#REF!/100,H24*#REF!/100))</f>
        <v>#REF!</v>
      </c>
      <c r="L24" s="770"/>
      <c r="M24" s="771"/>
      <c r="N24" s="186">
        <f t="shared" si="1"/>
      </c>
      <c r="O24" s="187">
        <f t="shared" si="2"/>
      </c>
      <c r="P24" s="220"/>
      <c r="Q24" s="884">
        <f t="shared" si="3"/>
      </c>
      <c r="R24" s="221">
        <f t="shared" si="4"/>
      </c>
      <c r="S24" s="221">
        <f t="shared" si="5"/>
      </c>
      <c r="T24" s="888" t="str">
        <f t="shared" si="6"/>
        <v>--</v>
      </c>
      <c r="U24" s="889" t="str">
        <f t="shared" si="7"/>
        <v>--</v>
      </c>
      <c r="V24" s="212" t="str">
        <f t="shared" si="8"/>
        <v>--</v>
      </c>
      <c r="W24" s="213" t="str">
        <f t="shared" si="9"/>
        <v>--</v>
      </c>
      <c r="X24" s="214" t="str">
        <f t="shared" si="10"/>
        <v>--</v>
      </c>
      <c r="Y24" s="890" t="str">
        <f t="shared" si="11"/>
        <v>--</v>
      </c>
      <c r="Z24" s="891" t="str">
        <f t="shared" si="12"/>
        <v>--</v>
      </c>
      <c r="AA24" s="892" t="str">
        <f t="shared" si="13"/>
        <v>--</v>
      </c>
      <c r="AB24" s="893" t="str">
        <f t="shared" si="14"/>
        <v>--</v>
      </c>
      <c r="AC24" s="894" t="str">
        <f t="shared" si="15"/>
        <v>--</v>
      </c>
      <c r="AD24" s="885">
        <f t="shared" si="16"/>
      </c>
      <c r="AE24" s="16">
        <f t="shared" si="17"/>
      </c>
      <c r="AF24" s="777"/>
    </row>
    <row r="25" spans="2:32" s="5" customFormat="1" ht="16.5" customHeight="1">
      <c r="B25" s="50"/>
      <c r="C25" s="274"/>
      <c r="D25" s="274"/>
      <c r="E25" s="274"/>
      <c r="F25" s="152"/>
      <c r="G25" s="183"/>
      <c r="H25" s="820"/>
      <c r="I25" s="183"/>
      <c r="J25" s="768">
        <f t="shared" si="0"/>
        <v>20</v>
      </c>
      <c r="K25" s="769" t="e">
        <f>IF(G25=500,IF(H25&lt;100,100*$G$14/100,H25*$G$14/100),IF(H25&lt;100,100*#REF!/100,H25*#REF!/100))</f>
        <v>#REF!</v>
      </c>
      <c r="L25" s="770"/>
      <c r="M25" s="771"/>
      <c r="N25" s="186">
        <f t="shared" si="1"/>
      </c>
      <c r="O25" s="187">
        <f t="shared" si="2"/>
      </c>
      <c r="P25" s="220"/>
      <c r="Q25" s="884">
        <f t="shared" si="3"/>
      </c>
      <c r="R25" s="221">
        <f t="shared" si="4"/>
      </c>
      <c r="S25" s="221">
        <f t="shared" si="5"/>
      </c>
      <c r="T25" s="888" t="str">
        <f t="shared" si="6"/>
        <v>--</v>
      </c>
      <c r="U25" s="889" t="str">
        <f t="shared" si="7"/>
        <v>--</v>
      </c>
      <c r="V25" s="212" t="str">
        <f t="shared" si="8"/>
        <v>--</v>
      </c>
      <c r="W25" s="213" t="str">
        <f t="shared" si="9"/>
        <v>--</v>
      </c>
      <c r="X25" s="214" t="str">
        <f t="shared" si="10"/>
        <v>--</v>
      </c>
      <c r="Y25" s="890" t="str">
        <f t="shared" si="11"/>
        <v>--</v>
      </c>
      <c r="Z25" s="891" t="str">
        <f t="shared" si="12"/>
        <v>--</v>
      </c>
      <c r="AA25" s="892" t="str">
        <f t="shared" si="13"/>
        <v>--</v>
      </c>
      <c r="AB25" s="893" t="str">
        <f t="shared" si="14"/>
        <v>--</v>
      </c>
      <c r="AC25" s="894" t="str">
        <f t="shared" si="15"/>
        <v>--</v>
      </c>
      <c r="AD25" s="885">
        <f t="shared" si="16"/>
      </c>
      <c r="AE25" s="16">
        <f t="shared" si="17"/>
      </c>
      <c r="AF25" s="777"/>
    </row>
    <row r="26" spans="2:32" s="5" customFormat="1" ht="16.5" customHeight="1">
      <c r="B26" s="50"/>
      <c r="C26" s="152"/>
      <c r="D26" s="152"/>
      <c r="E26" s="152"/>
      <c r="F26" s="146"/>
      <c r="G26" s="147"/>
      <c r="H26" s="822"/>
      <c r="I26" s="147"/>
      <c r="J26" s="768">
        <f t="shared" si="0"/>
        <v>20</v>
      </c>
      <c r="K26" s="769" t="e">
        <f>IF(G26=500,IF(H26&lt;100,100*$G$14/100,H26*$G$14/100),IF(H26&lt;100,100*#REF!/100,H26*#REF!/100))</f>
        <v>#REF!</v>
      </c>
      <c r="L26" s="184"/>
      <c r="M26" s="219"/>
      <c r="N26" s="186">
        <f t="shared" si="1"/>
      </c>
      <c r="O26" s="187">
        <f t="shared" si="2"/>
      </c>
      <c r="P26" s="220"/>
      <c r="Q26" s="884">
        <f t="shared" si="3"/>
      </c>
      <c r="R26" s="221">
        <f t="shared" si="4"/>
      </c>
      <c r="S26" s="221">
        <f t="shared" si="5"/>
      </c>
      <c r="T26" s="888" t="str">
        <f t="shared" si="6"/>
        <v>--</v>
      </c>
      <c r="U26" s="889" t="str">
        <f t="shared" si="7"/>
        <v>--</v>
      </c>
      <c r="V26" s="212" t="str">
        <f t="shared" si="8"/>
        <v>--</v>
      </c>
      <c r="W26" s="213" t="str">
        <f t="shared" si="9"/>
        <v>--</v>
      </c>
      <c r="X26" s="214" t="str">
        <f t="shared" si="10"/>
        <v>--</v>
      </c>
      <c r="Y26" s="890" t="str">
        <f t="shared" si="11"/>
        <v>--</v>
      </c>
      <c r="Z26" s="891" t="str">
        <f t="shared" si="12"/>
        <v>--</v>
      </c>
      <c r="AA26" s="892" t="str">
        <f t="shared" si="13"/>
        <v>--</v>
      </c>
      <c r="AB26" s="893" t="str">
        <f t="shared" si="14"/>
        <v>--</v>
      </c>
      <c r="AC26" s="894" t="str">
        <f t="shared" si="15"/>
        <v>--</v>
      </c>
      <c r="AD26" s="885">
        <f t="shared" si="16"/>
      </c>
      <c r="AE26" s="16">
        <f t="shared" si="17"/>
      </c>
      <c r="AF26" s="777"/>
    </row>
    <row r="27" spans="2:32" s="5" customFormat="1" ht="16.5" customHeight="1">
      <c r="B27" s="50"/>
      <c r="C27" s="274"/>
      <c r="D27" s="274"/>
      <c r="E27" s="274"/>
      <c r="F27" s="146"/>
      <c r="G27" s="147"/>
      <c r="H27" s="822"/>
      <c r="I27" s="147"/>
      <c r="J27" s="768">
        <f t="shared" si="0"/>
        <v>20</v>
      </c>
      <c r="K27" s="769" t="e">
        <f>IF(G27=500,IF(H27&lt;100,100*$G$14/100,H27*$G$14/100),IF(H27&lt;100,100*#REF!/100,H27*#REF!/100))</f>
        <v>#REF!</v>
      </c>
      <c r="L27" s="184"/>
      <c r="M27" s="219"/>
      <c r="N27" s="186">
        <f t="shared" si="1"/>
      </c>
      <c r="O27" s="187">
        <f t="shared" si="2"/>
      </c>
      <c r="P27" s="220"/>
      <c r="Q27" s="884">
        <f t="shared" si="3"/>
      </c>
      <c r="R27" s="221">
        <f t="shared" si="4"/>
      </c>
      <c r="S27" s="221">
        <f t="shared" si="5"/>
      </c>
      <c r="T27" s="888" t="str">
        <f t="shared" si="6"/>
        <v>--</v>
      </c>
      <c r="U27" s="889" t="str">
        <f t="shared" si="7"/>
        <v>--</v>
      </c>
      <c r="V27" s="212" t="str">
        <f t="shared" si="8"/>
        <v>--</v>
      </c>
      <c r="W27" s="213" t="str">
        <f t="shared" si="9"/>
        <v>--</v>
      </c>
      <c r="X27" s="214" t="str">
        <f t="shared" si="10"/>
        <v>--</v>
      </c>
      <c r="Y27" s="890" t="str">
        <f t="shared" si="11"/>
        <v>--</v>
      </c>
      <c r="Z27" s="891" t="str">
        <f t="shared" si="12"/>
        <v>--</v>
      </c>
      <c r="AA27" s="892" t="str">
        <f t="shared" si="13"/>
        <v>--</v>
      </c>
      <c r="AB27" s="893" t="str">
        <f t="shared" si="14"/>
        <v>--</v>
      </c>
      <c r="AC27" s="894" t="str">
        <f t="shared" si="15"/>
        <v>--</v>
      </c>
      <c r="AD27" s="885">
        <f t="shared" si="16"/>
      </c>
      <c r="AE27" s="16">
        <f t="shared" si="17"/>
      </c>
      <c r="AF27" s="777"/>
    </row>
    <row r="28" spans="2:32" s="5" customFormat="1" ht="16.5" customHeight="1">
      <c r="B28" s="50"/>
      <c r="C28" s="152"/>
      <c r="D28" s="152"/>
      <c r="E28" s="152"/>
      <c r="F28" s="146"/>
      <c r="G28" s="147"/>
      <c r="H28" s="822"/>
      <c r="I28" s="147"/>
      <c r="J28" s="768">
        <f t="shared" si="0"/>
        <v>20</v>
      </c>
      <c r="K28" s="769" t="e">
        <f>IF(G28=500,IF(H28&lt;100,100*$G$14/100,H28*$G$14/100),IF(H28&lt;100,100*#REF!/100,H28*#REF!/100))</f>
        <v>#REF!</v>
      </c>
      <c r="L28" s="184"/>
      <c r="M28" s="219"/>
      <c r="N28" s="186">
        <f t="shared" si="1"/>
      </c>
      <c r="O28" s="187">
        <f t="shared" si="2"/>
      </c>
      <c r="P28" s="220"/>
      <c r="Q28" s="884">
        <f t="shared" si="3"/>
      </c>
      <c r="R28" s="221">
        <f t="shared" si="4"/>
      </c>
      <c r="S28" s="221">
        <f t="shared" si="5"/>
      </c>
      <c r="T28" s="888" t="str">
        <f t="shared" si="6"/>
        <v>--</v>
      </c>
      <c r="U28" s="889" t="str">
        <f t="shared" si="7"/>
        <v>--</v>
      </c>
      <c r="V28" s="212" t="str">
        <f t="shared" si="8"/>
        <v>--</v>
      </c>
      <c r="W28" s="213" t="str">
        <f t="shared" si="9"/>
        <v>--</v>
      </c>
      <c r="X28" s="214" t="str">
        <f t="shared" si="10"/>
        <v>--</v>
      </c>
      <c r="Y28" s="890" t="str">
        <f t="shared" si="11"/>
        <v>--</v>
      </c>
      <c r="Z28" s="891" t="str">
        <f t="shared" si="12"/>
        <v>--</v>
      </c>
      <c r="AA28" s="892" t="str">
        <f t="shared" si="13"/>
        <v>--</v>
      </c>
      <c r="AB28" s="893" t="str">
        <f t="shared" si="14"/>
        <v>--</v>
      </c>
      <c r="AC28" s="894" t="str">
        <f t="shared" si="15"/>
        <v>--</v>
      </c>
      <c r="AD28" s="885">
        <f t="shared" si="16"/>
      </c>
      <c r="AE28" s="16">
        <f t="shared" si="17"/>
      </c>
      <c r="AF28" s="777"/>
    </row>
    <row r="29" spans="2:32" s="5" customFormat="1" ht="16.5" customHeight="1">
      <c r="B29" s="50"/>
      <c r="C29" s="274"/>
      <c r="D29" s="274"/>
      <c r="E29" s="274"/>
      <c r="F29" s="146"/>
      <c r="G29" s="147"/>
      <c r="H29" s="822"/>
      <c r="I29" s="147"/>
      <c r="J29" s="768">
        <f t="shared" si="0"/>
        <v>20</v>
      </c>
      <c r="K29" s="769" t="e">
        <f>IF(G29=500,IF(H29&lt;100,100*$G$14/100,H29*$G$14/100),IF(H29&lt;100,100*#REF!/100,H29*#REF!/100))</f>
        <v>#REF!</v>
      </c>
      <c r="L29" s="184"/>
      <c r="M29" s="219"/>
      <c r="N29" s="186">
        <f t="shared" si="1"/>
      </c>
      <c r="O29" s="187">
        <f t="shared" si="2"/>
      </c>
      <c r="P29" s="220"/>
      <c r="Q29" s="884">
        <f t="shared" si="3"/>
      </c>
      <c r="R29" s="221">
        <f t="shared" si="4"/>
      </c>
      <c r="S29" s="221">
        <f t="shared" si="5"/>
      </c>
      <c r="T29" s="888" t="str">
        <f t="shared" si="6"/>
        <v>--</v>
      </c>
      <c r="U29" s="889" t="str">
        <f t="shared" si="7"/>
        <v>--</v>
      </c>
      <c r="V29" s="212" t="str">
        <f t="shared" si="8"/>
        <v>--</v>
      </c>
      <c r="W29" s="213" t="str">
        <f t="shared" si="9"/>
        <v>--</v>
      </c>
      <c r="X29" s="214" t="str">
        <f t="shared" si="10"/>
        <v>--</v>
      </c>
      <c r="Y29" s="890" t="str">
        <f t="shared" si="11"/>
        <v>--</v>
      </c>
      <c r="Z29" s="891" t="str">
        <f t="shared" si="12"/>
        <v>--</v>
      </c>
      <c r="AA29" s="892" t="str">
        <f t="shared" si="13"/>
        <v>--</v>
      </c>
      <c r="AB29" s="893" t="str">
        <f t="shared" si="14"/>
        <v>--</v>
      </c>
      <c r="AC29" s="894" t="str">
        <f t="shared" si="15"/>
        <v>--</v>
      </c>
      <c r="AD29" s="885">
        <f t="shared" si="16"/>
      </c>
      <c r="AE29" s="16">
        <f t="shared" si="17"/>
      </c>
      <c r="AF29" s="777"/>
    </row>
    <row r="30" spans="2:32" s="5" customFormat="1" ht="16.5" customHeight="1">
      <c r="B30" s="50"/>
      <c r="C30" s="152"/>
      <c r="D30" s="152"/>
      <c r="E30" s="152"/>
      <c r="F30" s="146"/>
      <c r="G30" s="147"/>
      <c r="H30" s="822"/>
      <c r="I30" s="147"/>
      <c r="J30" s="768">
        <f t="shared" si="0"/>
        <v>20</v>
      </c>
      <c r="K30" s="769" t="e">
        <f>IF(G30=500,IF(H30&lt;100,100*$G$14/100,H30*$G$14/100),IF(H30&lt;100,100*#REF!/100,H30*#REF!/100))</f>
        <v>#REF!</v>
      </c>
      <c r="L30" s="184"/>
      <c r="M30" s="219"/>
      <c r="N30" s="186">
        <f t="shared" si="1"/>
      </c>
      <c r="O30" s="187">
        <f t="shared" si="2"/>
      </c>
      <c r="P30" s="220"/>
      <c r="Q30" s="884">
        <f t="shared" si="3"/>
      </c>
      <c r="R30" s="221">
        <f t="shared" si="4"/>
      </c>
      <c r="S30" s="221">
        <f t="shared" si="5"/>
      </c>
      <c r="T30" s="888" t="str">
        <f t="shared" si="6"/>
        <v>--</v>
      </c>
      <c r="U30" s="889" t="str">
        <f t="shared" si="7"/>
        <v>--</v>
      </c>
      <c r="V30" s="212" t="str">
        <f t="shared" si="8"/>
        <v>--</v>
      </c>
      <c r="W30" s="213" t="str">
        <f t="shared" si="9"/>
        <v>--</v>
      </c>
      <c r="X30" s="214" t="str">
        <f t="shared" si="10"/>
        <v>--</v>
      </c>
      <c r="Y30" s="890" t="str">
        <f t="shared" si="11"/>
        <v>--</v>
      </c>
      <c r="Z30" s="891" t="str">
        <f t="shared" si="12"/>
        <v>--</v>
      </c>
      <c r="AA30" s="892" t="str">
        <f t="shared" si="13"/>
        <v>--</v>
      </c>
      <c r="AB30" s="893" t="str">
        <f t="shared" si="14"/>
        <v>--</v>
      </c>
      <c r="AC30" s="894" t="str">
        <f t="shared" si="15"/>
        <v>--</v>
      </c>
      <c r="AD30" s="885">
        <f t="shared" si="16"/>
      </c>
      <c r="AE30" s="16">
        <f t="shared" si="17"/>
      </c>
      <c r="AF30" s="777"/>
    </row>
    <row r="31" spans="2:32" s="5" customFormat="1" ht="16.5" customHeight="1">
      <c r="B31" s="50"/>
      <c r="C31" s="274"/>
      <c r="D31" s="274"/>
      <c r="E31" s="274"/>
      <c r="F31" s="146"/>
      <c r="G31" s="147"/>
      <c r="H31" s="822"/>
      <c r="I31" s="147"/>
      <c r="J31" s="768">
        <f t="shared" si="0"/>
        <v>20</v>
      </c>
      <c r="K31" s="769" t="e">
        <f>IF(G31=500,IF(H31&lt;100,100*$G$14/100,H31*$G$14/100),IF(H31&lt;100,100*#REF!/100,H31*#REF!/100))</f>
        <v>#REF!</v>
      </c>
      <c r="L31" s="184"/>
      <c r="M31" s="185"/>
      <c r="N31" s="186">
        <f t="shared" si="1"/>
      </c>
      <c r="O31" s="187">
        <f t="shared" si="2"/>
      </c>
      <c r="P31" s="220"/>
      <c r="Q31" s="884">
        <f t="shared" si="3"/>
      </c>
      <c r="R31" s="221">
        <f t="shared" si="4"/>
      </c>
      <c r="S31" s="221">
        <f t="shared" si="5"/>
      </c>
      <c r="T31" s="888" t="str">
        <f t="shared" si="6"/>
        <v>--</v>
      </c>
      <c r="U31" s="889" t="str">
        <f t="shared" si="7"/>
        <v>--</v>
      </c>
      <c r="V31" s="212" t="str">
        <f t="shared" si="8"/>
        <v>--</v>
      </c>
      <c r="W31" s="213" t="str">
        <f t="shared" si="9"/>
        <v>--</v>
      </c>
      <c r="X31" s="214" t="str">
        <f t="shared" si="10"/>
        <v>--</v>
      </c>
      <c r="Y31" s="890" t="str">
        <f t="shared" si="11"/>
        <v>--</v>
      </c>
      <c r="Z31" s="891" t="str">
        <f t="shared" si="12"/>
        <v>--</v>
      </c>
      <c r="AA31" s="892" t="str">
        <f t="shared" si="13"/>
        <v>--</v>
      </c>
      <c r="AB31" s="893" t="str">
        <f t="shared" si="14"/>
        <v>--</v>
      </c>
      <c r="AC31" s="894" t="str">
        <f t="shared" si="15"/>
        <v>--</v>
      </c>
      <c r="AD31" s="885">
        <f t="shared" si="16"/>
      </c>
      <c r="AE31" s="16">
        <f t="shared" si="17"/>
      </c>
      <c r="AF31" s="777"/>
    </row>
    <row r="32" spans="2:32" s="5" customFormat="1" ht="16.5" customHeight="1">
      <c r="B32" s="50"/>
      <c r="C32" s="152"/>
      <c r="D32" s="152"/>
      <c r="E32" s="152"/>
      <c r="F32" s="146"/>
      <c r="G32" s="147"/>
      <c r="H32" s="822"/>
      <c r="I32" s="147"/>
      <c r="J32" s="768">
        <f t="shared" si="0"/>
        <v>20</v>
      </c>
      <c r="K32" s="769" t="e">
        <f>IF(G32=500,IF(H32&lt;100,100*$G$14/100,H32*$G$14/100),IF(H32&lt;100,100*#REF!/100,H32*#REF!/100))</f>
        <v>#REF!</v>
      </c>
      <c r="L32" s="184"/>
      <c r="M32" s="185"/>
      <c r="N32" s="186">
        <f t="shared" si="1"/>
      </c>
      <c r="O32" s="187">
        <f t="shared" si="2"/>
      </c>
      <c r="P32" s="220"/>
      <c r="Q32" s="884">
        <f t="shared" si="3"/>
      </c>
      <c r="R32" s="221">
        <f t="shared" si="4"/>
      </c>
      <c r="S32" s="221">
        <f t="shared" si="5"/>
      </c>
      <c r="T32" s="888" t="str">
        <f t="shared" si="6"/>
        <v>--</v>
      </c>
      <c r="U32" s="889" t="str">
        <f t="shared" si="7"/>
        <v>--</v>
      </c>
      <c r="V32" s="212" t="str">
        <f t="shared" si="8"/>
        <v>--</v>
      </c>
      <c r="W32" s="213" t="str">
        <f t="shared" si="9"/>
        <v>--</v>
      </c>
      <c r="X32" s="214" t="str">
        <f t="shared" si="10"/>
        <v>--</v>
      </c>
      <c r="Y32" s="890" t="str">
        <f t="shared" si="11"/>
        <v>--</v>
      </c>
      <c r="Z32" s="891" t="str">
        <f t="shared" si="12"/>
        <v>--</v>
      </c>
      <c r="AA32" s="892" t="str">
        <f t="shared" si="13"/>
        <v>--</v>
      </c>
      <c r="AB32" s="893" t="str">
        <f t="shared" si="14"/>
        <v>--</v>
      </c>
      <c r="AC32" s="894" t="str">
        <f t="shared" si="15"/>
        <v>--</v>
      </c>
      <c r="AD32" s="885">
        <f t="shared" si="16"/>
      </c>
      <c r="AE32" s="16">
        <f t="shared" si="17"/>
      </c>
      <c r="AF32" s="777"/>
    </row>
    <row r="33" spans="2:32" s="5" customFormat="1" ht="16.5" customHeight="1">
      <c r="B33" s="50"/>
      <c r="C33" s="274"/>
      <c r="D33" s="274"/>
      <c r="E33" s="274"/>
      <c r="F33" s="146"/>
      <c r="G33" s="147"/>
      <c r="H33" s="822"/>
      <c r="I33" s="147"/>
      <c r="J33" s="768">
        <f t="shared" si="0"/>
        <v>20</v>
      </c>
      <c r="K33" s="769" t="e">
        <f>IF(G33=500,IF(H33&lt;100,100*$G$14/100,H33*$G$14/100),IF(H33&lt;100,100*#REF!/100,H33*#REF!/100))</f>
        <v>#REF!</v>
      </c>
      <c r="L33" s="184"/>
      <c r="M33" s="185"/>
      <c r="N33" s="186">
        <f t="shared" si="1"/>
      </c>
      <c r="O33" s="187">
        <f t="shared" si="2"/>
      </c>
      <c r="P33" s="220"/>
      <c r="Q33" s="884">
        <f t="shared" si="3"/>
      </c>
      <c r="R33" s="221">
        <f t="shared" si="4"/>
      </c>
      <c r="S33" s="221">
        <f t="shared" si="5"/>
      </c>
      <c r="T33" s="888" t="str">
        <f t="shared" si="6"/>
        <v>--</v>
      </c>
      <c r="U33" s="889" t="str">
        <f t="shared" si="7"/>
        <v>--</v>
      </c>
      <c r="V33" s="212" t="str">
        <f t="shared" si="8"/>
        <v>--</v>
      </c>
      <c r="W33" s="213" t="str">
        <f t="shared" si="9"/>
        <v>--</v>
      </c>
      <c r="X33" s="214" t="str">
        <f t="shared" si="10"/>
        <v>--</v>
      </c>
      <c r="Y33" s="890" t="str">
        <f t="shared" si="11"/>
        <v>--</v>
      </c>
      <c r="Z33" s="891" t="str">
        <f t="shared" si="12"/>
        <v>--</v>
      </c>
      <c r="AA33" s="892" t="str">
        <f t="shared" si="13"/>
        <v>--</v>
      </c>
      <c r="AB33" s="893" t="str">
        <f t="shared" si="14"/>
        <v>--</v>
      </c>
      <c r="AC33" s="894" t="str">
        <f t="shared" si="15"/>
        <v>--</v>
      </c>
      <c r="AD33" s="885">
        <f t="shared" si="16"/>
      </c>
      <c r="AE33" s="16">
        <f t="shared" si="17"/>
      </c>
      <c r="AF33" s="777"/>
    </row>
    <row r="34" spans="2:32" s="5" customFormat="1" ht="16.5" customHeight="1">
      <c r="B34" s="50"/>
      <c r="C34" s="152"/>
      <c r="D34" s="152"/>
      <c r="E34" s="152"/>
      <c r="F34" s="146"/>
      <c r="G34" s="147"/>
      <c r="H34" s="822"/>
      <c r="I34" s="147"/>
      <c r="J34" s="768">
        <f t="shared" si="0"/>
        <v>20</v>
      </c>
      <c r="K34" s="769" t="e">
        <f>IF(G34=500,IF(H34&lt;100,100*$G$14/100,H34*$G$14/100),IF(H34&lt;100,100*#REF!/100,H34*#REF!/100))</f>
        <v>#REF!</v>
      </c>
      <c r="L34" s="184"/>
      <c r="M34" s="185"/>
      <c r="N34" s="186">
        <f t="shared" si="1"/>
      </c>
      <c r="O34" s="187">
        <f t="shared" si="2"/>
      </c>
      <c r="P34" s="220"/>
      <c r="Q34" s="884">
        <f t="shared" si="3"/>
      </c>
      <c r="R34" s="221">
        <f t="shared" si="4"/>
      </c>
      <c r="S34" s="221">
        <f t="shared" si="5"/>
      </c>
      <c r="T34" s="888" t="str">
        <f t="shared" si="6"/>
        <v>--</v>
      </c>
      <c r="U34" s="889" t="str">
        <f t="shared" si="7"/>
        <v>--</v>
      </c>
      <c r="V34" s="212" t="str">
        <f t="shared" si="8"/>
        <v>--</v>
      </c>
      <c r="W34" s="213" t="str">
        <f t="shared" si="9"/>
        <v>--</v>
      </c>
      <c r="X34" s="214" t="str">
        <f t="shared" si="10"/>
        <v>--</v>
      </c>
      <c r="Y34" s="890" t="str">
        <f t="shared" si="11"/>
        <v>--</v>
      </c>
      <c r="Z34" s="891" t="str">
        <f t="shared" si="12"/>
        <v>--</v>
      </c>
      <c r="AA34" s="892" t="str">
        <f t="shared" si="13"/>
        <v>--</v>
      </c>
      <c r="AB34" s="893" t="str">
        <f t="shared" si="14"/>
        <v>--</v>
      </c>
      <c r="AC34" s="894" t="str">
        <f t="shared" si="15"/>
        <v>--</v>
      </c>
      <c r="AD34" s="885">
        <f t="shared" si="16"/>
      </c>
      <c r="AE34" s="16">
        <f t="shared" si="17"/>
      </c>
      <c r="AF34" s="777"/>
    </row>
    <row r="35" spans="2:32" s="5" customFormat="1" ht="16.5" customHeight="1">
      <c r="B35" s="50"/>
      <c r="C35" s="274"/>
      <c r="D35" s="274"/>
      <c r="E35" s="274"/>
      <c r="F35" s="146"/>
      <c r="G35" s="147"/>
      <c r="H35" s="822"/>
      <c r="I35" s="147"/>
      <c r="J35" s="768">
        <f t="shared" si="0"/>
        <v>20</v>
      </c>
      <c r="K35" s="769" t="e">
        <f>IF(G35=500,IF(H35&lt;100,100*$G$14/100,H35*$G$14/100),IF(H35&lt;100,100*#REF!/100,H35*#REF!/100))</f>
        <v>#REF!</v>
      </c>
      <c r="L35" s="184"/>
      <c r="M35" s="185"/>
      <c r="N35" s="186">
        <f t="shared" si="1"/>
      </c>
      <c r="O35" s="187">
        <f t="shared" si="2"/>
      </c>
      <c r="P35" s="220"/>
      <c r="Q35" s="884">
        <f t="shared" si="3"/>
      </c>
      <c r="R35" s="221">
        <f t="shared" si="4"/>
      </c>
      <c r="S35" s="221">
        <f t="shared" si="5"/>
      </c>
      <c r="T35" s="888" t="str">
        <f t="shared" si="6"/>
        <v>--</v>
      </c>
      <c r="U35" s="889" t="str">
        <f t="shared" si="7"/>
        <v>--</v>
      </c>
      <c r="V35" s="212" t="str">
        <f t="shared" si="8"/>
        <v>--</v>
      </c>
      <c r="W35" s="213" t="str">
        <f t="shared" si="9"/>
        <v>--</v>
      </c>
      <c r="X35" s="214" t="str">
        <f t="shared" si="10"/>
        <v>--</v>
      </c>
      <c r="Y35" s="890" t="str">
        <f t="shared" si="11"/>
        <v>--</v>
      </c>
      <c r="Z35" s="891" t="str">
        <f t="shared" si="12"/>
        <v>--</v>
      </c>
      <c r="AA35" s="892" t="str">
        <f t="shared" si="13"/>
        <v>--</v>
      </c>
      <c r="AB35" s="893" t="str">
        <f t="shared" si="14"/>
        <v>--</v>
      </c>
      <c r="AC35" s="894" t="str">
        <f t="shared" si="15"/>
        <v>--</v>
      </c>
      <c r="AD35" s="885">
        <f t="shared" si="16"/>
      </c>
      <c r="AE35" s="16">
        <f t="shared" si="17"/>
      </c>
      <c r="AF35" s="777"/>
    </row>
    <row r="36" spans="2:32" s="5" customFormat="1" ht="16.5" customHeight="1">
      <c r="B36" s="50"/>
      <c r="C36" s="152"/>
      <c r="D36" s="152"/>
      <c r="E36" s="152"/>
      <c r="F36" s="146"/>
      <c r="G36" s="147"/>
      <c r="H36" s="822"/>
      <c r="I36" s="147"/>
      <c r="J36" s="768">
        <f t="shared" si="0"/>
        <v>20</v>
      </c>
      <c r="K36" s="769" t="e">
        <f>IF(G36=500,IF(H36&lt;100,100*$G$14/100,H36*$G$14/100),IF(H36&lt;100,100*#REF!/100,H36*#REF!/100))</f>
        <v>#REF!</v>
      </c>
      <c r="L36" s="184"/>
      <c r="M36" s="185"/>
      <c r="N36" s="186">
        <f t="shared" si="1"/>
      </c>
      <c r="O36" s="187">
        <f t="shared" si="2"/>
      </c>
      <c r="P36" s="220"/>
      <c r="Q36" s="884">
        <f t="shared" si="3"/>
      </c>
      <c r="R36" s="221">
        <f t="shared" si="4"/>
      </c>
      <c r="S36" s="221">
        <f t="shared" si="5"/>
      </c>
      <c r="T36" s="888" t="str">
        <f t="shared" si="6"/>
        <v>--</v>
      </c>
      <c r="U36" s="889" t="str">
        <f t="shared" si="7"/>
        <v>--</v>
      </c>
      <c r="V36" s="212" t="str">
        <f t="shared" si="8"/>
        <v>--</v>
      </c>
      <c r="W36" s="213" t="str">
        <f t="shared" si="9"/>
        <v>--</v>
      </c>
      <c r="X36" s="214" t="str">
        <f t="shared" si="10"/>
        <v>--</v>
      </c>
      <c r="Y36" s="890" t="str">
        <f t="shared" si="11"/>
        <v>--</v>
      </c>
      <c r="Z36" s="891" t="str">
        <f t="shared" si="12"/>
        <v>--</v>
      </c>
      <c r="AA36" s="892" t="str">
        <f t="shared" si="13"/>
        <v>--</v>
      </c>
      <c r="AB36" s="893" t="str">
        <f t="shared" si="14"/>
        <v>--</v>
      </c>
      <c r="AC36" s="894" t="str">
        <f t="shared" si="15"/>
        <v>--</v>
      </c>
      <c r="AD36" s="885">
        <f t="shared" si="16"/>
      </c>
      <c r="AE36" s="16">
        <f t="shared" si="17"/>
      </c>
      <c r="AF36" s="777"/>
    </row>
    <row r="37" spans="2:32" s="5" customFormat="1" ht="16.5" customHeight="1">
      <c r="B37" s="50"/>
      <c r="C37" s="274"/>
      <c r="D37" s="274"/>
      <c r="E37" s="274"/>
      <c r="F37" s="146"/>
      <c r="G37" s="147"/>
      <c r="H37" s="822"/>
      <c r="I37" s="147"/>
      <c r="J37" s="768">
        <f t="shared" si="0"/>
        <v>20</v>
      </c>
      <c r="K37" s="769" t="e">
        <f>IF(G37=500,IF(H37&lt;100,100*$G$14/100,H37*$G$14/100),IF(H37&lt;100,100*#REF!/100,H37*#REF!/100))</f>
        <v>#REF!</v>
      </c>
      <c r="L37" s="184"/>
      <c r="M37" s="185"/>
      <c r="N37" s="186">
        <f t="shared" si="1"/>
      </c>
      <c r="O37" s="187">
        <f t="shared" si="2"/>
      </c>
      <c r="P37" s="220"/>
      <c r="Q37" s="884">
        <f t="shared" si="3"/>
      </c>
      <c r="R37" s="221">
        <f t="shared" si="4"/>
      </c>
      <c r="S37" s="221">
        <f t="shared" si="5"/>
      </c>
      <c r="T37" s="888" t="str">
        <f t="shared" si="6"/>
        <v>--</v>
      </c>
      <c r="U37" s="889" t="str">
        <f t="shared" si="7"/>
        <v>--</v>
      </c>
      <c r="V37" s="212" t="str">
        <f t="shared" si="8"/>
        <v>--</v>
      </c>
      <c r="W37" s="213" t="str">
        <f t="shared" si="9"/>
        <v>--</v>
      </c>
      <c r="X37" s="214" t="str">
        <f t="shared" si="10"/>
        <v>--</v>
      </c>
      <c r="Y37" s="890" t="str">
        <f t="shared" si="11"/>
        <v>--</v>
      </c>
      <c r="Z37" s="891" t="str">
        <f t="shared" si="12"/>
        <v>--</v>
      </c>
      <c r="AA37" s="892" t="str">
        <f t="shared" si="13"/>
        <v>--</v>
      </c>
      <c r="AB37" s="893" t="str">
        <f t="shared" si="14"/>
        <v>--</v>
      </c>
      <c r="AC37" s="894" t="str">
        <f t="shared" si="15"/>
        <v>--</v>
      </c>
      <c r="AD37" s="885">
        <f t="shared" si="16"/>
      </c>
      <c r="AE37" s="16">
        <f t="shared" si="17"/>
      </c>
      <c r="AF37" s="777"/>
    </row>
    <row r="38" spans="2:32" s="5" customFormat="1" ht="16.5" customHeight="1">
      <c r="B38" s="50"/>
      <c r="C38" s="152"/>
      <c r="D38" s="152"/>
      <c r="E38" s="152"/>
      <c r="F38" s="146"/>
      <c r="G38" s="147"/>
      <c r="H38" s="822"/>
      <c r="I38" s="147"/>
      <c r="J38" s="768">
        <f t="shared" si="0"/>
        <v>20</v>
      </c>
      <c r="K38" s="769" t="e">
        <f>IF(G38=500,IF(H38&lt;100,100*$G$14/100,H38*$G$14/100),IF(H38&lt;100,100*#REF!/100,H38*#REF!/100))</f>
        <v>#REF!</v>
      </c>
      <c r="L38" s="184"/>
      <c r="M38" s="185"/>
      <c r="N38" s="186">
        <f t="shared" si="1"/>
      </c>
      <c r="O38" s="187">
        <f t="shared" si="2"/>
      </c>
      <c r="P38" s="220"/>
      <c r="Q38" s="884">
        <f t="shared" si="3"/>
      </c>
      <c r="R38" s="221">
        <f t="shared" si="4"/>
      </c>
      <c r="S38" s="221">
        <f t="shared" si="5"/>
      </c>
      <c r="T38" s="888" t="str">
        <f t="shared" si="6"/>
        <v>--</v>
      </c>
      <c r="U38" s="889" t="str">
        <f t="shared" si="7"/>
        <v>--</v>
      </c>
      <c r="V38" s="212" t="str">
        <f t="shared" si="8"/>
        <v>--</v>
      </c>
      <c r="W38" s="213" t="str">
        <f t="shared" si="9"/>
        <v>--</v>
      </c>
      <c r="X38" s="214" t="str">
        <f t="shared" si="10"/>
        <v>--</v>
      </c>
      <c r="Y38" s="890" t="str">
        <f t="shared" si="11"/>
        <v>--</v>
      </c>
      <c r="Z38" s="891" t="str">
        <f t="shared" si="12"/>
        <v>--</v>
      </c>
      <c r="AA38" s="892" t="str">
        <f t="shared" si="13"/>
        <v>--</v>
      </c>
      <c r="AB38" s="893" t="str">
        <f t="shared" si="14"/>
        <v>--</v>
      </c>
      <c r="AC38" s="894" t="str">
        <f t="shared" si="15"/>
        <v>--</v>
      </c>
      <c r="AD38" s="885">
        <f t="shared" si="16"/>
      </c>
      <c r="AE38" s="16">
        <f t="shared" si="17"/>
      </c>
      <c r="AF38" s="777"/>
    </row>
    <row r="39" spans="2:32" s="5" customFormat="1" ht="16.5" customHeight="1">
      <c r="B39" s="50"/>
      <c r="C39" s="274"/>
      <c r="D39" s="274"/>
      <c r="E39" s="274"/>
      <c r="F39" s="146"/>
      <c r="G39" s="147"/>
      <c r="H39" s="822"/>
      <c r="I39" s="147"/>
      <c r="J39" s="768">
        <f t="shared" si="0"/>
        <v>20</v>
      </c>
      <c r="K39" s="769" t="e">
        <f>IF(G39=500,IF(H39&lt;100,100*$G$14/100,H39*$G$14/100),IF(H39&lt;100,100*#REF!/100,H39*#REF!/100))</f>
        <v>#REF!</v>
      </c>
      <c r="L39" s="184"/>
      <c r="M39" s="185"/>
      <c r="N39" s="186">
        <f t="shared" si="1"/>
      </c>
      <c r="O39" s="187">
        <f t="shared" si="2"/>
      </c>
      <c r="P39" s="220"/>
      <c r="Q39" s="884">
        <f t="shared" si="3"/>
      </c>
      <c r="R39" s="221">
        <f t="shared" si="4"/>
      </c>
      <c r="S39" s="221">
        <f t="shared" si="5"/>
      </c>
      <c r="T39" s="888" t="str">
        <f t="shared" si="6"/>
        <v>--</v>
      </c>
      <c r="U39" s="889" t="str">
        <f t="shared" si="7"/>
        <v>--</v>
      </c>
      <c r="V39" s="212" t="str">
        <f t="shared" si="8"/>
        <v>--</v>
      </c>
      <c r="W39" s="213" t="str">
        <f t="shared" si="9"/>
        <v>--</v>
      </c>
      <c r="X39" s="214" t="str">
        <f t="shared" si="10"/>
        <v>--</v>
      </c>
      <c r="Y39" s="890" t="str">
        <f t="shared" si="11"/>
        <v>--</v>
      </c>
      <c r="Z39" s="891" t="str">
        <f t="shared" si="12"/>
        <v>--</v>
      </c>
      <c r="AA39" s="892" t="str">
        <f t="shared" si="13"/>
        <v>--</v>
      </c>
      <c r="AB39" s="893" t="str">
        <f t="shared" si="14"/>
        <v>--</v>
      </c>
      <c r="AC39" s="894" t="str">
        <f t="shared" si="15"/>
        <v>--</v>
      </c>
      <c r="AD39" s="885">
        <f t="shared" si="16"/>
      </c>
      <c r="AE39" s="16">
        <f t="shared" si="17"/>
      </c>
      <c r="AF39" s="777"/>
    </row>
    <row r="40" spans="2:32" s="5" customFormat="1" ht="16.5" customHeight="1" thickBot="1">
      <c r="B40" s="50"/>
      <c r="C40" s="152"/>
      <c r="D40" s="883"/>
      <c r="E40" s="152"/>
      <c r="F40" s="149"/>
      <c r="G40" s="228"/>
      <c r="H40" s="816"/>
      <c r="I40" s="229"/>
      <c r="J40" s="782"/>
      <c r="K40" s="783"/>
      <c r="L40" s="814"/>
      <c r="M40" s="814"/>
      <c r="N40" s="9"/>
      <c r="O40" s="9"/>
      <c r="P40" s="151"/>
      <c r="Q40" s="189"/>
      <c r="R40" s="151"/>
      <c r="S40" s="151"/>
      <c r="T40" s="784"/>
      <c r="U40" s="785"/>
      <c r="V40" s="230"/>
      <c r="W40" s="231"/>
      <c r="X40" s="232"/>
      <c r="Y40" s="786"/>
      <c r="Z40" s="787"/>
      <c r="AA40" s="788"/>
      <c r="AB40" s="233"/>
      <c r="AC40" s="234"/>
      <c r="AD40" s="789"/>
      <c r="AE40" s="235"/>
      <c r="AF40" s="777"/>
    </row>
    <row r="41" spans="2:32" s="5" customFormat="1" ht="16.5" customHeight="1" thickBot="1" thickTop="1">
      <c r="B41" s="50"/>
      <c r="C41" s="127" t="s">
        <v>24</v>
      </c>
      <c r="D41" s="73"/>
      <c r="E41" s="127"/>
      <c r="F41" s="128"/>
      <c r="G41" s="236"/>
      <c r="H41" s="201"/>
      <c r="I41" s="237"/>
      <c r="J41" s="201"/>
      <c r="K41" s="190"/>
      <c r="L41" s="190"/>
      <c r="M41" s="190"/>
      <c r="N41" s="190"/>
      <c r="O41" s="190"/>
      <c r="P41" s="190"/>
      <c r="Q41" s="238"/>
      <c r="R41" s="190"/>
      <c r="S41" s="190"/>
      <c r="T41" s="790">
        <f aca="true" t="shared" si="18" ref="T41:AC41">SUM(T18:T40)</f>
        <v>275.65307161938</v>
      </c>
      <c r="U41" s="791">
        <f t="shared" si="18"/>
        <v>0</v>
      </c>
      <c r="V41" s="792">
        <f t="shared" si="18"/>
        <v>0</v>
      </c>
      <c r="W41" s="792">
        <f t="shared" si="18"/>
        <v>0</v>
      </c>
      <c r="X41" s="792">
        <f t="shared" si="18"/>
        <v>0</v>
      </c>
      <c r="Y41" s="793">
        <f t="shared" si="18"/>
        <v>0</v>
      </c>
      <c r="Z41" s="793">
        <f t="shared" si="18"/>
        <v>0</v>
      </c>
      <c r="AA41" s="793">
        <f t="shared" si="18"/>
        <v>0</v>
      </c>
      <c r="AB41" s="239">
        <f t="shared" si="18"/>
        <v>0</v>
      </c>
      <c r="AC41" s="240">
        <f t="shared" si="18"/>
        <v>0</v>
      </c>
      <c r="AD41" s="241"/>
      <c r="AE41" s="242">
        <f>ROUND(SUM(AE18:AE40),2)</f>
        <v>275.65</v>
      </c>
      <c r="AF41" s="777"/>
    </row>
    <row r="42" spans="2:32" s="5" customFormat="1" ht="16.5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6.5" customHeight="1" thickTop="1">
      <c r="B43" s="1"/>
      <c r="C43" s="1"/>
      <c r="D43" s="1"/>
      <c r="AF43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Roman,Normal"&amp;7&amp;F-&amp;A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6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3" t="str">
        <f>+'TOT-0211'!B2</f>
        <v>ANEXO III al Memorándum D.T.E.E. N°  1088 /2012</v>
      </c>
      <c r="C2" s="243"/>
      <c r="D2" s="243"/>
      <c r="E2" s="243"/>
      <c r="F2" s="243"/>
      <c r="G2" s="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4" t="s">
        <v>75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4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5" t="s">
        <v>69</v>
      </c>
      <c r="G8" s="105"/>
      <c r="H8" s="105"/>
      <c r="I8" s="246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7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46" customFormat="1" ht="30" customHeight="1">
      <c r="A10" s="840"/>
      <c r="B10" s="841"/>
      <c r="C10" s="844"/>
      <c r="D10" s="844"/>
      <c r="E10" s="840"/>
      <c r="F10" s="842" t="s">
        <v>213</v>
      </c>
      <c r="G10" s="840"/>
      <c r="H10" s="843"/>
      <c r="I10" s="844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5"/>
    </row>
    <row r="11" spans="1:30" s="851" customFormat="1" ht="9.75" customHeight="1">
      <c r="A11" s="847"/>
      <c r="B11" s="848"/>
      <c r="C11" s="849"/>
      <c r="D11" s="849"/>
      <c r="E11" s="847"/>
      <c r="G11" s="849"/>
      <c r="H11" s="849"/>
      <c r="I11" s="849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50"/>
    </row>
    <row r="12" spans="1:30" s="851" customFormat="1" ht="21" customHeight="1">
      <c r="A12" s="840"/>
      <c r="B12" s="841"/>
      <c r="C12" s="844"/>
      <c r="D12" s="844"/>
      <c r="E12" s="840"/>
      <c r="F12" s="852" t="s">
        <v>214</v>
      </c>
      <c r="G12" s="840"/>
      <c r="H12" s="840"/>
      <c r="I12" s="840"/>
      <c r="J12" s="853"/>
      <c r="K12" s="853"/>
      <c r="L12" s="853"/>
      <c r="M12" s="853"/>
      <c r="N12" s="853"/>
      <c r="O12" s="847"/>
      <c r="P12" s="847"/>
      <c r="Q12" s="847"/>
      <c r="R12" s="847"/>
      <c r="S12" s="847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50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'TOT-0211'!B14</f>
        <v>Desde el 01 al 28 de febrero de 2011</v>
      </c>
      <c r="C14" s="40"/>
      <c r="D14" s="40"/>
      <c r="E14" s="248"/>
      <c r="F14" s="112"/>
      <c r="G14" s="112"/>
      <c r="H14" s="112"/>
      <c r="I14" s="112"/>
      <c r="J14" s="112"/>
      <c r="K14" s="112"/>
      <c r="L14" s="112"/>
      <c r="M14" s="112"/>
      <c r="N14" s="112"/>
      <c r="O14" s="248"/>
      <c r="P14" s="248"/>
      <c r="Q14" s="248"/>
      <c r="R14" s="248"/>
      <c r="S14" s="248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49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50" t="s">
        <v>76</v>
      </c>
      <c r="G16" s="251"/>
      <c r="H16" s="252">
        <v>0.56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25</v>
      </c>
      <c r="G17" s="111"/>
      <c r="H17" s="825">
        <v>200</v>
      </c>
      <c r="I17"/>
      <c r="J17" s="15"/>
      <c r="K17" s="199"/>
      <c r="L17" s="200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28">
        <v>3</v>
      </c>
      <c r="D18" s="928">
        <v>4</v>
      </c>
      <c r="E18" s="928">
        <v>5</v>
      </c>
      <c r="F18" s="928">
        <v>6</v>
      </c>
      <c r="G18" s="928">
        <v>7</v>
      </c>
      <c r="H18" s="928">
        <v>8</v>
      </c>
      <c r="I18" s="928">
        <v>9</v>
      </c>
      <c r="J18" s="928">
        <v>10</v>
      </c>
      <c r="K18" s="928">
        <v>11</v>
      </c>
      <c r="L18" s="928">
        <v>12</v>
      </c>
      <c r="M18" s="928">
        <v>13</v>
      </c>
      <c r="N18" s="928">
        <v>14</v>
      </c>
      <c r="O18" s="928">
        <v>15</v>
      </c>
      <c r="P18" s="928">
        <v>16</v>
      </c>
      <c r="Q18" s="928">
        <v>17</v>
      </c>
      <c r="R18" s="928">
        <v>18</v>
      </c>
      <c r="S18" s="928">
        <v>19</v>
      </c>
      <c r="T18" s="928">
        <v>20</v>
      </c>
      <c r="U18" s="928">
        <v>21</v>
      </c>
      <c r="V18" s="928">
        <v>22</v>
      </c>
      <c r="W18" s="928">
        <v>23</v>
      </c>
      <c r="X18" s="928">
        <v>24</v>
      </c>
      <c r="Y18" s="928">
        <v>25</v>
      </c>
      <c r="Z18" s="928">
        <v>26</v>
      </c>
      <c r="AA18" s="928">
        <v>27</v>
      </c>
      <c r="AB18" s="928">
        <v>28</v>
      </c>
      <c r="AC18" s="928">
        <v>29</v>
      </c>
      <c r="AD18" s="17"/>
    </row>
    <row r="19" spans="1:30" s="5" customFormat="1" ht="33.75" customHeight="1" thickBot="1" thickTop="1">
      <c r="A19" s="90"/>
      <c r="B19" s="95"/>
      <c r="C19" s="123" t="s">
        <v>12</v>
      </c>
      <c r="D19" s="84" t="s">
        <v>225</v>
      </c>
      <c r="E19" s="84" t="s">
        <v>226</v>
      </c>
      <c r="F19" s="119" t="s">
        <v>26</v>
      </c>
      <c r="G19" s="118" t="s">
        <v>27</v>
      </c>
      <c r="H19" s="120" t="s">
        <v>28</v>
      </c>
      <c r="I19" s="121" t="s">
        <v>13</v>
      </c>
      <c r="J19" s="129" t="s">
        <v>15</v>
      </c>
      <c r="K19" s="118" t="s">
        <v>16</v>
      </c>
      <c r="L19" s="118" t="s">
        <v>17</v>
      </c>
      <c r="M19" s="119" t="s">
        <v>29</v>
      </c>
      <c r="N19" s="119" t="s">
        <v>30</v>
      </c>
      <c r="O19" s="88" t="s">
        <v>18</v>
      </c>
      <c r="P19" s="88" t="s">
        <v>57</v>
      </c>
      <c r="Q19" s="122" t="s">
        <v>31</v>
      </c>
      <c r="R19" s="118" t="s">
        <v>32</v>
      </c>
      <c r="S19" s="253" t="s">
        <v>36</v>
      </c>
      <c r="T19" s="254" t="s">
        <v>19</v>
      </c>
      <c r="U19" s="255" t="s">
        <v>20</v>
      </c>
      <c r="V19" s="205" t="s">
        <v>77</v>
      </c>
      <c r="W19" s="207"/>
      <c r="X19" s="256" t="s">
        <v>78</v>
      </c>
      <c r="Y19" s="257"/>
      <c r="Z19" s="258" t="s">
        <v>21</v>
      </c>
      <c r="AA19" s="259" t="s">
        <v>73</v>
      </c>
      <c r="AB19" s="132" t="s">
        <v>74</v>
      </c>
      <c r="AC19" s="121" t="s">
        <v>23</v>
      </c>
      <c r="AD19" s="17"/>
    </row>
    <row r="20" spans="1:30" s="5" customFormat="1" ht="16.5" customHeight="1" thickTop="1">
      <c r="A20" s="90"/>
      <c r="B20" s="95"/>
      <c r="C20" s="260"/>
      <c r="D20" s="260"/>
      <c r="E20" s="260"/>
      <c r="F20" s="260"/>
      <c r="G20" s="260"/>
      <c r="H20" s="260"/>
      <c r="I20" s="261"/>
      <c r="J20" s="262"/>
      <c r="K20" s="260"/>
      <c r="L20" s="260"/>
      <c r="M20" s="260"/>
      <c r="N20" s="260"/>
      <c r="O20" s="260"/>
      <c r="P20" s="178"/>
      <c r="Q20" s="263"/>
      <c r="R20" s="260"/>
      <c r="S20" s="264"/>
      <c r="T20" s="265"/>
      <c r="U20" s="266"/>
      <c r="V20" s="267"/>
      <c r="W20" s="268"/>
      <c r="X20" s="269"/>
      <c r="Y20" s="270"/>
      <c r="Z20" s="271"/>
      <c r="AA20" s="272"/>
      <c r="AB20" s="263"/>
      <c r="AC20" s="273"/>
      <c r="AD20" s="17"/>
    </row>
    <row r="21" spans="1:30" s="5" customFormat="1" ht="16.5" customHeight="1">
      <c r="A21" s="90"/>
      <c r="B21" s="95"/>
      <c r="C21" s="274"/>
      <c r="D21" s="274"/>
      <c r="E21" s="274"/>
      <c r="F21" s="274"/>
      <c r="G21" s="274"/>
      <c r="H21" s="274"/>
      <c r="I21" s="275"/>
      <c r="J21" s="276"/>
      <c r="K21" s="274"/>
      <c r="L21" s="274"/>
      <c r="M21" s="274"/>
      <c r="N21" s="274"/>
      <c r="O21" s="274"/>
      <c r="P21" s="181"/>
      <c r="Q21" s="277"/>
      <c r="R21" s="274"/>
      <c r="S21" s="278"/>
      <c r="T21" s="279"/>
      <c r="U21" s="280"/>
      <c r="V21" s="281"/>
      <c r="W21" s="282"/>
      <c r="X21" s="283"/>
      <c r="Y21" s="284"/>
      <c r="Z21" s="285"/>
      <c r="AA21" s="286"/>
      <c r="AB21" s="277"/>
      <c r="AC21" s="287"/>
      <c r="AD21" s="17"/>
    </row>
    <row r="22" spans="1:30" s="5" customFormat="1" ht="16.5" customHeight="1">
      <c r="A22" s="90"/>
      <c r="B22" s="95"/>
      <c r="C22" s="152">
        <v>10</v>
      </c>
      <c r="D22" s="152">
        <v>231083</v>
      </c>
      <c r="E22" s="152">
        <v>63</v>
      </c>
      <c r="F22" s="148" t="s">
        <v>342</v>
      </c>
      <c r="G22" s="288" t="s">
        <v>343</v>
      </c>
      <c r="H22" s="289">
        <v>200</v>
      </c>
      <c r="I22" s="940" t="s">
        <v>344</v>
      </c>
      <c r="J22" s="291">
        <f aca="true" t="shared" si="0" ref="J22:J41">H22*$H$16</f>
        <v>112.00000000000001</v>
      </c>
      <c r="K22" s="153">
        <v>40580.34027777778</v>
      </c>
      <c r="L22" s="153">
        <v>40580.40625</v>
      </c>
      <c r="M22" s="292">
        <f aca="true" t="shared" si="1" ref="M22:M41">IF(F22="","",(L22-K22)*24)</f>
        <v>1.5833333332557231</v>
      </c>
      <c r="N22" s="14">
        <f aca="true" t="shared" si="2" ref="N22:N41">IF(F22="","",ROUND((L22-K22)*24*60,0))</f>
        <v>95</v>
      </c>
      <c r="O22" s="154" t="s">
        <v>286</v>
      </c>
      <c r="P22" s="516" t="str">
        <f aca="true" t="shared" si="3" ref="P22:P41">IF(F22="","","--")</f>
        <v>--</v>
      </c>
      <c r="Q22" s="8" t="str">
        <f aca="true" t="shared" si="4" ref="Q22:Q41">IF(F22="","",IF(OR(O22="P",O22="RP"),"--","NO"))</f>
        <v>--</v>
      </c>
      <c r="R22" s="221" t="str">
        <f aca="true" t="shared" si="5" ref="R22:R41">IF(F22="","","NO")</f>
        <v>NO</v>
      </c>
      <c r="S22" s="293">
        <f aca="true" t="shared" si="6" ref="S22:S41">$H$17*IF(OR(O22="P",O22="RP"),0.1,1)*IF(R22="SI",1,0.1)</f>
        <v>2</v>
      </c>
      <c r="T22" s="294">
        <f aca="true" t="shared" si="7" ref="T22:T41">IF(O22="P",J22*S22*ROUND(N22/60,2),"--")</f>
        <v>353.9200000000001</v>
      </c>
      <c r="U22" s="295" t="str">
        <f aca="true" t="shared" si="8" ref="U22:U41">IF(O22="RP",J22*S22*P22/100*ROUND(N22/60,2),"--")</f>
        <v>--</v>
      </c>
      <c r="V22" s="296" t="str">
        <f aca="true" t="shared" si="9" ref="V22:V41">IF(AND(O22="F",Q22="NO"),J22*S22,"--")</f>
        <v>--</v>
      </c>
      <c r="W22" s="297" t="str">
        <f aca="true" t="shared" si="10" ref="W22:W41">IF(O22="F",J22*S22*ROUND(N22/60,2),"--")</f>
        <v>--</v>
      </c>
      <c r="X22" s="298" t="str">
        <f aca="true" t="shared" si="11" ref="X22:X41">IF(AND(O22="R",Q22="NO"),J22*S22*P22/100,"--")</f>
        <v>--</v>
      </c>
      <c r="Y22" s="299" t="str">
        <f aca="true" t="shared" si="12" ref="Y22:Y41">IF(O22="R",J22*S22*P22/100*ROUND(N22/60,2),"--")</f>
        <v>--</v>
      </c>
      <c r="Z22" s="300" t="str">
        <f aca="true" t="shared" si="13" ref="Z22:Z41">IF(O22="RF",J22*S22*ROUND(N22/60,2),"--")</f>
        <v>--</v>
      </c>
      <c r="AA22" s="301" t="str">
        <f aca="true" t="shared" si="14" ref="AA22:AA41">IF(O22="RR",J22*S22*P22/100*ROUND(N22/60,2),"--")</f>
        <v>--</v>
      </c>
      <c r="AB22" s="302" t="s">
        <v>202</v>
      </c>
      <c r="AC22" s="16">
        <f aca="true" t="shared" si="15" ref="AC22:AC41">IF(F22="","",(SUM(T22:AA22)*IF(AB22="SI",1,2)*IF(AND(P22&lt;&gt;"--",O22="RF"),P22/100,1)))</f>
        <v>353.9200000000001</v>
      </c>
      <c r="AD22" s="17"/>
    </row>
    <row r="23" spans="1:30" s="5" customFormat="1" ht="16.5" customHeight="1">
      <c r="A23" s="90"/>
      <c r="B23" s="95"/>
      <c r="C23" s="274">
        <v>11</v>
      </c>
      <c r="D23" s="274">
        <v>231084</v>
      </c>
      <c r="E23" s="274">
        <v>61</v>
      </c>
      <c r="F23" s="148" t="s">
        <v>294</v>
      </c>
      <c r="G23" s="288" t="s">
        <v>295</v>
      </c>
      <c r="H23" s="289">
        <v>150</v>
      </c>
      <c r="I23" s="940" t="s">
        <v>345</v>
      </c>
      <c r="J23" s="291">
        <f t="shared" si="0"/>
        <v>84.00000000000001</v>
      </c>
      <c r="K23" s="153">
        <v>40580.37569444445</v>
      </c>
      <c r="L23" s="153">
        <v>40580.7125</v>
      </c>
      <c r="M23" s="292">
        <f t="shared" si="1"/>
        <v>8.08333333331393</v>
      </c>
      <c r="N23" s="14">
        <f t="shared" si="2"/>
        <v>485</v>
      </c>
      <c r="O23" s="154" t="s">
        <v>286</v>
      </c>
      <c r="P23" s="516" t="str">
        <f t="shared" si="3"/>
        <v>--</v>
      </c>
      <c r="Q23" s="8" t="str">
        <f t="shared" si="4"/>
        <v>--</v>
      </c>
      <c r="R23" s="221" t="str">
        <f t="shared" si="5"/>
        <v>NO</v>
      </c>
      <c r="S23" s="293">
        <f t="shared" si="6"/>
        <v>2</v>
      </c>
      <c r="T23" s="294">
        <f t="shared" si="7"/>
        <v>1357.4400000000003</v>
      </c>
      <c r="U23" s="295" t="str">
        <f t="shared" si="8"/>
        <v>--</v>
      </c>
      <c r="V23" s="296" t="str">
        <f t="shared" si="9"/>
        <v>--</v>
      </c>
      <c r="W23" s="297" t="str">
        <f t="shared" si="10"/>
        <v>--</v>
      </c>
      <c r="X23" s="298" t="str">
        <f t="shared" si="11"/>
        <v>--</v>
      </c>
      <c r="Y23" s="299" t="str">
        <f t="shared" si="12"/>
        <v>--</v>
      </c>
      <c r="Z23" s="300" t="str">
        <f t="shared" si="13"/>
        <v>--</v>
      </c>
      <c r="AA23" s="301" t="str">
        <f t="shared" si="14"/>
        <v>--</v>
      </c>
      <c r="AB23" s="302" t="s">
        <v>202</v>
      </c>
      <c r="AC23" s="16">
        <f t="shared" si="15"/>
        <v>1357.4400000000003</v>
      </c>
      <c r="AD23" s="17"/>
    </row>
    <row r="24" spans="1:30" s="5" customFormat="1" ht="16.5" customHeight="1">
      <c r="A24" s="90"/>
      <c r="B24" s="95"/>
      <c r="C24" s="152">
        <v>12</v>
      </c>
      <c r="D24" s="152">
        <v>231426</v>
      </c>
      <c r="E24" s="152">
        <v>70</v>
      </c>
      <c r="F24" s="148" t="s">
        <v>296</v>
      </c>
      <c r="G24" s="288" t="s">
        <v>297</v>
      </c>
      <c r="H24" s="289">
        <v>150</v>
      </c>
      <c r="I24" s="940" t="s">
        <v>345</v>
      </c>
      <c r="J24" s="291">
        <f t="shared" si="0"/>
        <v>84.00000000000001</v>
      </c>
      <c r="K24" s="153">
        <v>40591.99791666667</v>
      </c>
      <c r="L24" s="153">
        <v>40592.18680555555</v>
      </c>
      <c r="M24" s="292">
        <f t="shared" si="1"/>
        <v>4.533333333267365</v>
      </c>
      <c r="N24" s="14">
        <f t="shared" si="2"/>
        <v>272</v>
      </c>
      <c r="O24" s="154" t="s">
        <v>290</v>
      </c>
      <c r="P24" s="516" t="str">
        <f t="shared" si="3"/>
        <v>--</v>
      </c>
      <c r="Q24" s="8" t="str">
        <f t="shared" si="4"/>
        <v>NO</v>
      </c>
      <c r="R24" s="221" t="str">
        <f t="shared" si="5"/>
        <v>NO</v>
      </c>
      <c r="S24" s="293">
        <f t="shared" si="6"/>
        <v>20</v>
      </c>
      <c r="T24" s="294" t="str">
        <f t="shared" si="7"/>
        <v>--</v>
      </c>
      <c r="U24" s="295" t="str">
        <f t="shared" si="8"/>
        <v>--</v>
      </c>
      <c r="V24" s="296">
        <f t="shared" si="9"/>
        <v>1680.0000000000002</v>
      </c>
      <c r="W24" s="297">
        <f t="shared" si="10"/>
        <v>7610.4000000000015</v>
      </c>
      <c r="X24" s="298" t="str">
        <f t="shared" si="11"/>
        <v>--</v>
      </c>
      <c r="Y24" s="299" t="str">
        <f t="shared" si="12"/>
        <v>--</v>
      </c>
      <c r="Z24" s="300" t="str">
        <f t="shared" si="13"/>
        <v>--</v>
      </c>
      <c r="AA24" s="301" t="str">
        <f t="shared" si="14"/>
        <v>--</v>
      </c>
      <c r="AB24" s="302" t="s">
        <v>202</v>
      </c>
      <c r="AC24" s="16">
        <f t="shared" si="15"/>
        <v>9290.400000000001</v>
      </c>
      <c r="AD24" s="17"/>
    </row>
    <row r="25" spans="1:30" s="5" customFormat="1" ht="16.5" customHeight="1">
      <c r="A25" s="90"/>
      <c r="B25" s="95"/>
      <c r="C25" s="274">
        <v>13</v>
      </c>
      <c r="D25" s="274">
        <v>231430</v>
      </c>
      <c r="E25" s="274">
        <v>70</v>
      </c>
      <c r="F25" s="148" t="s">
        <v>296</v>
      </c>
      <c r="G25" s="288" t="s">
        <v>297</v>
      </c>
      <c r="H25" s="289">
        <v>150</v>
      </c>
      <c r="I25" s="940" t="s">
        <v>345</v>
      </c>
      <c r="J25" s="291">
        <f t="shared" si="0"/>
        <v>84.00000000000001</v>
      </c>
      <c r="K25" s="153">
        <v>40594.575</v>
      </c>
      <c r="L25" s="153">
        <v>40594.654861111114</v>
      </c>
      <c r="M25" s="292">
        <f t="shared" si="1"/>
        <v>1.9166666668024845</v>
      </c>
      <c r="N25" s="14">
        <f t="shared" si="2"/>
        <v>115</v>
      </c>
      <c r="O25" s="154" t="s">
        <v>286</v>
      </c>
      <c r="P25" s="516" t="str">
        <f t="shared" si="3"/>
        <v>--</v>
      </c>
      <c r="Q25" s="8" t="str">
        <f t="shared" si="4"/>
        <v>--</v>
      </c>
      <c r="R25" s="221" t="str">
        <f t="shared" si="5"/>
        <v>NO</v>
      </c>
      <c r="S25" s="293">
        <f t="shared" si="6"/>
        <v>2</v>
      </c>
      <c r="T25" s="294">
        <f t="shared" si="7"/>
        <v>322.56000000000006</v>
      </c>
      <c r="U25" s="295" t="str">
        <f t="shared" si="8"/>
        <v>--</v>
      </c>
      <c r="V25" s="296" t="str">
        <f t="shared" si="9"/>
        <v>--</v>
      </c>
      <c r="W25" s="297" t="str">
        <f t="shared" si="10"/>
        <v>--</v>
      </c>
      <c r="X25" s="298" t="str">
        <f t="shared" si="11"/>
        <v>--</v>
      </c>
      <c r="Y25" s="299" t="str">
        <f t="shared" si="12"/>
        <v>--</v>
      </c>
      <c r="Z25" s="300" t="str">
        <f t="shared" si="13"/>
        <v>--</v>
      </c>
      <c r="AA25" s="301" t="str">
        <f t="shared" si="14"/>
        <v>--</v>
      </c>
      <c r="AB25" s="302" t="s">
        <v>202</v>
      </c>
      <c r="AC25" s="16">
        <f t="shared" si="15"/>
        <v>322.56000000000006</v>
      </c>
      <c r="AD25" s="17"/>
    </row>
    <row r="26" spans="1:30" s="5" customFormat="1" ht="16.5" customHeight="1">
      <c r="A26" s="90"/>
      <c r="B26" s="95"/>
      <c r="C26" s="152"/>
      <c r="D26" s="152"/>
      <c r="E26" s="152"/>
      <c r="F26" s="148"/>
      <c r="G26" s="288"/>
      <c r="H26" s="289"/>
      <c r="I26" s="290"/>
      <c r="J26" s="291">
        <f t="shared" si="0"/>
        <v>0</v>
      </c>
      <c r="K26" s="153"/>
      <c r="L26" s="153"/>
      <c r="M26" s="292">
        <f t="shared" si="1"/>
      </c>
      <c r="N26" s="14">
        <f t="shared" si="2"/>
      </c>
      <c r="O26" s="154"/>
      <c r="P26" s="516">
        <f t="shared" si="3"/>
      </c>
      <c r="Q26" s="8">
        <f t="shared" si="4"/>
      </c>
      <c r="R26" s="221">
        <f t="shared" si="5"/>
      </c>
      <c r="S26" s="293">
        <f t="shared" si="6"/>
        <v>20</v>
      </c>
      <c r="T26" s="294" t="str">
        <f t="shared" si="7"/>
        <v>--</v>
      </c>
      <c r="U26" s="295" t="str">
        <f t="shared" si="8"/>
        <v>--</v>
      </c>
      <c r="V26" s="296" t="str">
        <f t="shared" si="9"/>
        <v>--</v>
      </c>
      <c r="W26" s="297" t="str">
        <f t="shared" si="10"/>
        <v>--</v>
      </c>
      <c r="X26" s="298" t="str">
        <f t="shared" si="11"/>
        <v>--</v>
      </c>
      <c r="Y26" s="299" t="str">
        <f t="shared" si="12"/>
        <v>--</v>
      </c>
      <c r="Z26" s="300" t="str">
        <f t="shared" si="13"/>
        <v>--</v>
      </c>
      <c r="AA26" s="301" t="str">
        <f t="shared" si="14"/>
        <v>--</v>
      </c>
      <c r="AB26" s="302">
        <f aca="true" t="shared" si="16" ref="AB26:AB41">IF(F26="","","SI")</f>
      </c>
      <c r="AC26" s="16">
        <f t="shared" si="15"/>
      </c>
      <c r="AD26" s="17"/>
    </row>
    <row r="27" spans="1:30" s="5" customFormat="1" ht="16.5" customHeight="1">
      <c r="A27" s="90"/>
      <c r="B27" s="95"/>
      <c r="C27" s="274"/>
      <c r="D27" s="274"/>
      <c r="E27" s="274"/>
      <c r="F27" s="148"/>
      <c r="G27" s="288"/>
      <c r="H27" s="289"/>
      <c r="I27" s="290"/>
      <c r="J27" s="291">
        <f t="shared" si="0"/>
        <v>0</v>
      </c>
      <c r="K27" s="153"/>
      <c r="L27" s="153"/>
      <c r="M27" s="292">
        <f t="shared" si="1"/>
      </c>
      <c r="N27" s="14">
        <f t="shared" si="2"/>
      </c>
      <c r="O27" s="154"/>
      <c r="P27" s="516">
        <f t="shared" si="3"/>
      </c>
      <c r="Q27" s="8">
        <f t="shared" si="4"/>
      </c>
      <c r="R27" s="221">
        <f t="shared" si="5"/>
      </c>
      <c r="S27" s="293">
        <f t="shared" si="6"/>
        <v>20</v>
      </c>
      <c r="T27" s="294" t="str">
        <f t="shared" si="7"/>
        <v>--</v>
      </c>
      <c r="U27" s="295" t="str">
        <f t="shared" si="8"/>
        <v>--</v>
      </c>
      <c r="V27" s="296" t="str">
        <f t="shared" si="9"/>
        <v>--</v>
      </c>
      <c r="W27" s="297" t="str">
        <f t="shared" si="10"/>
        <v>--</v>
      </c>
      <c r="X27" s="298" t="str">
        <f t="shared" si="11"/>
        <v>--</v>
      </c>
      <c r="Y27" s="299" t="str">
        <f t="shared" si="12"/>
        <v>--</v>
      </c>
      <c r="Z27" s="300" t="str">
        <f t="shared" si="13"/>
        <v>--</v>
      </c>
      <c r="AA27" s="301" t="str">
        <f t="shared" si="14"/>
        <v>--</v>
      </c>
      <c r="AB27" s="302">
        <f t="shared" si="16"/>
      </c>
      <c r="AC27" s="16">
        <f t="shared" si="15"/>
      </c>
      <c r="AD27" s="17"/>
    </row>
    <row r="28" spans="1:31" s="5" customFormat="1" ht="16.5" customHeight="1">
      <c r="A28" s="90"/>
      <c r="B28" s="95"/>
      <c r="C28" s="152"/>
      <c r="D28" s="152"/>
      <c r="E28" s="152"/>
      <c r="F28" s="148"/>
      <c r="G28" s="288"/>
      <c r="H28" s="289"/>
      <c r="I28" s="290"/>
      <c r="J28" s="291">
        <f t="shared" si="0"/>
        <v>0</v>
      </c>
      <c r="K28" s="153"/>
      <c r="L28" s="153"/>
      <c r="M28" s="292">
        <f t="shared" si="1"/>
      </c>
      <c r="N28" s="14">
        <f t="shared" si="2"/>
      </c>
      <c r="O28" s="154"/>
      <c r="P28" s="516">
        <f t="shared" si="3"/>
      </c>
      <c r="Q28" s="8">
        <f t="shared" si="4"/>
      </c>
      <c r="R28" s="221">
        <f t="shared" si="5"/>
      </c>
      <c r="S28" s="293">
        <f t="shared" si="6"/>
        <v>20</v>
      </c>
      <c r="T28" s="294" t="str">
        <f t="shared" si="7"/>
        <v>--</v>
      </c>
      <c r="U28" s="295" t="str">
        <f t="shared" si="8"/>
        <v>--</v>
      </c>
      <c r="V28" s="296" t="str">
        <f t="shared" si="9"/>
        <v>--</v>
      </c>
      <c r="W28" s="297" t="str">
        <f t="shared" si="10"/>
        <v>--</v>
      </c>
      <c r="X28" s="298" t="str">
        <f t="shared" si="11"/>
        <v>--</v>
      </c>
      <c r="Y28" s="299" t="str">
        <f t="shared" si="12"/>
        <v>--</v>
      </c>
      <c r="Z28" s="300" t="str">
        <f t="shared" si="13"/>
        <v>--</v>
      </c>
      <c r="AA28" s="301" t="str">
        <f t="shared" si="14"/>
        <v>--</v>
      </c>
      <c r="AB28" s="302">
        <f t="shared" si="16"/>
      </c>
      <c r="AC28" s="16">
        <f t="shared" si="15"/>
      </c>
      <c r="AD28" s="17"/>
      <c r="AE28" s="15"/>
    </row>
    <row r="29" spans="1:30" s="5" customFormat="1" ht="16.5" customHeight="1">
      <c r="A29" s="90"/>
      <c r="B29" s="95"/>
      <c r="C29" s="274"/>
      <c r="D29" s="274"/>
      <c r="E29" s="274"/>
      <c r="F29" s="148"/>
      <c r="G29" s="288"/>
      <c r="H29" s="289"/>
      <c r="I29" s="290"/>
      <c r="J29" s="291">
        <f t="shared" si="0"/>
        <v>0</v>
      </c>
      <c r="K29" s="153"/>
      <c r="L29" s="153"/>
      <c r="M29" s="292">
        <f t="shared" si="1"/>
      </c>
      <c r="N29" s="14">
        <f t="shared" si="2"/>
      </c>
      <c r="O29" s="154"/>
      <c r="P29" s="516">
        <f t="shared" si="3"/>
      </c>
      <c r="Q29" s="8">
        <f t="shared" si="4"/>
      </c>
      <c r="R29" s="221">
        <f t="shared" si="5"/>
      </c>
      <c r="S29" s="293">
        <f t="shared" si="6"/>
        <v>20</v>
      </c>
      <c r="T29" s="294" t="str">
        <f t="shared" si="7"/>
        <v>--</v>
      </c>
      <c r="U29" s="295" t="str">
        <f t="shared" si="8"/>
        <v>--</v>
      </c>
      <c r="V29" s="296" t="str">
        <f t="shared" si="9"/>
        <v>--</v>
      </c>
      <c r="W29" s="297" t="str">
        <f t="shared" si="10"/>
        <v>--</v>
      </c>
      <c r="X29" s="298" t="str">
        <f t="shared" si="11"/>
        <v>--</v>
      </c>
      <c r="Y29" s="299" t="str">
        <f t="shared" si="12"/>
        <v>--</v>
      </c>
      <c r="Z29" s="300" t="str">
        <f t="shared" si="13"/>
        <v>--</v>
      </c>
      <c r="AA29" s="301" t="str">
        <f t="shared" si="14"/>
        <v>--</v>
      </c>
      <c r="AB29" s="302">
        <f t="shared" si="16"/>
      </c>
      <c r="AC29" s="16">
        <f t="shared" si="15"/>
      </c>
      <c r="AD29" s="17"/>
    </row>
    <row r="30" spans="1:30" s="5" customFormat="1" ht="16.5" customHeight="1">
      <c r="A30" s="90"/>
      <c r="B30" s="95"/>
      <c r="C30" s="152"/>
      <c r="D30" s="152"/>
      <c r="E30" s="152"/>
      <c r="F30" s="148"/>
      <c r="G30" s="288"/>
      <c r="H30" s="289"/>
      <c r="I30" s="290"/>
      <c r="J30" s="291">
        <f t="shared" si="0"/>
        <v>0</v>
      </c>
      <c r="K30" s="153"/>
      <c r="L30" s="153"/>
      <c r="M30" s="292">
        <f t="shared" si="1"/>
      </c>
      <c r="N30" s="14">
        <f t="shared" si="2"/>
      </c>
      <c r="O30" s="154"/>
      <c r="P30" s="516">
        <f t="shared" si="3"/>
      </c>
      <c r="Q30" s="8">
        <f t="shared" si="4"/>
      </c>
      <c r="R30" s="221">
        <f t="shared" si="5"/>
      </c>
      <c r="S30" s="293">
        <f t="shared" si="6"/>
        <v>20</v>
      </c>
      <c r="T30" s="294" t="str">
        <f t="shared" si="7"/>
        <v>--</v>
      </c>
      <c r="U30" s="295" t="str">
        <f t="shared" si="8"/>
        <v>--</v>
      </c>
      <c r="V30" s="296" t="str">
        <f t="shared" si="9"/>
        <v>--</v>
      </c>
      <c r="W30" s="297" t="str">
        <f t="shared" si="10"/>
        <v>--</v>
      </c>
      <c r="X30" s="298" t="str">
        <f t="shared" si="11"/>
        <v>--</v>
      </c>
      <c r="Y30" s="299" t="str">
        <f t="shared" si="12"/>
        <v>--</v>
      </c>
      <c r="Z30" s="300" t="str">
        <f t="shared" si="13"/>
        <v>--</v>
      </c>
      <c r="AA30" s="301" t="str">
        <f t="shared" si="14"/>
        <v>--</v>
      </c>
      <c r="AB30" s="302">
        <f t="shared" si="16"/>
      </c>
      <c r="AC30" s="16">
        <f t="shared" si="15"/>
      </c>
      <c r="AD30" s="17"/>
    </row>
    <row r="31" spans="1:30" s="5" customFormat="1" ht="16.5" customHeight="1">
      <c r="A31" s="90"/>
      <c r="B31" s="95"/>
      <c r="C31" s="274"/>
      <c r="D31" s="274"/>
      <c r="E31" s="274"/>
      <c r="F31" s="148"/>
      <c r="G31" s="288"/>
      <c r="H31" s="289"/>
      <c r="I31" s="290"/>
      <c r="J31" s="291">
        <f t="shared" si="0"/>
        <v>0</v>
      </c>
      <c r="K31" s="153"/>
      <c r="L31" s="153"/>
      <c r="M31" s="292">
        <f t="shared" si="1"/>
      </c>
      <c r="N31" s="14">
        <f t="shared" si="2"/>
      </c>
      <c r="O31" s="154"/>
      <c r="P31" s="516">
        <f t="shared" si="3"/>
      </c>
      <c r="Q31" s="8">
        <f t="shared" si="4"/>
      </c>
      <c r="R31" s="221">
        <f t="shared" si="5"/>
      </c>
      <c r="S31" s="293">
        <f t="shared" si="6"/>
        <v>20</v>
      </c>
      <c r="T31" s="294" t="str">
        <f t="shared" si="7"/>
        <v>--</v>
      </c>
      <c r="U31" s="295" t="str">
        <f t="shared" si="8"/>
        <v>--</v>
      </c>
      <c r="V31" s="296" t="str">
        <f t="shared" si="9"/>
        <v>--</v>
      </c>
      <c r="W31" s="297" t="str">
        <f t="shared" si="10"/>
        <v>--</v>
      </c>
      <c r="X31" s="298" t="str">
        <f t="shared" si="11"/>
        <v>--</v>
      </c>
      <c r="Y31" s="299" t="str">
        <f t="shared" si="12"/>
        <v>--</v>
      </c>
      <c r="Z31" s="300" t="str">
        <f t="shared" si="13"/>
        <v>--</v>
      </c>
      <c r="AA31" s="301" t="str">
        <f t="shared" si="14"/>
        <v>--</v>
      </c>
      <c r="AB31" s="302">
        <f t="shared" si="16"/>
      </c>
      <c r="AC31" s="16">
        <f t="shared" si="15"/>
      </c>
      <c r="AD31" s="17"/>
    </row>
    <row r="32" spans="1:30" s="5" customFormat="1" ht="16.5" customHeight="1">
      <c r="A32" s="90"/>
      <c r="B32" s="95"/>
      <c r="C32" s="152"/>
      <c r="D32" s="152"/>
      <c r="E32" s="152"/>
      <c r="F32" s="148"/>
      <c r="G32" s="304"/>
      <c r="H32" s="289"/>
      <c r="I32" s="290"/>
      <c r="J32" s="291">
        <f t="shared" si="0"/>
        <v>0</v>
      </c>
      <c r="K32" s="153"/>
      <c r="L32" s="153"/>
      <c r="M32" s="292">
        <f t="shared" si="1"/>
      </c>
      <c r="N32" s="14">
        <f t="shared" si="2"/>
      </c>
      <c r="O32" s="154"/>
      <c r="P32" s="516">
        <f t="shared" si="3"/>
      </c>
      <c r="Q32" s="8">
        <f t="shared" si="4"/>
      </c>
      <c r="R32" s="221">
        <f t="shared" si="5"/>
      </c>
      <c r="S32" s="293">
        <f t="shared" si="6"/>
        <v>20</v>
      </c>
      <c r="T32" s="294" t="str">
        <f t="shared" si="7"/>
        <v>--</v>
      </c>
      <c r="U32" s="295" t="str">
        <f t="shared" si="8"/>
        <v>--</v>
      </c>
      <c r="V32" s="296" t="str">
        <f t="shared" si="9"/>
        <v>--</v>
      </c>
      <c r="W32" s="297" t="str">
        <f t="shared" si="10"/>
        <v>--</v>
      </c>
      <c r="X32" s="298" t="str">
        <f t="shared" si="11"/>
        <v>--</v>
      </c>
      <c r="Y32" s="299" t="str">
        <f t="shared" si="12"/>
        <v>--</v>
      </c>
      <c r="Z32" s="300" t="str">
        <f t="shared" si="13"/>
        <v>--</v>
      </c>
      <c r="AA32" s="301" t="str">
        <f t="shared" si="14"/>
        <v>--</v>
      </c>
      <c r="AB32" s="302">
        <f t="shared" si="16"/>
      </c>
      <c r="AC32" s="16">
        <f t="shared" si="15"/>
      </c>
      <c r="AD32" s="17"/>
    </row>
    <row r="33" spans="1:30" s="5" customFormat="1" ht="16.5" customHeight="1">
      <c r="A33" s="90"/>
      <c r="B33" s="95"/>
      <c r="C33" s="274"/>
      <c r="D33" s="274"/>
      <c r="E33" s="274"/>
      <c r="F33" s="148"/>
      <c r="G33" s="304"/>
      <c r="H33" s="289"/>
      <c r="I33" s="290"/>
      <c r="J33" s="291">
        <f t="shared" si="0"/>
        <v>0</v>
      </c>
      <c r="K33" s="153"/>
      <c r="L33" s="153"/>
      <c r="M33" s="292">
        <f t="shared" si="1"/>
      </c>
      <c r="N33" s="14">
        <f t="shared" si="2"/>
      </c>
      <c r="O33" s="154"/>
      <c r="P33" s="516">
        <f t="shared" si="3"/>
      </c>
      <c r="Q33" s="8">
        <f t="shared" si="4"/>
      </c>
      <c r="R33" s="221">
        <f t="shared" si="5"/>
      </c>
      <c r="S33" s="293">
        <f t="shared" si="6"/>
        <v>20</v>
      </c>
      <c r="T33" s="294" t="str">
        <f t="shared" si="7"/>
        <v>--</v>
      </c>
      <c r="U33" s="295" t="str">
        <f t="shared" si="8"/>
        <v>--</v>
      </c>
      <c r="V33" s="296" t="str">
        <f t="shared" si="9"/>
        <v>--</v>
      </c>
      <c r="W33" s="297" t="str">
        <f t="shared" si="10"/>
        <v>--</v>
      </c>
      <c r="X33" s="298" t="str">
        <f t="shared" si="11"/>
        <v>--</v>
      </c>
      <c r="Y33" s="299" t="str">
        <f t="shared" si="12"/>
        <v>--</v>
      </c>
      <c r="Z33" s="300" t="str">
        <f t="shared" si="13"/>
        <v>--</v>
      </c>
      <c r="AA33" s="301" t="str">
        <f t="shared" si="14"/>
        <v>--</v>
      </c>
      <c r="AB33" s="302">
        <f t="shared" si="16"/>
      </c>
      <c r="AC33" s="16">
        <f t="shared" si="15"/>
      </c>
      <c r="AD33" s="17"/>
    </row>
    <row r="34" spans="1:30" s="5" customFormat="1" ht="16.5" customHeight="1">
      <c r="A34" s="90"/>
      <c r="B34" s="95"/>
      <c r="C34" s="152"/>
      <c r="D34" s="152"/>
      <c r="E34" s="152"/>
      <c r="F34" s="148"/>
      <c r="G34" s="304"/>
      <c r="H34" s="289"/>
      <c r="I34" s="290"/>
      <c r="J34" s="291">
        <f t="shared" si="0"/>
        <v>0</v>
      </c>
      <c r="K34" s="153"/>
      <c r="L34" s="153"/>
      <c r="M34" s="292">
        <f t="shared" si="1"/>
      </c>
      <c r="N34" s="14">
        <f t="shared" si="2"/>
      </c>
      <c r="O34" s="154"/>
      <c r="P34" s="516">
        <f t="shared" si="3"/>
      </c>
      <c r="Q34" s="8">
        <f t="shared" si="4"/>
      </c>
      <c r="R34" s="221">
        <f t="shared" si="5"/>
      </c>
      <c r="S34" s="293">
        <f t="shared" si="6"/>
        <v>20</v>
      </c>
      <c r="T34" s="294" t="str">
        <f t="shared" si="7"/>
        <v>--</v>
      </c>
      <c r="U34" s="295" t="str">
        <f t="shared" si="8"/>
        <v>--</v>
      </c>
      <c r="V34" s="296" t="str">
        <f t="shared" si="9"/>
        <v>--</v>
      </c>
      <c r="W34" s="297" t="str">
        <f t="shared" si="10"/>
        <v>--</v>
      </c>
      <c r="X34" s="298" t="str">
        <f t="shared" si="11"/>
        <v>--</v>
      </c>
      <c r="Y34" s="299" t="str">
        <f t="shared" si="12"/>
        <v>--</v>
      </c>
      <c r="Z34" s="300" t="str">
        <f t="shared" si="13"/>
        <v>--</v>
      </c>
      <c r="AA34" s="301" t="str">
        <f t="shared" si="14"/>
        <v>--</v>
      </c>
      <c r="AB34" s="302">
        <f t="shared" si="16"/>
      </c>
      <c r="AC34" s="16">
        <f t="shared" si="15"/>
      </c>
      <c r="AD34" s="17"/>
    </row>
    <row r="35" spans="1:30" s="5" customFormat="1" ht="16.5" customHeight="1">
      <c r="A35" s="90"/>
      <c r="B35" s="95"/>
      <c r="C35" s="274"/>
      <c r="D35" s="274"/>
      <c r="E35" s="274"/>
      <c r="F35" s="148"/>
      <c r="G35" s="304"/>
      <c r="H35" s="289"/>
      <c r="I35" s="290"/>
      <c r="J35" s="291">
        <f t="shared" si="0"/>
        <v>0</v>
      </c>
      <c r="K35" s="153"/>
      <c r="L35" s="153"/>
      <c r="M35" s="292">
        <f t="shared" si="1"/>
      </c>
      <c r="N35" s="14">
        <f t="shared" si="2"/>
      </c>
      <c r="O35" s="154"/>
      <c r="P35" s="516">
        <f t="shared" si="3"/>
      </c>
      <c r="Q35" s="8">
        <f t="shared" si="4"/>
      </c>
      <c r="R35" s="221">
        <f t="shared" si="5"/>
      </c>
      <c r="S35" s="293">
        <f t="shared" si="6"/>
        <v>20</v>
      </c>
      <c r="T35" s="294" t="str">
        <f t="shared" si="7"/>
        <v>--</v>
      </c>
      <c r="U35" s="295" t="str">
        <f t="shared" si="8"/>
        <v>--</v>
      </c>
      <c r="V35" s="296" t="str">
        <f t="shared" si="9"/>
        <v>--</v>
      </c>
      <c r="W35" s="297" t="str">
        <f t="shared" si="10"/>
        <v>--</v>
      </c>
      <c r="X35" s="298" t="str">
        <f t="shared" si="11"/>
        <v>--</v>
      </c>
      <c r="Y35" s="299" t="str">
        <f t="shared" si="12"/>
        <v>--</v>
      </c>
      <c r="Z35" s="300" t="str">
        <f t="shared" si="13"/>
        <v>--</v>
      </c>
      <c r="AA35" s="301" t="str">
        <f t="shared" si="14"/>
        <v>--</v>
      </c>
      <c r="AB35" s="302">
        <f t="shared" si="16"/>
      </c>
      <c r="AC35" s="16">
        <f t="shared" si="15"/>
      </c>
      <c r="AD35" s="17"/>
    </row>
    <row r="36" spans="1:30" s="5" customFormat="1" ht="16.5" customHeight="1">
      <c r="A36" s="90"/>
      <c r="B36" s="95"/>
      <c r="C36" s="152"/>
      <c r="D36" s="152"/>
      <c r="E36" s="152"/>
      <c r="F36" s="148"/>
      <c r="G36" s="304"/>
      <c r="H36" s="289"/>
      <c r="I36" s="290"/>
      <c r="J36" s="291">
        <f t="shared" si="0"/>
        <v>0</v>
      </c>
      <c r="K36" s="153"/>
      <c r="L36" s="153"/>
      <c r="M36" s="292">
        <f t="shared" si="1"/>
      </c>
      <c r="N36" s="14">
        <f t="shared" si="2"/>
      </c>
      <c r="O36" s="154"/>
      <c r="P36" s="516">
        <f t="shared" si="3"/>
      </c>
      <c r="Q36" s="8">
        <f t="shared" si="4"/>
      </c>
      <c r="R36" s="221">
        <f t="shared" si="5"/>
      </c>
      <c r="S36" s="293">
        <f t="shared" si="6"/>
        <v>20</v>
      </c>
      <c r="T36" s="294" t="str">
        <f t="shared" si="7"/>
        <v>--</v>
      </c>
      <c r="U36" s="295" t="str">
        <f t="shared" si="8"/>
        <v>--</v>
      </c>
      <c r="V36" s="296" t="str">
        <f t="shared" si="9"/>
        <v>--</v>
      </c>
      <c r="W36" s="297" t="str">
        <f t="shared" si="10"/>
        <v>--</v>
      </c>
      <c r="X36" s="298" t="str">
        <f t="shared" si="11"/>
        <v>--</v>
      </c>
      <c r="Y36" s="299" t="str">
        <f t="shared" si="12"/>
        <v>--</v>
      </c>
      <c r="Z36" s="300" t="str">
        <f t="shared" si="13"/>
        <v>--</v>
      </c>
      <c r="AA36" s="301" t="str">
        <f t="shared" si="14"/>
        <v>--</v>
      </c>
      <c r="AB36" s="302">
        <f t="shared" si="16"/>
      </c>
      <c r="AC36" s="16">
        <f t="shared" si="15"/>
      </c>
      <c r="AD36" s="17"/>
    </row>
    <row r="37" spans="1:30" s="5" customFormat="1" ht="16.5" customHeight="1">
      <c r="A37" s="90"/>
      <c r="B37" s="95"/>
      <c r="C37" s="274"/>
      <c r="D37" s="274"/>
      <c r="E37" s="274"/>
      <c r="F37" s="148"/>
      <c r="G37" s="304"/>
      <c r="H37" s="289"/>
      <c r="I37" s="290"/>
      <c r="J37" s="291">
        <f t="shared" si="0"/>
        <v>0</v>
      </c>
      <c r="K37" s="153"/>
      <c r="L37" s="153"/>
      <c r="M37" s="292">
        <f t="shared" si="1"/>
      </c>
      <c r="N37" s="14">
        <f t="shared" si="2"/>
      </c>
      <c r="O37" s="154"/>
      <c r="P37" s="516">
        <f t="shared" si="3"/>
      </c>
      <c r="Q37" s="8">
        <f t="shared" si="4"/>
      </c>
      <c r="R37" s="221">
        <f t="shared" si="5"/>
      </c>
      <c r="S37" s="293">
        <f t="shared" si="6"/>
        <v>20</v>
      </c>
      <c r="T37" s="294" t="str">
        <f t="shared" si="7"/>
        <v>--</v>
      </c>
      <c r="U37" s="295" t="str">
        <f t="shared" si="8"/>
        <v>--</v>
      </c>
      <c r="V37" s="296" t="str">
        <f t="shared" si="9"/>
        <v>--</v>
      </c>
      <c r="W37" s="297" t="str">
        <f t="shared" si="10"/>
        <v>--</v>
      </c>
      <c r="X37" s="298" t="str">
        <f t="shared" si="11"/>
        <v>--</v>
      </c>
      <c r="Y37" s="299" t="str">
        <f t="shared" si="12"/>
        <v>--</v>
      </c>
      <c r="Z37" s="300" t="str">
        <f t="shared" si="13"/>
        <v>--</v>
      </c>
      <c r="AA37" s="301" t="str">
        <f t="shared" si="14"/>
        <v>--</v>
      </c>
      <c r="AB37" s="302">
        <f t="shared" si="16"/>
      </c>
      <c r="AC37" s="16">
        <f t="shared" si="15"/>
      </c>
      <c r="AD37" s="17"/>
    </row>
    <row r="38" spans="1:30" s="5" customFormat="1" ht="16.5" customHeight="1">
      <c r="A38" s="90"/>
      <c r="B38" s="95"/>
      <c r="C38" s="152"/>
      <c r="D38" s="152"/>
      <c r="E38" s="152"/>
      <c r="F38" s="148"/>
      <c r="G38" s="304"/>
      <c r="H38" s="289"/>
      <c r="I38" s="290"/>
      <c r="J38" s="291">
        <f t="shared" si="0"/>
        <v>0</v>
      </c>
      <c r="K38" s="153"/>
      <c r="L38" s="153"/>
      <c r="M38" s="292">
        <f t="shared" si="1"/>
      </c>
      <c r="N38" s="14">
        <f t="shared" si="2"/>
      </c>
      <c r="O38" s="154"/>
      <c r="P38" s="516">
        <f t="shared" si="3"/>
      </c>
      <c r="Q38" s="8">
        <f t="shared" si="4"/>
      </c>
      <c r="R38" s="221">
        <f t="shared" si="5"/>
      </c>
      <c r="S38" s="293">
        <f t="shared" si="6"/>
        <v>20</v>
      </c>
      <c r="T38" s="294" t="str">
        <f t="shared" si="7"/>
        <v>--</v>
      </c>
      <c r="U38" s="295" t="str">
        <f t="shared" si="8"/>
        <v>--</v>
      </c>
      <c r="V38" s="296" t="str">
        <f t="shared" si="9"/>
        <v>--</v>
      </c>
      <c r="W38" s="297" t="str">
        <f t="shared" si="10"/>
        <v>--</v>
      </c>
      <c r="X38" s="298" t="str">
        <f t="shared" si="11"/>
        <v>--</v>
      </c>
      <c r="Y38" s="299" t="str">
        <f t="shared" si="12"/>
        <v>--</v>
      </c>
      <c r="Z38" s="300" t="str">
        <f t="shared" si="13"/>
        <v>--</v>
      </c>
      <c r="AA38" s="301" t="str">
        <f t="shared" si="14"/>
        <v>--</v>
      </c>
      <c r="AB38" s="302">
        <f t="shared" si="16"/>
      </c>
      <c r="AC38" s="16">
        <f t="shared" si="15"/>
      </c>
      <c r="AD38" s="17"/>
    </row>
    <row r="39" spans="1:30" s="5" customFormat="1" ht="16.5" customHeight="1">
      <c r="A39" s="90"/>
      <c r="B39" s="95"/>
      <c r="C39" s="274"/>
      <c r="D39" s="274"/>
      <c r="E39" s="274"/>
      <c r="F39" s="148"/>
      <c r="G39" s="304"/>
      <c r="H39" s="289"/>
      <c r="I39" s="290"/>
      <c r="J39" s="291">
        <f t="shared" si="0"/>
        <v>0</v>
      </c>
      <c r="K39" s="153"/>
      <c r="L39" s="153"/>
      <c r="M39" s="292">
        <f t="shared" si="1"/>
      </c>
      <c r="N39" s="14">
        <f t="shared" si="2"/>
      </c>
      <c r="O39" s="154"/>
      <c r="P39" s="516">
        <f t="shared" si="3"/>
      </c>
      <c r="Q39" s="8">
        <f t="shared" si="4"/>
      </c>
      <c r="R39" s="221">
        <f t="shared" si="5"/>
      </c>
      <c r="S39" s="293">
        <f t="shared" si="6"/>
        <v>20</v>
      </c>
      <c r="T39" s="294" t="str">
        <f t="shared" si="7"/>
        <v>--</v>
      </c>
      <c r="U39" s="295" t="str">
        <f t="shared" si="8"/>
        <v>--</v>
      </c>
      <c r="V39" s="296" t="str">
        <f t="shared" si="9"/>
        <v>--</v>
      </c>
      <c r="W39" s="297" t="str">
        <f t="shared" si="10"/>
        <v>--</v>
      </c>
      <c r="X39" s="298" t="str">
        <f t="shared" si="11"/>
        <v>--</v>
      </c>
      <c r="Y39" s="299" t="str">
        <f t="shared" si="12"/>
        <v>--</v>
      </c>
      <c r="Z39" s="300" t="str">
        <f t="shared" si="13"/>
        <v>--</v>
      </c>
      <c r="AA39" s="301" t="str">
        <f t="shared" si="14"/>
        <v>--</v>
      </c>
      <c r="AB39" s="302">
        <f t="shared" si="16"/>
      </c>
      <c r="AC39" s="16">
        <f t="shared" si="15"/>
      </c>
      <c r="AD39" s="17"/>
    </row>
    <row r="40" spans="1:30" s="5" customFormat="1" ht="16.5" customHeight="1">
      <c r="A40" s="90"/>
      <c r="B40" s="95"/>
      <c r="C40" s="152"/>
      <c r="D40" s="152"/>
      <c r="E40" s="152"/>
      <c r="F40" s="148"/>
      <c r="G40" s="304"/>
      <c r="H40" s="289"/>
      <c r="I40" s="290"/>
      <c r="J40" s="291">
        <f t="shared" si="0"/>
        <v>0</v>
      </c>
      <c r="K40" s="153"/>
      <c r="L40" s="153"/>
      <c r="M40" s="292">
        <f t="shared" si="1"/>
      </c>
      <c r="N40" s="14">
        <f t="shared" si="2"/>
      </c>
      <c r="O40" s="154"/>
      <c r="P40" s="516">
        <f t="shared" si="3"/>
      </c>
      <c r="Q40" s="8">
        <f t="shared" si="4"/>
      </c>
      <c r="R40" s="221">
        <f t="shared" si="5"/>
      </c>
      <c r="S40" s="293">
        <f t="shared" si="6"/>
        <v>20</v>
      </c>
      <c r="T40" s="294" t="str">
        <f t="shared" si="7"/>
        <v>--</v>
      </c>
      <c r="U40" s="295" t="str">
        <f t="shared" si="8"/>
        <v>--</v>
      </c>
      <c r="V40" s="296" t="str">
        <f t="shared" si="9"/>
        <v>--</v>
      </c>
      <c r="W40" s="297" t="str">
        <f t="shared" si="10"/>
        <v>--</v>
      </c>
      <c r="X40" s="298" t="str">
        <f t="shared" si="11"/>
        <v>--</v>
      </c>
      <c r="Y40" s="299" t="str">
        <f t="shared" si="12"/>
        <v>--</v>
      </c>
      <c r="Z40" s="300" t="str">
        <f t="shared" si="13"/>
        <v>--</v>
      </c>
      <c r="AA40" s="301" t="str">
        <f t="shared" si="14"/>
        <v>--</v>
      </c>
      <c r="AB40" s="302">
        <f t="shared" si="16"/>
      </c>
      <c r="AC40" s="16">
        <f t="shared" si="15"/>
      </c>
      <c r="AD40" s="17"/>
    </row>
    <row r="41" spans="1:30" s="5" customFormat="1" ht="16.5" customHeight="1">
      <c r="A41" s="90"/>
      <c r="B41" s="95"/>
      <c r="C41" s="274"/>
      <c r="D41" s="274"/>
      <c r="E41" s="274"/>
      <c r="F41" s="148"/>
      <c r="G41" s="304"/>
      <c r="H41" s="289"/>
      <c r="I41" s="290"/>
      <c r="J41" s="291">
        <f t="shared" si="0"/>
        <v>0</v>
      </c>
      <c r="K41" s="153"/>
      <c r="L41" s="153"/>
      <c r="M41" s="292">
        <f t="shared" si="1"/>
      </c>
      <c r="N41" s="14">
        <f t="shared" si="2"/>
      </c>
      <c r="O41" s="154"/>
      <c r="P41" s="516">
        <f t="shared" si="3"/>
      </c>
      <c r="Q41" s="8">
        <f t="shared" si="4"/>
      </c>
      <c r="R41" s="221">
        <f t="shared" si="5"/>
      </c>
      <c r="S41" s="293">
        <f t="shared" si="6"/>
        <v>20</v>
      </c>
      <c r="T41" s="294" t="str">
        <f t="shared" si="7"/>
        <v>--</v>
      </c>
      <c r="U41" s="295" t="str">
        <f t="shared" si="8"/>
        <v>--</v>
      </c>
      <c r="V41" s="296" t="str">
        <f t="shared" si="9"/>
        <v>--</v>
      </c>
      <c r="W41" s="297" t="str">
        <f t="shared" si="10"/>
        <v>--</v>
      </c>
      <c r="X41" s="298" t="str">
        <f t="shared" si="11"/>
        <v>--</v>
      </c>
      <c r="Y41" s="299" t="str">
        <f t="shared" si="12"/>
        <v>--</v>
      </c>
      <c r="Z41" s="300" t="str">
        <f t="shared" si="13"/>
        <v>--</v>
      </c>
      <c r="AA41" s="301" t="str">
        <f t="shared" si="14"/>
        <v>--</v>
      </c>
      <c r="AB41" s="302">
        <f t="shared" si="16"/>
      </c>
      <c r="AC41" s="16">
        <f t="shared" si="15"/>
      </c>
      <c r="AD41" s="17"/>
    </row>
    <row r="42" spans="1:30" s="5" customFormat="1" ht="16.5" customHeight="1" thickBot="1">
      <c r="A42" s="90"/>
      <c r="B42" s="95"/>
      <c r="C42" s="152"/>
      <c r="D42" s="152"/>
      <c r="E42" s="152"/>
      <c r="F42" s="305"/>
      <c r="G42" s="306"/>
      <c r="H42" s="305"/>
      <c r="I42" s="307"/>
      <c r="J42" s="131"/>
      <c r="K42" s="155"/>
      <c r="L42" s="308"/>
      <c r="M42" s="309"/>
      <c r="N42" s="310"/>
      <c r="O42" s="158"/>
      <c r="P42" s="189"/>
      <c r="Q42" s="156"/>
      <c r="R42" s="158"/>
      <c r="S42" s="311"/>
      <c r="T42" s="312"/>
      <c r="U42" s="313"/>
      <c r="V42" s="314"/>
      <c r="W42" s="315"/>
      <c r="X42" s="316"/>
      <c r="Y42" s="317"/>
      <c r="Z42" s="318"/>
      <c r="AA42" s="319"/>
      <c r="AB42" s="320"/>
      <c r="AC42" s="321"/>
      <c r="AD42" s="17"/>
    </row>
    <row r="43" spans="1:30" s="5" customFormat="1" ht="16.5" customHeight="1" thickBot="1" thickTop="1">
      <c r="A43" s="90"/>
      <c r="B43" s="95"/>
      <c r="C43" s="127" t="s">
        <v>24</v>
      </c>
      <c r="D43" s="901"/>
      <c r="E43" s="1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22">
        <f aca="true" t="shared" si="17" ref="T43:AA43">SUM(T20:T42)</f>
        <v>2033.9200000000005</v>
      </c>
      <c r="U43" s="323">
        <f t="shared" si="17"/>
        <v>0</v>
      </c>
      <c r="V43" s="324">
        <f t="shared" si="17"/>
        <v>1680.0000000000002</v>
      </c>
      <c r="W43" s="325">
        <f t="shared" si="17"/>
        <v>7610.4000000000015</v>
      </c>
      <c r="X43" s="326">
        <f t="shared" si="17"/>
        <v>0</v>
      </c>
      <c r="Y43" s="327">
        <f t="shared" si="17"/>
        <v>0</v>
      </c>
      <c r="Z43" s="328">
        <f t="shared" si="17"/>
        <v>0</v>
      </c>
      <c r="AA43" s="329">
        <f t="shared" si="17"/>
        <v>0</v>
      </c>
      <c r="AB43" s="90"/>
      <c r="AC43" s="330">
        <f>ROUND(SUM(AC20:AC42),2)</f>
        <v>11324.32</v>
      </c>
      <c r="AD43" s="17"/>
    </row>
    <row r="44" spans="1:30" s="5" customFormat="1" ht="16.5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ht="16.5" customHeight="1">
      <c r="A47" s="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ht="16.5" customHeight="1">
      <c r="A48" s="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spans="6:31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</row>
    <row r="152" spans="6:31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</row>
    <row r="153" ht="16.5" customHeight="1">
      <c r="AE153" s="172"/>
    </row>
    <row r="154" ht="16.5" customHeight="1">
      <c r="AE154" s="172"/>
    </row>
    <row r="155" ht="16.5" customHeight="1">
      <c r="AE155" s="172"/>
    </row>
    <row r="156" ht="16.5" customHeight="1">
      <c r="AE156" s="172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Roman,Normal"&amp;7&amp;F-&amp;A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6">
    <pageSetUpPr fitToPage="1"/>
  </sheetPr>
  <dimension ref="A1:AE154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3" t="str">
        <f>+'TOT-0211'!B2</f>
        <v>ANEXO III al Memorándum D.T.E.E. N°  1088 /2012</v>
      </c>
      <c r="C2" s="243"/>
      <c r="D2" s="243"/>
      <c r="E2" s="243"/>
      <c r="F2" s="243"/>
      <c r="G2" s="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4" t="s">
        <v>75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4" t="s">
        <v>2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5" t="s">
        <v>69</v>
      </c>
      <c r="G8" s="105"/>
      <c r="H8" s="105"/>
      <c r="I8" s="246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7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32" customFormat="1" ht="33" customHeight="1">
      <c r="A10" s="856"/>
      <c r="B10" s="864"/>
      <c r="C10" s="867"/>
      <c r="D10" s="867"/>
      <c r="E10" s="856"/>
      <c r="F10" s="865" t="s">
        <v>213</v>
      </c>
      <c r="G10" s="856"/>
      <c r="H10" s="866"/>
      <c r="I10" s="867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34"/>
    </row>
    <row r="11" spans="1:30" s="835" customFormat="1" ht="33" customHeight="1">
      <c r="A11" s="860"/>
      <c r="B11" s="868"/>
      <c r="C11" s="870"/>
      <c r="D11" s="870"/>
      <c r="E11" s="860"/>
      <c r="F11" s="869" t="s">
        <v>358</v>
      </c>
      <c r="G11" s="870"/>
      <c r="H11" s="870"/>
      <c r="I11" s="871"/>
      <c r="J11" s="870"/>
      <c r="K11" s="870"/>
      <c r="L11" s="870"/>
      <c r="M11" s="870"/>
      <c r="N11" s="870"/>
      <c r="O11" s="860"/>
      <c r="P11" s="860"/>
      <c r="Q11" s="860"/>
      <c r="R11" s="860"/>
      <c r="S11" s="860"/>
      <c r="T11" s="870"/>
      <c r="U11" s="870"/>
      <c r="V11" s="870"/>
      <c r="W11" s="870"/>
      <c r="X11" s="870"/>
      <c r="Y11" s="870"/>
      <c r="Z11" s="870"/>
      <c r="AA11" s="870"/>
      <c r="AB11" s="870"/>
      <c r="AC11" s="870"/>
      <c r="AD11" s="839"/>
    </row>
    <row r="12" spans="1:30" s="36" customFormat="1" ht="19.5">
      <c r="A12" s="109"/>
      <c r="B12" s="37" t="str">
        <f>'TOT-0211'!B14</f>
        <v>Desde el 01 al 28 de febrero de 2011</v>
      </c>
      <c r="C12" s="40"/>
      <c r="D12" s="40"/>
      <c r="E12" s="248"/>
      <c r="F12" s="112"/>
      <c r="G12" s="112"/>
      <c r="H12" s="112"/>
      <c r="I12" s="112"/>
      <c r="J12" s="112"/>
      <c r="K12" s="112"/>
      <c r="L12" s="112"/>
      <c r="M12" s="112"/>
      <c r="N12" s="112"/>
      <c r="O12" s="248"/>
      <c r="P12" s="248"/>
      <c r="Q12" s="248"/>
      <c r="R12" s="248"/>
      <c r="S12" s="248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249"/>
    </row>
    <row r="13" spans="1:30" s="5" customFormat="1" ht="13.5" thickBot="1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90"/>
      <c r="B14" s="95"/>
      <c r="C14" s="15"/>
      <c r="D14" s="15"/>
      <c r="E14" s="90"/>
      <c r="F14" s="250" t="s">
        <v>76</v>
      </c>
      <c r="G14" s="251"/>
      <c r="H14" s="252">
        <v>0.319</v>
      </c>
      <c r="J14" s="90"/>
      <c r="K14" s="90"/>
      <c r="L14" s="90"/>
      <c r="M14" s="90"/>
      <c r="N14" s="90"/>
      <c r="O14" s="90"/>
      <c r="P14" s="9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90"/>
      <c r="B15" s="95"/>
      <c r="C15" s="15"/>
      <c r="D15" s="15"/>
      <c r="E15" s="90"/>
      <c r="F15" s="110" t="s">
        <v>25</v>
      </c>
      <c r="G15" s="111"/>
      <c r="H15" s="825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9"/>
      <c r="X15" s="99"/>
      <c r="Y15" s="99"/>
      <c r="Z15" s="99"/>
      <c r="AA15" s="99"/>
      <c r="AB15" s="99"/>
      <c r="AC15" s="90"/>
      <c r="AD15" s="17"/>
    </row>
    <row r="16" spans="1:30" s="5" customFormat="1" ht="16.5" customHeight="1" thickBot="1" thickTop="1">
      <c r="A16" s="90"/>
      <c r="B16" s="95"/>
      <c r="C16" s="928">
        <v>3</v>
      </c>
      <c r="D16" s="928">
        <v>4</v>
      </c>
      <c r="E16" s="928">
        <v>5</v>
      </c>
      <c r="F16" s="928">
        <v>6</v>
      </c>
      <c r="G16" s="928">
        <v>7</v>
      </c>
      <c r="H16" s="928">
        <v>8</v>
      </c>
      <c r="I16" s="928">
        <v>9</v>
      </c>
      <c r="J16" s="928">
        <v>10</v>
      </c>
      <c r="K16" s="928">
        <v>11</v>
      </c>
      <c r="L16" s="928">
        <v>12</v>
      </c>
      <c r="M16" s="928">
        <v>13</v>
      </c>
      <c r="N16" s="928">
        <v>14</v>
      </c>
      <c r="O16" s="928">
        <v>15</v>
      </c>
      <c r="P16" s="928">
        <v>16</v>
      </c>
      <c r="Q16" s="928">
        <v>17</v>
      </c>
      <c r="R16" s="928">
        <v>18</v>
      </c>
      <c r="S16" s="928">
        <v>19</v>
      </c>
      <c r="T16" s="928">
        <v>20</v>
      </c>
      <c r="U16" s="928">
        <v>21</v>
      </c>
      <c r="V16" s="928">
        <v>22</v>
      </c>
      <c r="W16" s="928">
        <v>23</v>
      </c>
      <c r="X16" s="928">
        <v>24</v>
      </c>
      <c r="Y16" s="928">
        <v>25</v>
      </c>
      <c r="Z16" s="928">
        <v>26</v>
      </c>
      <c r="AA16" s="928">
        <v>27</v>
      </c>
      <c r="AB16" s="928">
        <v>28</v>
      </c>
      <c r="AC16" s="928">
        <v>29</v>
      </c>
      <c r="AD16" s="17"/>
    </row>
    <row r="17" spans="1:30" s="5" customFormat="1" ht="33.75" customHeight="1" thickBot="1" thickTop="1">
      <c r="A17" s="90"/>
      <c r="B17" s="95"/>
      <c r="C17" s="123" t="s">
        <v>12</v>
      </c>
      <c r="D17" s="84" t="s">
        <v>225</v>
      </c>
      <c r="E17" s="84" t="s">
        <v>226</v>
      </c>
      <c r="F17" s="119" t="s">
        <v>26</v>
      </c>
      <c r="G17" s="118" t="s">
        <v>27</v>
      </c>
      <c r="H17" s="120" t="s">
        <v>28</v>
      </c>
      <c r="I17" s="121" t="s">
        <v>13</v>
      </c>
      <c r="J17" s="129" t="s">
        <v>15</v>
      </c>
      <c r="K17" s="118" t="s">
        <v>16</v>
      </c>
      <c r="L17" s="118" t="s">
        <v>17</v>
      </c>
      <c r="M17" s="119" t="s">
        <v>29</v>
      </c>
      <c r="N17" s="119" t="s">
        <v>30</v>
      </c>
      <c r="O17" s="88" t="s">
        <v>18</v>
      </c>
      <c r="P17" s="88" t="s">
        <v>57</v>
      </c>
      <c r="Q17" s="122" t="s">
        <v>31</v>
      </c>
      <c r="R17" s="118" t="s">
        <v>32</v>
      </c>
      <c r="S17" s="253" t="s">
        <v>36</v>
      </c>
      <c r="T17" s="254" t="s">
        <v>19</v>
      </c>
      <c r="U17" s="255" t="s">
        <v>20</v>
      </c>
      <c r="V17" s="205" t="s">
        <v>77</v>
      </c>
      <c r="W17" s="207"/>
      <c r="X17" s="256" t="s">
        <v>78</v>
      </c>
      <c r="Y17" s="257"/>
      <c r="Z17" s="258" t="s">
        <v>21</v>
      </c>
      <c r="AA17" s="259" t="s">
        <v>73</v>
      </c>
      <c r="AB17" s="132" t="s">
        <v>74</v>
      </c>
      <c r="AC17" s="121" t="s">
        <v>23</v>
      </c>
      <c r="AD17" s="17"/>
    </row>
    <row r="18" spans="1:30" s="5" customFormat="1" ht="16.5" customHeight="1" thickTop="1">
      <c r="A18" s="90"/>
      <c r="B18" s="95"/>
      <c r="C18" s="260"/>
      <c r="D18" s="260"/>
      <c r="E18" s="260"/>
      <c r="F18" s="260"/>
      <c r="G18" s="260"/>
      <c r="H18" s="260"/>
      <c r="I18" s="261"/>
      <c r="J18" s="262"/>
      <c r="K18" s="260"/>
      <c r="L18" s="260"/>
      <c r="M18" s="260"/>
      <c r="N18" s="260"/>
      <c r="O18" s="260"/>
      <c r="P18" s="178"/>
      <c r="Q18" s="263"/>
      <c r="R18" s="260"/>
      <c r="S18" s="264"/>
      <c r="T18" s="265"/>
      <c r="U18" s="266"/>
      <c r="V18" s="267"/>
      <c r="W18" s="268"/>
      <c r="X18" s="269"/>
      <c r="Y18" s="270"/>
      <c r="Z18" s="271"/>
      <c r="AA18" s="272"/>
      <c r="AB18" s="263"/>
      <c r="AC18" s="273"/>
      <c r="AD18" s="17"/>
    </row>
    <row r="19" spans="1:30" s="5" customFormat="1" ht="16.5" customHeight="1">
      <c r="A19" s="90"/>
      <c r="B19" s="95"/>
      <c r="C19" s="274"/>
      <c r="D19" s="274"/>
      <c r="E19" s="274"/>
      <c r="F19" s="274"/>
      <c r="G19" s="274"/>
      <c r="H19" s="274"/>
      <c r="I19" s="275"/>
      <c r="J19" s="276"/>
      <c r="K19" s="274"/>
      <c r="L19" s="274"/>
      <c r="M19" s="274"/>
      <c r="N19" s="274"/>
      <c r="O19" s="274"/>
      <c r="P19" s="181"/>
      <c r="Q19" s="277"/>
      <c r="R19" s="274"/>
      <c r="S19" s="278"/>
      <c r="T19" s="279"/>
      <c r="U19" s="280"/>
      <c r="V19" s="281"/>
      <c r="W19" s="282"/>
      <c r="X19" s="283"/>
      <c r="Y19" s="284"/>
      <c r="Z19" s="285"/>
      <c r="AA19" s="286"/>
      <c r="AB19" s="277"/>
      <c r="AC19" s="287"/>
      <c r="AD19" s="17"/>
    </row>
    <row r="20" spans="1:30" s="5" customFormat="1" ht="16.5" customHeight="1">
      <c r="A20" s="90"/>
      <c r="B20" s="95"/>
      <c r="C20" s="274">
        <v>14</v>
      </c>
      <c r="D20" s="274">
        <v>231082</v>
      </c>
      <c r="E20" s="152">
        <v>2949</v>
      </c>
      <c r="F20" s="148" t="s">
        <v>298</v>
      </c>
      <c r="G20" s="288" t="s">
        <v>299</v>
      </c>
      <c r="H20" s="289">
        <v>300</v>
      </c>
      <c r="I20" s="940" t="s">
        <v>127</v>
      </c>
      <c r="J20" s="291">
        <f aca="true" t="shared" si="0" ref="J20:J39">H20*$H$14</f>
        <v>95.7</v>
      </c>
      <c r="K20" s="153">
        <v>40580.291666666664</v>
      </c>
      <c r="L20" s="153">
        <v>40580.46875</v>
      </c>
      <c r="M20" s="292">
        <f aca="true" t="shared" si="1" ref="M20:M39">IF(F20="","",(L20-K20)*24)</f>
        <v>4.250000000058208</v>
      </c>
      <c r="N20" s="14">
        <f aca="true" t="shared" si="2" ref="N20:N39">IF(F20="","",ROUND((L20-K20)*24*60,0))</f>
        <v>255</v>
      </c>
      <c r="O20" s="154" t="s">
        <v>286</v>
      </c>
      <c r="P20" s="516" t="str">
        <f aca="true" t="shared" si="3" ref="P20:P39">IF(F20="","","--")</f>
        <v>--</v>
      </c>
      <c r="Q20" s="8" t="str">
        <f>IF(F20="","",IF(OR(O20="P",O20="RP"),"--","NO"))</f>
        <v>--</v>
      </c>
      <c r="R20" s="221" t="str">
        <f aca="true" t="shared" si="4" ref="R20:R39">IF(F20="","","NO")</f>
        <v>NO</v>
      </c>
      <c r="S20" s="293">
        <f aca="true" t="shared" si="5" ref="S20:S39">$H$15*IF(OR(O20="P",O20="RP"),0.1,1)*IF(R20="SI",1,0.1)</f>
        <v>2</v>
      </c>
      <c r="T20" s="895">
        <f aca="true" t="shared" si="6" ref="T20:T39">IF(O20="P",J20*S20*ROUND(N20/60,2),"--")</f>
        <v>813.45</v>
      </c>
      <c r="U20" s="896" t="str">
        <f aca="true" t="shared" si="7" ref="U20:U39">IF(O20="RP",J20*S20*P20/100*ROUND(N20/60,2),"--")</f>
        <v>--</v>
      </c>
      <c r="V20" s="296" t="str">
        <f aca="true" t="shared" si="8" ref="V20:V39">IF(AND(O20="F",Q20="NO"),J20*S20,"--")</f>
        <v>--</v>
      </c>
      <c r="W20" s="297" t="str">
        <f aca="true" t="shared" si="9" ref="W20:W39">IF(O20="F",J20*S20*ROUND(N20/60,2),"--")</f>
        <v>--</v>
      </c>
      <c r="X20" s="298" t="str">
        <f aca="true" t="shared" si="10" ref="X20:X39">IF(AND(O20="R",Q20="NO"),J20*S20*P20/100,"--")</f>
        <v>--</v>
      </c>
      <c r="Y20" s="299" t="str">
        <f aca="true" t="shared" si="11" ref="Y20:Y39">IF(O20="R",J20*S20*P20/100*ROUND(N20/60,2),"--")</f>
        <v>--</v>
      </c>
      <c r="Z20" s="300" t="str">
        <f aca="true" t="shared" si="12" ref="Z20:Z39">IF(O20="RF",J20*S20*ROUND(N20/60,2),"--")</f>
        <v>--</v>
      </c>
      <c r="AA20" s="301" t="str">
        <f aca="true" t="shared" si="13" ref="AA20:AA39">IF(O20="RR",J20*S20*P20/100*ROUND(N20/60,2),"--")</f>
        <v>--</v>
      </c>
      <c r="AB20" s="897" t="s">
        <v>202</v>
      </c>
      <c r="AC20" s="303">
        <f aca="true" t="shared" si="14" ref="AC20:AC39">IF(F20="","",SUM(T20:AA20)*IF(AB20="SI",1,2)*IF(AND(P20&lt;&gt;"--",O20="RF"),P20/100,1))</f>
        <v>813.45</v>
      </c>
      <c r="AD20" s="17"/>
    </row>
    <row r="21" spans="1:30" s="5" customFormat="1" ht="16.5" customHeight="1">
      <c r="A21" s="90"/>
      <c r="B21" s="95"/>
      <c r="C21" s="274">
        <v>15</v>
      </c>
      <c r="D21" s="274">
        <v>231274</v>
      </c>
      <c r="E21" s="274">
        <v>2949</v>
      </c>
      <c r="F21" s="148" t="s">
        <v>298</v>
      </c>
      <c r="G21" s="288" t="s">
        <v>299</v>
      </c>
      <c r="H21" s="289">
        <v>300</v>
      </c>
      <c r="I21" s="940" t="s">
        <v>127</v>
      </c>
      <c r="J21" s="291">
        <f t="shared" si="0"/>
        <v>95.7</v>
      </c>
      <c r="K21" s="153">
        <v>40587.27222222222</v>
      </c>
      <c r="L21" s="153">
        <v>40587.69583333333</v>
      </c>
      <c r="M21" s="292">
        <f t="shared" si="1"/>
        <v>10.166666666627862</v>
      </c>
      <c r="N21" s="14">
        <f t="shared" si="2"/>
        <v>610</v>
      </c>
      <c r="O21" s="154" t="s">
        <v>286</v>
      </c>
      <c r="P21" s="516" t="str">
        <f t="shared" si="3"/>
        <v>--</v>
      </c>
      <c r="Q21" s="8" t="str">
        <f aca="true" t="shared" si="15" ref="Q21:Q39">IF(F21="","",IF(O21="P","--","NO"))</f>
        <v>--</v>
      </c>
      <c r="R21" s="221" t="str">
        <f t="shared" si="4"/>
        <v>NO</v>
      </c>
      <c r="S21" s="293">
        <f t="shared" si="5"/>
        <v>2</v>
      </c>
      <c r="T21" s="895">
        <f t="shared" si="6"/>
        <v>1946.538</v>
      </c>
      <c r="U21" s="896" t="str">
        <f t="shared" si="7"/>
        <v>--</v>
      </c>
      <c r="V21" s="296" t="str">
        <f t="shared" si="8"/>
        <v>--</v>
      </c>
      <c r="W21" s="297" t="str">
        <f t="shared" si="9"/>
        <v>--</v>
      </c>
      <c r="X21" s="298" t="str">
        <f t="shared" si="10"/>
        <v>--</v>
      </c>
      <c r="Y21" s="299" t="str">
        <f t="shared" si="11"/>
        <v>--</v>
      </c>
      <c r="Z21" s="300" t="str">
        <f t="shared" si="12"/>
        <v>--</v>
      </c>
      <c r="AA21" s="301" t="str">
        <f t="shared" si="13"/>
        <v>--</v>
      </c>
      <c r="AB21" s="897" t="s">
        <v>202</v>
      </c>
      <c r="AC21" s="303">
        <f t="shared" si="14"/>
        <v>1946.538</v>
      </c>
      <c r="AD21" s="17"/>
    </row>
    <row r="22" spans="1:30" s="5" customFormat="1" ht="16.5" customHeight="1">
      <c r="A22" s="90"/>
      <c r="B22" s="95"/>
      <c r="C22" s="274"/>
      <c r="D22" s="274"/>
      <c r="E22" s="152"/>
      <c r="F22" s="148"/>
      <c r="G22" s="288"/>
      <c r="H22" s="289"/>
      <c r="I22" s="290"/>
      <c r="J22" s="291">
        <f t="shared" si="0"/>
        <v>0</v>
      </c>
      <c r="K22" s="153"/>
      <c r="L22" s="153"/>
      <c r="M22" s="292">
        <f t="shared" si="1"/>
      </c>
      <c r="N22" s="14">
        <f t="shared" si="2"/>
      </c>
      <c r="O22" s="154"/>
      <c r="P22" s="516">
        <f t="shared" si="3"/>
      </c>
      <c r="Q22" s="8">
        <f t="shared" si="15"/>
      </c>
      <c r="R22" s="221">
        <f t="shared" si="4"/>
      </c>
      <c r="S22" s="293">
        <f t="shared" si="5"/>
        <v>20</v>
      </c>
      <c r="T22" s="895" t="str">
        <f t="shared" si="6"/>
        <v>--</v>
      </c>
      <c r="U22" s="896" t="str">
        <f t="shared" si="7"/>
        <v>--</v>
      </c>
      <c r="V22" s="296" t="str">
        <f t="shared" si="8"/>
        <v>--</v>
      </c>
      <c r="W22" s="297" t="str">
        <f t="shared" si="9"/>
        <v>--</v>
      </c>
      <c r="X22" s="298" t="str">
        <f t="shared" si="10"/>
        <v>--</v>
      </c>
      <c r="Y22" s="299" t="str">
        <f t="shared" si="11"/>
        <v>--</v>
      </c>
      <c r="Z22" s="300" t="str">
        <f t="shared" si="12"/>
        <v>--</v>
      </c>
      <c r="AA22" s="301" t="str">
        <f t="shared" si="13"/>
        <v>--</v>
      </c>
      <c r="AB22" s="897">
        <f aca="true" t="shared" si="16" ref="AB22:AB39">IF(F22="","","SI")</f>
      </c>
      <c r="AC22" s="303">
        <f t="shared" si="14"/>
      </c>
      <c r="AD22" s="17"/>
    </row>
    <row r="23" spans="1:30" s="5" customFormat="1" ht="16.5" customHeight="1">
      <c r="A23" s="90"/>
      <c r="B23" s="95"/>
      <c r="C23" s="274"/>
      <c r="D23" s="274"/>
      <c r="E23" s="274"/>
      <c r="F23" s="148"/>
      <c r="G23" s="288"/>
      <c r="H23" s="289"/>
      <c r="I23" s="290"/>
      <c r="J23" s="291">
        <f t="shared" si="0"/>
        <v>0</v>
      </c>
      <c r="K23" s="153"/>
      <c r="L23" s="153"/>
      <c r="M23" s="292">
        <f t="shared" si="1"/>
      </c>
      <c r="N23" s="14">
        <f t="shared" si="2"/>
      </c>
      <c r="O23" s="154"/>
      <c r="P23" s="516">
        <f t="shared" si="3"/>
      </c>
      <c r="Q23" s="8">
        <f t="shared" si="15"/>
      </c>
      <c r="R23" s="221">
        <f t="shared" si="4"/>
      </c>
      <c r="S23" s="293">
        <f t="shared" si="5"/>
        <v>20</v>
      </c>
      <c r="T23" s="895" t="str">
        <f t="shared" si="6"/>
        <v>--</v>
      </c>
      <c r="U23" s="896" t="str">
        <f t="shared" si="7"/>
        <v>--</v>
      </c>
      <c r="V23" s="296" t="str">
        <f t="shared" si="8"/>
        <v>--</v>
      </c>
      <c r="W23" s="297" t="str">
        <f t="shared" si="9"/>
        <v>--</v>
      </c>
      <c r="X23" s="298" t="str">
        <f t="shared" si="10"/>
        <v>--</v>
      </c>
      <c r="Y23" s="299" t="str">
        <f t="shared" si="11"/>
        <v>--</v>
      </c>
      <c r="Z23" s="300" t="str">
        <f t="shared" si="12"/>
        <v>--</v>
      </c>
      <c r="AA23" s="301" t="str">
        <f t="shared" si="13"/>
        <v>--</v>
      </c>
      <c r="AB23" s="897">
        <f t="shared" si="16"/>
      </c>
      <c r="AC23" s="303">
        <f t="shared" si="14"/>
      </c>
      <c r="AD23" s="17"/>
    </row>
    <row r="24" spans="1:30" s="5" customFormat="1" ht="16.5" customHeight="1">
      <c r="A24" s="90"/>
      <c r="B24" s="95"/>
      <c r="C24" s="274"/>
      <c r="D24" s="274"/>
      <c r="E24" s="152"/>
      <c r="F24" s="148"/>
      <c r="G24" s="288"/>
      <c r="H24" s="289"/>
      <c r="I24" s="290"/>
      <c r="J24" s="291">
        <f t="shared" si="0"/>
        <v>0</v>
      </c>
      <c r="K24" s="153"/>
      <c r="L24" s="153"/>
      <c r="M24" s="292">
        <f t="shared" si="1"/>
      </c>
      <c r="N24" s="14">
        <f t="shared" si="2"/>
      </c>
      <c r="O24" s="154"/>
      <c r="P24" s="516">
        <f t="shared" si="3"/>
      </c>
      <c r="Q24" s="8">
        <f t="shared" si="15"/>
      </c>
      <c r="R24" s="221">
        <f t="shared" si="4"/>
      </c>
      <c r="S24" s="293">
        <f t="shared" si="5"/>
        <v>20</v>
      </c>
      <c r="T24" s="895" t="str">
        <f t="shared" si="6"/>
        <v>--</v>
      </c>
      <c r="U24" s="896" t="str">
        <f t="shared" si="7"/>
        <v>--</v>
      </c>
      <c r="V24" s="296" t="str">
        <f t="shared" si="8"/>
        <v>--</v>
      </c>
      <c r="W24" s="297" t="str">
        <f t="shared" si="9"/>
        <v>--</v>
      </c>
      <c r="X24" s="298" t="str">
        <f t="shared" si="10"/>
        <v>--</v>
      </c>
      <c r="Y24" s="299" t="str">
        <f t="shared" si="11"/>
        <v>--</v>
      </c>
      <c r="Z24" s="300" t="str">
        <f t="shared" si="12"/>
        <v>--</v>
      </c>
      <c r="AA24" s="301" t="str">
        <f t="shared" si="13"/>
        <v>--</v>
      </c>
      <c r="AB24" s="897">
        <f t="shared" si="16"/>
      </c>
      <c r="AC24" s="303">
        <f t="shared" si="14"/>
      </c>
      <c r="AD24" s="17"/>
    </row>
    <row r="25" spans="1:30" s="5" customFormat="1" ht="16.5" customHeight="1">
      <c r="A25" s="90"/>
      <c r="B25" s="95"/>
      <c r="C25" s="274"/>
      <c r="D25" s="274"/>
      <c r="E25" s="274"/>
      <c r="F25" s="148"/>
      <c r="G25" s="288"/>
      <c r="H25" s="289"/>
      <c r="I25" s="290"/>
      <c r="J25" s="291">
        <f t="shared" si="0"/>
        <v>0</v>
      </c>
      <c r="K25" s="153"/>
      <c r="L25" s="153"/>
      <c r="M25" s="292">
        <f t="shared" si="1"/>
      </c>
      <c r="N25" s="14">
        <f t="shared" si="2"/>
      </c>
      <c r="O25" s="154"/>
      <c r="P25" s="516">
        <f t="shared" si="3"/>
      </c>
      <c r="Q25" s="8">
        <f t="shared" si="15"/>
      </c>
      <c r="R25" s="221">
        <f t="shared" si="4"/>
      </c>
      <c r="S25" s="293">
        <f t="shared" si="5"/>
        <v>20</v>
      </c>
      <c r="T25" s="895" t="str">
        <f t="shared" si="6"/>
        <v>--</v>
      </c>
      <c r="U25" s="896" t="str">
        <f t="shared" si="7"/>
        <v>--</v>
      </c>
      <c r="V25" s="296" t="str">
        <f t="shared" si="8"/>
        <v>--</v>
      </c>
      <c r="W25" s="297" t="str">
        <f t="shared" si="9"/>
        <v>--</v>
      </c>
      <c r="X25" s="298" t="str">
        <f t="shared" si="10"/>
        <v>--</v>
      </c>
      <c r="Y25" s="299" t="str">
        <f t="shared" si="11"/>
        <v>--</v>
      </c>
      <c r="Z25" s="300" t="str">
        <f t="shared" si="12"/>
        <v>--</v>
      </c>
      <c r="AA25" s="301" t="str">
        <f t="shared" si="13"/>
        <v>--</v>
      </c>
      <c r="AB25" s="897">
        <f t="shared" si="16"/>
      </c>
      <c r="AC25" s="303">
        <f t="shared" si="14"/>
      </c>
      <c r="AD25" s="17"/>
    </row>
    <row r="26" spans="1:31" s="5" customFormat="1" ht="16.5" customHeight="1">
      <c r="A26" s="90"/>
      <c r="B26" s="95"/>
      <c r="C26" s="274"/>
      <c r="D26" s="274"/>
      <c r="E26" s="152"/>
      <c r="F26" s="148"/>
      <c r="G26" s="288"/>
      <c r="H26" s="289"/>
      <c r="I26" s="290"/>
      <c r="J26" s="291">
        <f t="shared" si="0"/>
        <v>0</v>
      </c>
      <c r="K26" s="153"/>
      <c r="L26" s="153"/>
      <c r="M26" s="292">
        <f t="shared" si="1"/>
      </c>
      <c r="N26" s="14">
        <f t="shared" si="2"/>
      </c>
      <c r="O26" s="154"/>
      <c r="P26" s="516">
        <f t="shared" si="3"/>
      </c>
      <c r="Q26" s="8">
        <f t="shared" si="15"/>
      </c>
      <c r="R26" s="221">
        <f t="shared" si="4"/>
      </c>
      <c r="S26" s="293">
        <f t="shared" si="5"/>
        <v>20</v>
      </c>
      <c r="T26" s="895" t="str">
        <f t="shared" si="6"/>
        <v>--</v>
      </c>
      <c r="U26" s="896" t="str">
        <f t="shared" si="7"/>
        <v>--</v>
      </c>
      <c r="V26" s="296" t="str">
        <f t="shared" si="8"/>
        <v>--</v>
      </c>
      <c r="W26" s="297" t="str">
        <f t="shared" si="9"/>
        <v>--</v>
      </c>
      <c r="X26" s="298" t="str">
        <f t="shared" si="10"/>
        <v>--</v>
      </c>
      <c r="Y26" s="299" t="str">
        <f t="shared" si="11"/>
        <v>--</v>
      </c>
      <c r="Z26" s="300" t="str">
        <f t="shared" si="12"/>
        <v>--</v>
      </c>
      <c r="AA26" s="301" t="str">
        <f t="shared" si="13"/>
        <v>--</v>
      </c>
      <c r="AB26" s="897">
        <f t="shared" si="16"/>
      </c>
      <c r="AC26" s="303">
        <f t="shared" si="14"/>
      </c>
      <c r="AD26" s="17"/>
      <c r="AE26" s="15"/>
    </row>
    <row r="27" spans="1:30" s="5" customFormat="1" ht="16.5" customHeight="1">
      <c r="A27" s="90"/>
      <c r="B27" s="95"/>
      <c r="C27" s="274"/>
      <c r="D27" s="274"/>
      <c r="E27" s="274"/>
      <c r="F27" s="148"/>
      <c r="G27" s="288"/>
      <c r="H27" s="289"/>
      <c r="I27" s="290"/>
      <c r="J27" s="291">
        <f t="shared" si="0"/>
        <v>0</v>
      </c>
      <c r="K27" s="153"/>
      <c r="L27" s="153"/>
      <c r="M27" s="292">
        <f t="shared" si="1"/>
      </c>
      <c r="N27" s="14">
        <f t="shared" si="2"/>
      </c>
      <c r="O27" s="154"/>
      <c r="P27" s="516">
        <f t="shared" si="3"/>
      </c>
      <c r="Q27" s="8">
        <f t="shared" si="15"/>
      </c>
      <c r="R27" s="221">
        <f t="shared" si="4"/>
      </c>
      <c r="S27" s="293">
        <f t="shared" si="5"/>
        <v>20</v>
      </c>
      <c r="T27" s="895" t="str">
        <f t="shared" si="6"/>
        <v>--</v>
      </c>
      <c r="U27" s="896" t="str">
        <f t="shared" si="7"/>
        <v>--</v>
      </c>
      <c r="V27" s="296" t="str">
        <f t="shared" si="8"/>
        <v>--</v>
      </c>
      <c r="W27" s="297" t="str">
        <f t="shared" si="9"/>
        <v>--</v>
      </c>
      <c r="X27" s="298" t="str">
        <f t="shared" si="10"/>
        <v>--</v>
      </c>
      <c r="Y27" s="299" t="str">
        <f t="shared" si="11"/>
        <v>--</v>
      </c>
      <c r="Z27" s="300" t="str">
        <f t="shared" si="12"/>
        <v>--</v>
      </c>
      <c r="AA27" s="301" t="str">
        <f t="shared" si="13"/>
        <v>--</v>
      </c>
      <c r="AB27" s="897">
        <f t="shared" si="16"/>
      </c>
      <c r="AC27" s="303">
        <f t="shared" si="14"/>
      </c>
      <c r="AD27" s="17"/>
    </row>
    <row r="28" spans="1:30" s="5" customFormat="1" ht="16.5" customHeight="1">
      <c r="A28" s="90"/>
      <c r="B28" s="95"/>
      <c r="C28" s="274"/>
      <c r="D28" s="274"/>
      <c r="E28" s="152"/>
      <c r="F28" s="148"/>
      <c r="G28" s="288"/>
      <c r="H28" s="289"/>
      <c r="I28" s="290"/>
      <c r="J28" s="291">
        <f t="shared" si="0"/>
        <v>0</v>
      </c>
      <c r="K28" s="153"/>
      <c r="L28" s="153"/>
      <c r="M28" s="292">
        <f t="shared" si="1"/>
      </c>
      <c r="N28" s="14">
        <f t="shared" si="2"/>
      </c>
      <c r="O28" s="154"/>
      <c r="P28" s="516">
        <f t="shared" si="3"/>
      </c>
      <c r="Q28" s="8">
        <f t="shared" si="15"/>
      </c>
      <c r="R28" s="221">
        <f t="shared" si="4"/>
      </c>
      <c r="S28" s="293">
        <f t="shared" si="5"/>
        <v>20</v>
      </c>
      <c r="T28" s="895" t="str">
        <f t="shared" si="6"/>
        <v>--</v>
      </c>
      <c r="U28" s="896" t="str">
        <f t="shared" si="7"/>
        <v>--</v>
      </c>
      <c r="V28" s="296" t="str">
        <f t="shared" si="8"/>
        <v>--</v>
      </c>
      <c r="W28" s="297" t="str">
        <f t="shared" si="9"/>
        <v>--</v>
      </c>
      <c r="X28" s="298" t="str">
        <f t="shared" si="10"/>
        <v>--</v>
      </c>
      <c r="Y28" s="299" t="str">
        <f t="shared" si="11"/>
        <v>--</v>
      </c>
      <c r="Z28" s="300" t="str">
        <f t="shared" si="12"/>
        <v>--</v>
      </c>
      <c r="AA28" s="301" t="str">
        <f t="shared" si="13"/>
        <v>--</v>
      </c>
      <c r="AB28" s="897">
        <f t="shared" si="16"/>
      </c>
      <c r="AC28" s="303">
        <f t="shared" si="14"/>
      </c>
      <c r="AD28" s="17"/>
    </row>
    <row r="29" spans="1:30" s="5" customFormat="1" ht="16.5" customHeight="1">
      <c r="A29" s="90"/>
      <c r="B29" s="95"/>
      <c r="C29" s="274"/>
      <c r="D29" s="274"/>
      <c r="E29" s="274"/>
      <c r="F29" s="148"/>
      <c r="G29" s="288"/>
      <c r="H29" s="289"/>
      <c r="I29" s="290"/>
      <c r="J29" s="291">
        <f t="shared" si="0"/>
        <v>0</v>
      </c>
      <c r="K29" s="153"/>
      <c r="L29" s="153"/>
      <c r="M29" s="292">
        <f t="shared" si="1"/>
      </c>
      <c r="N29" s="14">
        <f t="shared" si="2"/>
      </c>
      <c r="O29" s="154"/>
      <c r="P29" s="516">
        <f t="shared" si="3"/>
      </c>
      <c r="Q29" s="8">
        <f t="shared" si="15"/>
      </c>
      <c r="R29" s="221">
        <f t="shared" si="4"/>
      </c>
      <c r="S29" s="293">
        <f t="shared" si="5"/>
        <v>20</v>
      </c>
      <c r="T29" s="895" t="str">
        <f t="shared" si="6"/>
        <v>--</v>
      </c>
      <c r="U29" s="896" t="str">
        <f t="shared" si="7"/>
        <v>--</v>
      </c>
      <c r="V29" s="296" t="str">
        <f t="shared" si="8"/>
        <v>--</v>
      </c>
      <c r="W29" s="297" t="str">
        <f t="shared" si="9"/>
        <v>--</v>
      </c>
      <c r="X29" s="298" t="str">
        <f t="shared" si="10"/>
        <v>--</v>
      </c>
      <c r="Y29" s="299" t="str">
        <f t="shared" si="11"/>
        <v>--</v>
      </c>
      <c r="Z29" s="300" t="str">
        <f t="shared" si="12"/>
        <v>--</v>
      </c>
      <c r="AA29" s="301" t="str">
        <f t="shared" si="13"/>
        <v>--</v>
      </c>
      <c r="AB29" s="897">
        <f t="shared" si="16"/>
      </c>
      <c r="AC29" s="303">
        <f t="shared" si="14"/>
      </c>
      <c r="AD29" s="17"/>
    </row>
    <row r="30" spans="1:30" s="5" customFormat="1" ht="16.5" customHeight="1">
      <c r="A30" s="90"/>
      <c r="B30" s="95"/>
      <c r="C30" s="274"/>
      <c r="D30" s="274"/>
      <c r="E30" s="152"/>
      <c r="F30" s="148"/>
      <c r="G30" s="304"/>
      <c r="H30" s="289"/>
      <c r="I30" s="290"/>
      <c r="J30" s="291">
        <f t="shared" si="0"/>
        <v>0</v>
      </c>
      <c r="K30" s="153"/>
      <c r="L30" s="153"/>
      <c r="M30" s="292">
        <f t="shared" si="1"/>
      </c>
      <c r="N30" s="14">
        <f t="shared" si="2"/>
      </c>
      <c r="O30" s="154"/>
      <c r="P30" s="516">
        <f t="shared" si="3"/>
      </c>
      <c r="Q30" s="8">
        <f t="shared" si="15"/>
      </c>
      <c r="R30" s="221">
        <f t="shared" si="4"/>
      </c>
      <c r="S30" s="293">
        <f t="shared" si="5"/>
        <v>20</v>
      </c>
      <c r="T30" s="895" t="str">
        <f t="shared" si="6"/>
        <v>--</v>
      </c>
      <c r="U30" s="896" t="str">
        <f t="shared" si="7"/>
        <v>--</v>
      </c>
      <c r="V30" s="296" t="str">
        <f t="shared" si="8"/>
        <v>--</v>
      </c>
      <c r="W30" s="297" t="str">
        <f t="shared" si="9"/>
        <v>--</v>
      </c>
      <c r="X30" s="298" t="str">
        <f t="shared" si="10"/>
        <v>--</v>
      </c>
      <c r="Y30" s="299" t="str">
        <f t="shared" si="11"/>
        <v>--</v>
      </c>
      <c r="Z30" s="300" t="str">
        <f t="shared" si="12"/>
        <v>--</v>
      </c>
      <c r="AA30" s="301" t="str">
        <f t="shared" si="13"/>
        <v>--</v>
      </c>
      <c r="AB30" s="897">
        <f t="shared" si="16"/>
      </c>
      <c r="AC30" s="303">
        <f t="shared" si="14"/>
      </c>
      <c r="AD30" s="17"/>
    </row>
    <row r="31" spans="1:30" s="5" customFormat="1" ht="16.5" customHeight="1">
      <c r="A31" s="90"/>
      <c r="B31" s="95"/>
      <c r="C31" s="274"/>
      <c r="D31" s="274"/>
      <c r="E31" s="274"/>
      <c r="F31" s="148"/>
      <c r="G31" s="304"/>
      <c r="H31" s="289"/>
      <c r="I31" s="290"/>
      <c r="J31" s="291">
        <f t="shared" si="0"/>
        <v>0</v>
      </c>
      <c r="K31" s="153"/>
      <c r="L31" s="153"/>
      <c r="M31" s="292">
        <f t="shared" si="1"/>
      </c>
      <c r="N31" s="14">
        <f t="shared" si="2"/>
      </c>
      <c r="O31" s="154"/>
      <c r="P31" s="516">
        <f t="shared" si="3"/>
      </c>
      <c r="Q31" s="8">
        <f t="shared" si="15"/>
      </c>
      <c r="R31" s="221">
        <f t="shared" si="4"/>
      </c>
      <c r="S31" s="293">
        <f t="shared" si="5"/>
        <v>20</v>
      </c>
      <c r="T31" s="895" t="str">
        <f t="shared" si="6"/>
        <v>--</v>
      </c>
      <c r="U31" s="896" t="str">
        <f t="shared" si="7"/>
        <v>--</v>
      </c>
      <c r="V31" s="296" t="str">
        <f t="shared" si="8"/>
        <v>--</v>
      </c>
      <c r="W31" s="297" t="str">
        <f t="shared" si="9"/>
        <v>--</v>
      </c>
      <c r="X31" s="298" t="str">
        <f t="shared" si="10"/>
        <v>--</v>
      </c>
      <c r="Y31" s="299" t="str">
        <f t="shared" si="11"/>
        <v>--</v>
      </c>
      <c r="Z31" s="300" t="str">
        <f t="shared" si="12"/>
        <v>--</v>
      </c>
      <c r="AA31" s="301" t="str">
        <f t="shared" si="13"/>
        <v>--</v>
      </c>
      <c r="AB31" s="897">
        <f t="shared" si="16"/>
      </c>
      <c r="AC31" s="303">
        <f t="shared" si="14"/>
      </c>
      <c r="AD31" s="17"/>
    </row>
    <row r="32" spans="1:30" s="5" customFormat="1" ht="16.5" customHeight="1">
      <c r="A32" s="90"/>
      <c r="B32" s="95"/>
      <c r="C32" s="274"/>
      <c r="D32" s="274"/>
      <c r="E32" s="152"/>
      <c r="F32" s="148"/>
      <c r="G32" s="304"/>
      <c r="H32" s="289"/>
      <c r="I32" s="290"/>
      <c r="J32" s="291">
        <f t="shared" si="0"/>
        <v>0</v>
      </c>
      <c r="K32" s="153"/>
      <c r="L32" s="153"/>
      <c r="M32" s="292">
        <f t="shared" si="1"/>
      </c>
      <c r="N32" s="14">
        <f t="shared" si="2"/>
      </c>
      <c r="O32" s="154"/>
      <c r="P32" s="516">
        <f t="shared" si="3"/>
      </c>
      <c r="Q32" s="8">
        <f t="shared" si="15"/>
      </c>
      <c r="R32" s="221">
        <f t="shared" si="4"/>
      </c>
      <c r="S32" s="293">
        <f t="shared" si="5"/>
        <v>20</v>
      </c>
      <c r="T32" s="895" t="str">
        <f t="shared" si="6"/>
        <v>--</v>
      </c>
      <c r="U32" s="896" t="str">
        <f t="shared" si="7"/>
        <v>--</v>
      </c>
      <c r="V32" s="296" t="str">
        <f t="shared" si="8"/>
        <v>--</v>
      </c>
      <c r="W32" s="297" t="str">
        <f t="shared" si="9"/>
        <v>--</v>
      </c>
      <c r="X32" s="298" t="str">
        <f t="shared" si="10"/>
        <v>--</v>
      </c>
      <c r="Y32" s="299" t="str">
        <f t="shared" si="11"/>
        <v>--</v>
      </c>
      <c r="Z32" s="300" t="str">
        <f t="shared" si="12"/>
        <v>--</v>
      </c>
      <c r="AA32" s="301" t="str">
        <f t="shared" si="13"/>
        <v>--</v>
      </c>
      <c r="AB32" s="897">
        <f t="shared" si="16"/>
      </c>
      <c r="AC32" s="303">
        <f t="shared" si="14"/>
      </c>
      <c r="AD32" s="17"/>
    </row>
    <row r="33" spans="1:30" s="5" customFormat="1" ht="16.5" customHeight="1">
      <c r="A33" s="90"/>
      <c r="B33" s="95"/>
      <c r="C33" s="274"/>
      <c r="D33" s="274"/>
      <c r="E33" s="274"/>
      <c r="F33" s="148"/>
      <c r="G33" s="304"/>
      <c r="H33" s="289"/>
      <c r="I33" s="290"/>
      <c r="J33" s="291">
        <f t="shared" si="0"/>
        <v>0</v>
      </c>
      <c r="K33" s="153"/>
      <c r="L33" s="153"/>
      <c r="M33" s="292">
        <f t="shared" si="1"/>
      </c>
      <c r="N33" s="14">
        <f t="shared" si="2"/>
      </c>
      <c r="O33" s="154"/>
      <c r="P33" s="516">
        <f t="shared" si="3"/>
      </c>
      <c r="Q33" s="8">
        <f t="shared" si="15"/>
      </c>
      <c r="R33" s="221">
        <f t="shared" si="4"/>
      </c>
      <c r="S33" s="293">
        <f t="shared" si="5"/>
        <v>20</v>
      </c>
      <c r="T33" s="895" t="str">
        <f t="shared" si="6"/>
        <v>--</v>
      </c>
      <c r="U33" s="896" t="str">
        <f t="shared" si="7"/>
        <v>--</v>
      </c>
      <c r="V33" s="296" t="str">
        <f t="shared" si="8"/>
        <v>--</v>
      </c>
      <c r="W33" s="297" t="str">
        <f t="shared" si="9"/>
        <v>--</v>
      </c>
      <c r="X33" s="298" t="str">
        <f t="shared" si="10"/>
        <v>--</v>
      </c>
      <c r="Y33" s="299" t="str">
        <f t="shared" si="11"/>
        <v>--</v>
      </c>
      <c r="Z33" s="300" t="str">
        <f t="shared" si="12"/>
        <v>--</v>
      </c>
      <c r="AA33" s="301" t="str">
        <f t="shared" si="13"/>
        <v>--</v>
      </c>
      <c r="AB33" s="897">
        <f t="shared" si="16"/>
      </c>
      <c r="AC33" s="303">
        <f t="shared" si="14"/>
      </c>
      <c r="AD33" s="17"/>
    </row>
    <row r="34" spans="1:30" s="5" customFormat="1" ht="16.5" customHeight="1">
      <c r="A34" s="90"/>
      <c r="B34" s="95"/>
      <c r="C34" s="274"/>
      <c r="D34" s="274"/>
      <c r="E34" s="152"/>
      <c r="F34" s="148"/>
      <c r="G34" s="304"/>
      <c r="H34" s="289"/>
      <c r="I34" s="290"/>
      <c r="J34" s="291">
        <f t="shared" si="0"/>
        <v>0</v>
      </c>
      <c r="K34" s="153"/>
      <c r="L34" s="153"/>
      <c r="M34" s="292">
        <f t="shared" si="1"/>
      </c>
      <c r="N34" s="14">
        <f t="shared" si="2"/>
      </c>
      <c r="O34" s="154"/>
      <c r="P34" s="516">
        <f t="shared" si="3"/>
      </c>
      <c r="Q34" s="8">
        <f t="shared" si="15"/>
      </c>
      <c r="R34" s="221">
        <f t="shared" si="4"/>
      </c>
      <c r="S34" s="293">
        <f t="shared" si="5"/>
        <v>20</v>
      </c>
      <c r="T34" s="895" t="str">
        <f t="shared" si="6"/>
        <v>--</v>
      </c>
      <c r="U34" s="896" t="str">
        <f t="shared" si="7"/>
        <v>--</v>
      </c>
      <c r="V34" s="296" t="str">
        <f t="shared" si="8"/>
        <v>--</v>
      </c>
      <c r="W34" s="297" t="str">
        <f t="shared" si="9"/>
        <v>--</v>
      </c>
      <c r="X34" s="298" t="str">
        <f t="shared" si="10"/>
        <v>--</v>
      </c>
      <c r="Y34" s="299" t="str">
        <f t="shared" si="11"/>
        <v>--</v>
      </c>
      <c r="Z34" s="300" t="str">
        <f t="shared" si="12"/>
        <v>--</v>
      </c>
      <c r="AA34" s="301" t="str">
        <f t="shared" si="13"/>
        <v>--</v>
      </c>
      <c r="AB34" s="897">
        <f t="shared" si="16"/>
      </c>
      <c r="AC34" s="303">
        <f t="shared" si="14"/>
      </c>
      <c r="AD34" s="17"/>
    </row>
    <row r="35" spans="1:30" s="5" customFormat="1" ht="16.5" customHeight="1">
      <c r="A35" s="90"/>
      <c r="B35" s="95"/>
      <c r="C35" s="274"/>
      <c r="D35" s="274"/>
      <c r="E35" s="274"/>
      <c r="F35" s="148"/>
      <c r="G35" s="304"/>
      <c r="H35" s="289"/>
      <c r="I35" s="290"/>
      <c r="J35" s="291">
        <f t="shared" si="0"/>
        <v>0</v>
      </c>
      <c r="K35" s="153"/>
      <c r="L35" s="153"/>
      <c r="M35" s="292">
        <f t="shared" si="1"/>
      </c>
      <c r="N35" s="14">
        <f t="shared" si="2"/>
      </c>
      <c r="O35" s="154"/>
      <c r="P35" s="516">
        <f t="shared" si="3"/>
      </c>
      <c r="Q35" s="8">
        <f t="shared" si="15"/>
      </c>
      <c r="R35" s="221">
        <f t="shared" si="4"/>
      </c>
      <c r="S35" s="293">
        <f t="shared" si="5"/>
        <v>20</v>
      </c>
      <c r="T35" s="895" t="str">
        <f t="shared" si="6"/>
        <v>--</v>
      </c>
      <c r="U35" s="896" t="str">
        <f t="shared" si="7"/>
        <v>--</v>
      </c>
      <c r="V35" s="296" t="str">
        <f t="shared" si="8"/>
        <v>--</v>
      </c>
      <c r="W35" s="297" t="str">
        <f t="shared" si="9"/>
        <v>--</v>
      </c>
      <c r="X35" s="298" t="str">
        <f t="shared" si="10"/>
        <v>--</v>
      </c>
      <c r="Y35" s="299" t="str">
        <f t="shared" si="11"/>
        <v>--</v>
      </c>
      <c r="Z35" s="300" t="str">
        <f t="shared" si="12"/>
        <v>--</v>
      </c>
      <c r="AA35" s="301" t="str">
        <f t="shared" si="13"/>
        <v>--</v>
      </c>
      <c r="AB35" s="897">
        <f t="shared" si="16"/>
      </c>
      <c r="AC35" s="303">
        <f t="shared" si="14"/>
      </c>
      <c r="AD35" s="17"/>
    </row>
    <row r="36" spans="1:30" s="5" customFormat="1" ht="16.5" customHeight="1">
      <c r="A36" s="90"/>
      <c r="B36" s="95"/>
      <c r="C36" s="274"/>
      <c r="D36" s="274"/>
      <c r="E36" s="152"/>
      <c r="F36" s="148"/>
      <c r="G36" s="304"/>
      <c r="H36" s="289"/>
      <c r="I36" s="290"/>
      <c r="J36" s="291">
        <f t="shared" si="0"/>
        <v>0</v>
      </c>
      <c r="K36" s="153"/>
      <c r="L36" s="153"/>
      <c r="M36" s="292">
        <f t="shared" si="1"/>
      </c>
      <c r="N36" s="14">
        <f t="shared" si="2"/>
      </c>
      <c r="O36" s="154"/>
      <c r="P36" s="516">
        <f t="shared" si="3"/>
      </c>
      <c r="Q36" s="8">
        <f t="shared" si="15"/>
      </c>
      <c r="R36" s="221">
        <f t="shared" si="4"/>
      </c>
      <c r="S36" s="293">
        <f t="shared" si="5"/>
        <v>20</v>
      </c>
      <c r="T36" s="895" t="str">
        <f t="shared" si="6"/>
        <v>--</v>
      </c>
      <c r="U36" s="896" t="str">
        <f t="shared" si="7"/>
        <v>--</v>
      </c>
      <c r="V36" s="296" t="str">
        <f t="shared" si="8"/>
        <v>--</v>
      </c>
      <c r="W36" s="297" t="str">
        <f t="shared" si="9"/>
        <v>--</v>
      </c>
      <c r="X36" s="298" t="str">
        <f t="shared" si="10"/>
        <v>--</v>
      </c>
      <c r="Y36" s="299" t="str">
        <f t="shared" si="11"/>
        <v>--</v>
      </c>
      <c r="Z36" s="300" t="str">
        <f t="shared" si="12"/>
        <v>--</v>
      </c>
      <c r="AA36" s="301" t="str">
        <f t="shared" si="13"/>
        <v>--</v>
      </c>
      <c r="AB36" s="897">
        <f t="shared" si="16"/>
      </c>
      <c r="AC36" s="303">
        <f t="shared" si="14"/>
      </c>
      <c r="AD36" s="17"/>
    </row>
    <row r="37" spans="1:30" s="5" customFormat="1" ht="16.5" customHeight="1">
      <c r="A37" s="90"/>
      <c r="B37" s="95"/>
      <c r="C37" s="274"/>
      <c r="D37" s="274"/>
      <c r="E37" s="274"/>
      <c r="F37" s="148"/>
      <c r="G37" s="304"/>
      <c r="H37" s="289"/>
      <c r="I37" s="290"/>
      <c r="J37" s="291">
        <f t="shared" si="0"/>
        <v>0</v>
      </c>
      <c r="K37" s="153"/>
      <c r="L37" s="153"/>
      <c r="M37" s="292">
        <f t="shared" si="1"/>
      </c>
      <c r="N37" s="14">
        <f t="shared" si="2"/>
      </c>
      <c r="O37" s="154"/>
      <c r="P37" s="516">
        <f t="shared" si="3"/>
      </c>
      <c r="Q37" s="8">
        <f t="shared" si="15"/>
      </c>
      <c r="R37" s="221">
        <f t="shared" si="4"/>
      </c>
      <c r="S37" s="293">
        <f t="shared" si="5"/>
        <v>20</v>
      </c>
      <c r="T37" s="895" t="str">
        <f t="shared" si="6"/>
        <v>--</v>
      </c>
      <c r="U37" s="896" t="str">
        <f t="shared" si="7"/>
        <v>--</v>
      </c>
      <c r="V37" s="296" t="str">
        <f t="shared" si="8"/>
        <v>--</v>
      </c>
      <c r="W37" s="297" t="str">
        <f t="shared" si="9"/>
        <v>--</v>
      </c>
      <c r="X37" s="298" t="str">
        <f t="shared" si="10"/>
        <v>--</v>
      </c>
      <c r="Y37" s="299" t="str">
        <f t="shared" si="11"/>
        <v>--</v>
      </c>
      <c r="Z37" s="300" t="str">
        <f t="shared" si="12"/>
        <v>--</v>
      </c>
      <c r="AA37" s="301" t="str">
        <f t="shared" si="13"/>
        <v>--</v>
      </c>
      <c r="AB37" s="897">
        <f t="shared" si="16"/>
      </c>
      <c r="AC37" s="303">
        <f t="shared" si="14"/>
      </c>
      <c r="AD37" s="17"/>
    </row>
    <row r="38" spans="1:30" s="5" customFormat="1" ht="16.5" customHeight="1">
      <c r="A38" s="90"/>
      <c r="B38" s="95"/>
      <c r="C38" s="274"/>
      <c r="D38" s="274"/>
      <c r="E38" s="152"/>
      <c r="F38" s="148"/>
      <c r="G38" s="304"/>
      <c r="H38" s="289"/>
      <c r="I38" s="290"/>
      <c r="J38" s="291">
        <f t="shared" si="0"/>
        <v>0</v>
      </c>
      <c r="K38" s="153"/>
      <c r="L38" s="153"/>
      <c r="M38" s="292">
        <f t="shared" si="1"/>
      </c>
      <c r="N38" s="14">
        <f t="shared" si="2"/>
      </c>
      <c r="O38" s="154"/>
      <c r="P38" s="516">
        <f t="shared" si="3"/>
      </c>
      <c r="Q38" s="8">
        <f t="shared" si="15"/>
      </c>
      <c r="R38" s="221">
        <f t="shared" si="4"/>
      </c>
      <c r="S38" s="293">
        <f t="shared" si="5"/>
        <v>20</v>
      </c>
      <c r="T38" s="895" t="str">
        <f t="shared" si="6"/>
        <v>--</v>
      </c>
      <c r="U38" s="896" t="str">
        <f t="shared" si="7"/>
        <v>--</v>
      </c>
      <c r="V38" s="296" t="str">
        <f t="shared" si="8"/>
        <v>--</v>
      </c>
      <c r="W38" s="297" t="str">
        <f t="shared" si="9"/>
        <v>--</v>
      </c>
      <c r="X38" s="298" t="str">
        <f t="shared" si="10"/>
        <v>--</v>
      </c>
      <c r="Y38" s="299" t="str">
        <f t="shared" si="11"/>
        <v>--</v>
      </c>
      <c r="Z38" s="300" t="str">
        <f t="shared" si="12"/>
        <v>--</v>
      </c>
      <c r="AA38" s="301" t="str">
        <f t="shared" si="13"/>
        <v>--</v>
      </c>
      <c r="AB38" s="897">
        <f t="shared" si="16"/>
      </c>
      <c r="AC38" s="303">
        <f t="shared" si="14"/>
      </c>
      <c r="AD38" s="17"/>
    </row>
    <row r="39" spans="1:30" s="5" customFormat="1" ht="16.5" customHeight="1">
      <c r="A39" s="90"/>
      <c r="B39" s="95"/>
      <c r="C39" s="274"/>
      <c r="D39" s="274"/>
      <c r="E39" s="274"/>
      <c r="F39" s="148"/>
      <c r="G39" s="304"/>
      <c r="H39" s="289"/>
      <c r="I39" s="290"/>
      <c r="J39" s="291">
        <f t="shared" si="0"/>
        <v>0</v>
      </c>
      <c r="K39" s="153"/>
      <c r="L39" s="153"/>
      <c r="M39" s="292">
        <f t="shared" si="1"/>
      </c>
      <c r="N39" s="14">
        <f t="shared" si="2"/>
      </c>
      <c r="O39" s="154"/>
      <c r="P39" s="516">
        <f t="shared" si="3"/>
      </c>
      <c r="Q39" s="8">
        <f t="shared" si="15"/>
      </c>
      <c r="R39" s="221">
        <f t="shared" si="4"/>
      </c>
      <c r="S39" s="293">
        <f t="shared" si="5"/>
        <v>20</v>
      </c>
      <c r="T39" s="895" t="str">
        <f t="shared" si="6"/>
        <v>--</v>
      </c>
      <c r="U39" s="896" t="str">
        <f t="shared" si="7"/>
        <v>--</v>
      </c>
      <c r="V39" s="296" t="str">
        <f t="shared" si="8"/>
        <v>--</v>
      </c>
      <c r="W39" s="297" t="str">
        <f t="shared" si="9"/>
        <v>--</v>
      </c>
      <c r="X39" s="298" t="str">
        <f t="shared" si="10"/>
        <v>--</v>
      </c>
      <c r="Y39" s="299" t="str">
        <f t="shared" si="11"/>
        <v>--</v>
      </c>
      <c r="Z39" s="300" t="str">
        <f t="shared" si="12"/>
        <v>--</v>
      </c>
      <c r="AA39" s="301" t="str">
        <f t="shared" si="13"/>
        <v>--</v>
      </c>
      <c r="AB39" s="897">
        <f t="shared" si="16"/>
      </c>
      <c r="AC39" s="303">
        <f t="shared" si="14"/>
      </c>
      <c r="AD39" s="17"/>
    </row>
    <row r="40" spans="1:30" s="5" customFormat="1" ht="16.5" customHeight="1" thickBot="1">
      <c r="A40" s="90"/>
      <c r="B40" s="95"/>
      <c r="C40" s="305"/>
      <c r="D40" s="305"/>
      <c r="E40" s="305"/>
      <c r="F40" s="305"/>
      <c r="G40" s="305"/>
      <c r="H40" s="305"/>
      <c r="I40" s="307"/>
      <c r="J40" s="131"/>
      <c r="K40" s="155"/>
      <c r="L40" s="308"/>
      <c r="M40" s="309"/>
      <c r="N40" s="310"/>
      <c r="O40" s="158"/>
      <c r="P40" s="189"/>
      <c r="Q40" s="156"/>
      <c r="R40" s="158"/>
      <c r="S40" s="341"/>
      <c r="T40" s="332"/>
      <c r="U40" s="333"/>
      <c r="V40" s="334"/>
      <c r="W40" s="335"/>
      <c r="X40" s="336"/>
      <c r="Y40" s="337"/>
      <c r="Z40" s="338"/>
      <c r="AA40" s="339"/>
      <c r="AB40" s="340"/>
      <c r="AC40" s="321"/>
      <c r="AD40" s="17"/>
    </row>
    <row r="41" spans="1:30" s="5" customFormat="1" ht="16.5" customHeight="1" thickBot="1" thickTop="1">
      <c r="A41" s="90"/>
      <c r="B41" s="95"/>
      <c r="C41" s="127" t="s">
        <v>24</v>
      </c>
      <c r="D41" s="902"/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22">
        <f aca="true" t="shared" si="17" ref="T41:AA41">SUM(T18:T40)</f>
        <v>2759.9880000000003</v>
      </c>
      <c r="U41" s="323">
        <f t="shared" si="17"/>
        <v>0</v>
      </c>
      <c r="V41" s="324">
        <f t="shared" si="17"/>
        <v>0</v>
      </c>
      <c r="W41" s="325">
        <f t="shared" si="17"/>
        <v>0</v>
      </c>
      <c r="X41" s="326">
        <f t="shared" si="17"/>
        <v>0</v>
      </c>
      <c r="Y41" s="327">
        <f t="shared" si="17"/>
        <v>0</v>
      </c>
      <c r="Z41" s="328">
        <f t="shared" si="17"/>
        <v>0</v>
      </c>
      <c r="AA41" s="329">
        <f t="shared" si="17"/>
        <v>0</v>
      </c>
      <c r="AB41" s="90"/>
      <c r="AC41" s="330">
        <f>ROUND(SUM(AC18:AC40),2)</f>
        <v>2759.99</v>
      </c>
      <c r="AD41" s="17"/>
    </row>
    <row r="42" spans="1:30" s="5" customFormat="1" ht="16.5" customHeight="1" thickBot="1" thickTop="1">
      <c r="A42" s="90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1" ht="16.5" customHeight="1" thickTop="1">
      <c r="A43" s="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ht="16.5" customHeight="1">
      <c r="A44" s="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ht="16.5" customHeight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6:31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6:31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ht="16.5" customHeight="1">
      <c r="AE151" s="172"/>
    </row>
    <row r="152" ht="16.5" customHeight="1">
      <c r="AE152" s="172"/>
    </row>
    <row r="153" ht="16.5" customHeight="1">
      <c r="AE153" s="172"/>
    </row>
    <row r="154" ht="16.5" customHeight="1">
      <c r="AE154" s="172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Roman,Normal"&amp;7&amp;F-&amp;A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+'TOT-0211'!B2</f>
        <v>ANEXO III al Memorándum D.T.E.E. N°  1088 /2012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212</v>
      </c>
      <c r="G10" s="342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3"/>
      <c r="G11" s="343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79</v>
      </c>
      <c r="G12" s="342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3"/>
      <c r="G13" s="343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'TOT-0211'!B14</f>
        <v>Desde el 01 al 28 de febrero de 2011</v>
      </c>
      <c r="C14" s="40"/>
      <c r="D14" s="40"/>
      <c r="E14" s="40"/>
      <c r="F14" s="40"/>
      <c r="G14" s="40"/>
      <c r="H14" s="40"/>
      <c r="I14" s="344"/>
      <c r="J14" s="344"/>
      <c r="K14" s="344"/>
      <c r="L14" s="344"/>
      <c r="M14" s="344"/>
      <c r="N14" s="344"/>
      <c r="O14" s="344"/>
      <c r="P14" s="344"/>
      <c r="Q14" s="40"/>
      <c r="R14" s="40"/>
      <c r="S14" s="40"/>
      <c r="T14" s="40"/>
      <c r="U14" s="40"/>
      <c r="V14" s="40"/>
      <c r="W14" s="345"/>
    </row>
    <row r="15" spans="2:23" s="5" customFormat="1" ht="14.25" thickBot="1">
      <c r="B15" s="346"/>
      <c r="C15" s="347"/>
      <c r="D15" s="347"/>
      <c r="E15" s="347"/>
      <c r="F15" s="347"/>
      <c r="G15" s="347"/>
      <c r="H15" s="347"/>
      <c r="I15" s="348"/>
      <c r="J15" s="348"/>
      <c r="K15" s="348"/>
      <c r="L15" s="348"/>
      <c r="M15" s="348"/>
      <c r="N15" s="348"/>
      <c r="O15" s="348"/>
      <c r="P15" s="348"/>
      <c r="Q15" s="347"/>
      <c r="R15" s="347"/>
      <c r="S15" s="347"/>
      <c r="T15" s="347"/>
      <c r="U15" s="347"/>
      <c r="V15" s="347"/>
      <c r="W15" s="349"/>
    </row>
    <row r="16" spans="2:23" s="5" customFormat="1" ht="15" thickBot="1" thickTop="1">
      <c r="B16" s="50"/>
      <c r="C16" s="4"/>
      <c r="D16" s="4"/>
      <c r="E16" s="4"/>
      <c r="F16" s="350"/>
      <c r="G16" s="350"/>
      <c r="H16" s="117" t="s">
        <v>80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1" t="s">
        <v>81</v>
      </c>
      <c r="G17" s="352">
        <v>111.585</v>
      </c>
      <c r="H17" s="353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4" t="s">
        <v>82</v>
      </c>
      <c r="G18" s="355">
        <v>100.415</v>
      </c>
      <c r="H18" s="35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6" t="s">
        <v>83</v>
      </c>
      <c r="G19" s="355">
        <v>89.269</v>
      </c>
      <c r="H19" s="353">
        <v>40</v>
      </c>
      <c r="K19" s="199"/>
      <c r="L19" s="200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27">
        <v>3</v>
      </c>
      <c r="D20" s="927">
        <v>4</v>
      </c>
      <c r="E20" s="927">
        <v>5</v>
      </c>
      <c r="F20" s="927">
        <v>6</v>
      </c>
      <c r="G20" s="927">
        <v>7</v>
      </c>
      <c r="H20" s="927">
        <v>8</v>
      </c>
      <c r="I20" s="927">
        <v>9</v>
      </c>
      <c r="J20" s="927">
        <v>10</v>
      </c>
      <c r="K20" s="927">
        <v>11</v>
      </c>
      <c r="L20" s="927">
        <v>12</v>
      </c>
      <c r="M20" s="927">
        <v>13</v>
      </c>
      <c r="N20" s="927">
        <v>14</v>
      </c>
      <c r="O20" s="927">
        <v>15</v>
      </c>
      <c r="P20" s="927">
        <v>16</v>
      </c>
      <c r="Q20" s="927">
        <v>17</v>
      </c>
      <c r="R20" s="927">
        <v>18</v>
      </c>
      <c r="S20" s="927">
        <v>19</v>
      </c>
      <c r="T20" s="927">
        <v>20</v>
      </c>
      <c r="U20" s="927">
        <v>21</v>
      </c>
      <c r="V20" s="927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225</v>
      </c>
      <c r="E21" s="84" t="s">
        <v>226</v>
      </c>
      <c r="F21" s="86" t="s">
        <v>26</v>
      </c>
      <c r="G21" s="357" t="s">
        <v>27</v>
      </c>
      <c r="H21" s="358" t="s">
        <v>13</v>
      </c>
      <c r="I21" s="129" t="s">
        <v>15</v>
      </c>
      <c r="J21" s="85" t="s">
        <v>16</v>
      </c>
      <c r="K21" s="357" t="s">
        <v>17</v>
      </c>
      <c r="L21" s="359" t="s">
        <v>35</v>
      </c>
      <c r="M21" s="359" t="s">
        <v>30</v>
      </c>
      <c r="N21" s="88" t="s">
        <v>18</v>
      </c>
      <c r="O21" s="176" t="s">
        <v>31</v>
      </c>
      <c r="P21" s="135" t="s">
        <v>36</v>
      </c>
      <c r="Q21" s="360" t="s">
        <v>70</v>
      </c>
      <c r="R21" s="177" t="s">
        <v>34</v>
      </c>
      <c r="S21" s="361"/>
      <c r="T21" s="134" t="s">
        <v>21</v>
      </c>
      <c r="U21" s="132" t="s">
        <v>74</v>
      </c>
      <c r="V21" s="121" t="s">
        <v>23</v>
      </c>
      <c r="W21" s="6"/>
    </row>
    <row r="22" spans="2:23" s="5" customFormat="1" ht="16.5" customHeight="1" thickTop="1">
      <c r="B22" s="50"/>
      <c r="C22" s="260"/>
      <c r="D22" s="260"/>
      <c r="E22" s="260"/>
      <c r="F22" s="362"/>
      <c r="G22" s="362"/>
      <c r="H22" s="362"/>
      <c r="I22" s="218"/>
      <c r="J22" s="362"/>
      <c r="K22" s="362"/>
      <c r="L22" s="362"/>
      <c r="M22" s="362"/>
      <c r="N22" s="362"/>
      <c r="O22" s="362"/>
      <c r="P22" s="363"/>
      <c r="Q22" s="364"/>
      <c r="R22" s="365"/>
      <c r="S22" s="366"/>
      <c r="T22" s="367"/>
      <c r="U22" s="362"/>
      <c r="V22" s="368"/>
      <c r="W22" s="6"/>
    </row>
    <row r="23" spans="2:23" s="5" customFormat="1" ht="16.5" customHeight="1">
      <c r="B23" s="50"/>
      <c r="C23" s="274"/>
      <c r="D23" s="274"/>
      <c r="E23" s="274"/>
      <c r="F23" s="369"/>
      <c r="G23" s="369"/>
      <c r="H23" s="369"/>
      <c r="I23" s="370"/>
      <c r="J23" s="369"/>
      <c r="K23" s="369"/>
      <c r="L23" s="369"/>
      <c r="M23" s="369"/>
      <c r="N23" s="369"/>
      <c r="O23" s="369"/>
      <c r="P23" s="371"/>
      <c r="Q23" s="372"/>
      <c r="R23" s="188"/>
      <c r="S23" s="373"/>
      <c r="T23" s="374"/>
      <c r="U23" s="369"/>
      <c r="V23" s="375"/>
      <c r="W23" s="6"/>
    </row>
    <row r="24" spans="2:23" s="5" customFormat="1" ht="16.5" customHeight="1">
      <c r="B24" s="50"/>
      <c r="C24" s="274">
        <v>16</v>
      </c>
      <c r="D24" s="274">
        <v>231072</v>
      </c>
      <c r="E24" s="152">
        <v>130</v>
      </c>
      <c r="F24" s="945" t="s">
        <v>300</v>
      </c>
      <c r="G24" s="945" t="s">
        <v>301</v>
      </c>
      <c r="H24" s="946">
        <v>132</v>
      </c>
      <c r="I24" s="130">
        <f aca="true" t="shared" si="0" ref="I24:I43">IF(H24=500,$G$17,IF(H24=220,$G$18,$G$19))</f>
        <v>89.269</v>
      </c>
      <c r="J24" s="378">
        <v>40577.28194444445</v>
      </c>
      <c r="K24" s="150">
        <v>40577.33819444444</v>
      </c>
      <c r="L24" s="379">
        <f aca="true" t="shared" si="1" ref="L24:L43">IF(F24="","",(K24-J24)*24)</f>
        <v>1.3499999998603016</v>
      </c>
      <c r="M24" s="380">
        <f aca="true" t="shared" si="2" ref="M24:M43">IF(F24="","",ROUND((K24-J24)*24*60,0))</f>
        <v>81</v>
      </c>
      <c r="N24" s="220" t="s">
        <v>286</v>
      </c>
      <c r="O24" s="221" t="str">
        <f aca="true" t="shared" si="3" ref="O24:O43">IF(F24="","",IF(N24="P","--","NO"))</f>
        <v>--</v>
      </c>
      <c r="P24" s="727">
        <f aca="true" t="shared" si="4" ref="P24:P43">IF(H24=500,$H$17,IF(H24=220,$H$18,$H$19))</f>
        <v>40</v>
      </c>
      <c r="Q24" s="898">
        <f aca="true" t="shared" si="5" ref="Q24:Q43">IF(N24="P",I24*P24*ROUND(M24/60,2)*0.1,"--")</f>
        <v>482.0526000000001</v>
      </c>
      <c r="R24" s="188" t="str">
        <f aca="true" t="shared" si="6" ref="R24:R43">IF(AND(N24="F",O24="NO"),I24*P24,"--")</f>
        <v>--</v>
      </c>
      <c r="S24" s="373" t="str">
        <f aca="true" t="shared" si="7" ref="S24:S43">IF(N24="F",I24*P24*ROUND(M24/60,2),"--")</f>
        <v>--</v>
      </c>
      <c r="T24" s="374" t="str">
        <f aca="true" t="shared" si="8" ref="T24:T43">IF(N24="RF",I24*P24*ROUND(M24/60,2),"--")</f>
        <v>--</v>
      </c>
      <c r="U24" s="221" t="s">
        <v>202</v>
      </c>
      <c r="V24" s="381">
        <v>0</v>
      </c>
      <c r="W24" s="6"/>
    </row>
    <row r="25" spans="2:23" s="5" customFormat="1" ht="16.5" customHeight="1">
      <c r="B25" s="50"/>
      <c r="C25" s="274">
        <v>17</v>
      </c>
      <c r="D25" s="274">
        <v>231074</v>
      </c>
      <c r="E25" s="274">
        <v>4738</v>
      </c>
      <c r="F25" s="945" t="s">
        <v>336</v>
      </c>
      <c r="G25" s="945" t="s">
        <v>337</v>
      </c>
      <c r="H25" s="147">
        <v>500</v>
      </c>
      <c r="I25" s="130">
        <f t="shared" si="0"/>
        <v>111.585</v>
      </c>
      <c r="J25" s="378">
        <v>40578.37291666667</v>
      </c>
      <c r="K25" s="150">
        <v>40578.78958333333</v>
      </c>
      <c r="L25" s="379">
        <f t="shared" si="1"/>
        <v>9.999999999941792</v>
      </c>
      <c r="M25" s="380">
        <f t="shared" si="2"/>
        <v>600</v>
      </c>
      <c r="N25" s="220" t="s">
        <v>286</v>
      </c>
      <c r="O25" s="221" t="str">
        <f t="shared" si="3"/>
        <v>--</v>
      </c>
      <c r="P25" s="727">
        <f t="shared" si="4"/>
        <v>200</v>
      </c>
      <c r="Q25" s="898">
        <f t="shared" si="5"/>
        <v>22317</v>
      </c>
      <c r="R25" s="188" t="str">
        <f t="shared" si="6"/>
        <v>--</v>
      </c>
      <c r="S25" s="373" t="str">
        <f t="shared" si="7"/>
        <v>--</v>
      </c>
      <c r="T25" s="374" t="str">
        <f t="shared" si="8"/>
        <v>--</v>
      </c>
      <c r="U25" s="221" t="s">
        <v>202</v>
      </c>
      <c r="V25" s="381">
        <v>0</v>
      </c>
      <c r="W25" s="6"/>
    </row>
    <row r="26" spans="2:23" s="5" customFormat="1" ht="16.5" customHeight="1">
      <c r="B26" s="50"/>
      <c r="C26" s="274">
        <v>18</v>
      </c>
      <c r="D26" s="274">
        <v>231077</v>
      </c>
      <c r="E26" s="152">
        <v>4567</v>
      </c>
      <c r="F26" s="945" t="s">
        <v>296</v>
      </c>
      <c r="G26" s="945" t="s">
        <v>302</v>
      </c>
      <c r="H26" s="946">
        <v>132</v>
      </c>
      <c r="I26" s="130">
        <f t="shared" si="0"/>
        <v>89.269</v>
      </c>
      <c r="J26" s="378">
        <v>40579.28888888889</v>
      </c>
      <c r="K26" s="150">
        <v>40579.597916666666</v>
      </c>
      <c r="L26" s="379">
        <f t="shared" si="1"/>
        <v>7.416666666569654</v>
      </c>
      <c r="M26" s="380">
        <f t="shared" si="2"/>
        <v>445</v>
      </c>
      <c r="N26" s="220" t="s">
        <v>286</v>
      </c>
      <c r="O26" s="221" t="str">
        <f t="shared" si="3"/>
        <v>--</v>
      </c>
      <c r="P26" s="727">
        <f t="shared" si="4"/>
        <v>40</v>
      </c>
      <c r="Q26" s="898">
        <f t="shared" si="5"/>
        <v>2649.5039200000006</v>
      </c>
      <c r="R26" s="188" t="str">
        <f t="shared" si="6"/>
        <v>--</v>
      </c>
      <c r="S26" s="373" t="str">
        <f t="shared" si="7"/>
        <v>--</v>
      </c>
      <c r="T26" s="374" t="str">
        <f t="shared" si="8"/>
        <v>--</v>
      </c>
      <c r="U26" s="221" t="s">
        <v>202</v>
      </c>
      <c r="V26" s="381">
        <v>0</v>
      </c>
      <c r="W26" s="6"/>
    </row>
    <row r="27" spans="2:23" s="5" customFormat="1" ht="16.5" customHeight="1">
      <c r="B27" s="50"/>
      <c r="C27" s="274">
        <v>19</v>
      </c>
      <c r="D27" s="274">
        <v>231079</v>
      </c>
      <c r="E27" s="274">
        <v>146</v>
      </c>
      <c r="F27" s="945" t="s">
        <v>303</v>
      </c>
      <c r="G27" s="945" t="s">
        <v>304</v>
      </c>
      <c r="H27" s="946">
        <v>132</v>
      </c>
      <c r="I27" s="130">
        <f t="shared" si="0"/>
        <v>89.269</v>
      </c>
      <c r="J27" s="378">
        <v>40580.25069444445</v>
      </c>
      <c r="K27" s="150">
        <v>40580.25486111111</v>
      </c>
      <c r="L27" s="379">
        <f t="shared" si="1"/>
        <v>0.09999999997671694</v>
      </c>
      <c r="M27" s="380">
        <f t="shared" si="2"/>
        <v>6</v>
      </c>
      <c r="N27" s="220" t="s">
        <v>286</v>
      </c>
      <c r="O27" s="221" t="str">
        <f t="shared" si="3"/>
        <v>--</v>
      </c>
      <c r="P27" s="727">
        <f t="shared" si="4"/>
        <v>40</v>
      </c>
      <c r="Q27" s="898">
        <f t="shared" si="5"/>
        <v>35.707600000000006</v>
      </c>
      <c r="R27" s="188" t="str">
        <f t="shared" si="6"/>
        <v>--</v>
      </c>
      <c r="S27" s="373" t="str">
        <f t="shared" si="7"/>
        <v>--</v>
      </c>
      <c r="T27" s="374" t="str">
        <f t="shared" si="8"/>
        <v>--</v>
      </c>
      <c r="U27" s="221" t="s">
        <v>202</v>
      </c>
      <c r="V27" s="381">
        <v>0</v>
      </c>
      <c r="W27" s="6"/>
    </row>
    <row r="28" spans="2:23" s="5" customFormat="1" ht="16.5" customHeight="1">
      <c r="B28" s="50"/>
      <c r="C28" s="274">
        <v>20</v>
      </c>
      <c r="D28" s="274">
        <v>231085</v>
      </c>
      <c r="E28" s="152">
        <v>95</v>
      </c>
      <c r="F28" s="945" t="s">
        <v>305</v>
      </c>
      <c r="G28" s="945" t="s">
        <v>306</v>
      </c>
      <c r="H28" s="946">
        <v>132</v>
      </c>
      <c r="I28" s="130">
        <f t="shared" si="0"/>
        <v>89.269</v>
      </c>
      <c r="J28" s="378">
        <v>40580.37569444445</v>
      </c>
      <c r="K28" s="150">
        <v>40580.7125</v>
      </c>
      <c r="L28" s="379">
        <f t="shared" si="1"/>
        <v>8.08333333331393</v>
      </c>
      <c r="M28" s="380">
        <f t="shared" si="2"/>
        <v>485</v>
      </c>
      <c r="N28" s="220" t="s">
        <v>286</v>
      </c>
      <c r="O28" s="221" t="str">
        <f t="shared" si="3"/>
        <v>--</v>
      </c>
      <c r="P28" s="727">
        <f t="shared" si="4"/>
        <v>40</v>
      </c>
      <c r="Q28" s="898">
        <f t="shared" si="5"/>
        <v>2885.1740800000007</v>
      </c>
      <c r="R28" s="188" t="str">
        <f t="shared" si="6"/>
        <v>--</v>
      </c>
      <c r="S28" s="373" t="str">
        <f t="shared" si="7"/>
        <v>--</v>
      </c>
      <c r="T28" s="374" t="str">
        <f t="shared" si="8"/>
        <v>--</v>
      </c>
      <c r="U28" s="221" t="s">
        <v>202</v>
      </c>
      <c r="V28" s="381">
        <f aca="true" t="shared" si="9" ref="V28:V43">IF(F28="","",SUM(Q28:T28)*IF(U28="SI",1,2))</f>
        <v>2885.1740800000007</v>
      </c>
      <c r="W28" s="6"/>
    </row>
    <row r="29" spans="2:23" s="5" customFormat="1" ht="16.5" customHeight="1">
      <c r="B29" s="50"/>
      <c r="C29" s="274">
        <v>21</v>
      </c>
      <c r="D29" s="274">
        <v>231087</v>
      </c>
      <c r="E29" s="274">
        <v>144</v>
      </c>
      <c r="F29" s="945" t="s">
        <v>303</v>
      </c>
      <c r="G29" s="945" t="s">
        <v>307</v>
      </c>
      <c r="H29" s="946">
        <v>132</v>
      </c>
      <c r="I29" s="130">
        <f t="shared" si="0"/>
        <v>89.269</v>
      </c>
      <c r="J29" s="378">
        <v>40580.56736111111</v>
      </c>
      <c r="K29" s="150">
        <v>40580.98402777778</v>
      </c>
      <c r="L29" s="379">
        <f t="shared" si="1"/>
        <v>9.999999999941792</v>
      </c>
      <c r="M29" s="380">
        <f t="shared" si="2"/>
        <v>600</v>
      </c>
      <c r="N29" s="220" t="s">
        <v>286</v>
      </c>
      <c r="O29" s="221" t="str">
        <f t="shared" si="3"/>
        <v>--</v>
      </c>
      <c r="P29" s="727">
        <f t="shared" si="4"/>
        <v>40</v>
      </c>
      <c r="Q29" s="898">
        <f t="shared" si="5"/>
        <v>3570.7600000000007</v>
      </c>
      <c r="R29" s="188" t="str">
        <f t="shared" si="6"/>
        <v>--</v>
      </c>
      <c r="S29" s="373" t="str">
        <f t="shared" si="7"/>
        <v>--</v>
      </c>
      <c r="T29" s="374" t="str">
        <f t="shared" si="8"/>
        <v>--</v>
      </c>
      <c r="U29" s="221" t="s">
        <v>202</v>
      </c>
      <c r="V29" s="381">
        <v>0</v>
      </c>
      <c r="W29" s="6"/>
    </row>
    <row r="30" spans="2:23" s="5" customFormat="1" ht="16.5" customHeight="1">
      <c r="B30" s="50"/>
      <c r="C30" s="274">
        <v>22</v>
      </c>
      <c r="D30" s="274">
        <v>231265</v>
      </c>
      <c r="E30" s="152">
        <v>2794</v>
      </c>
      <c r="F30" s="945" t="s">
        <v>308</v>
      </c>
      <c r="G30" s="945" t="s">
        <v>309</v>
      </c>
      <c r="H30" s="946">
        <v>132</v>
      </c>
      <c r="I30" s="130">
        <f t="shared" si="0"/>
        <v>89.269</v>
      </c>
      <c r="J30" s="378">
        <v>40583.42569444444</v>
      </c>
      <c r="K30" s="150">
        <v>40583.74236111111</v>
      </c>
      <c r="L30" s="379">
        <f t="shared" si="1"/>
        <v>7.599999999976717</v>
      </c>
      <c r="M30" s="380">
        <f t="shared" si="2"/>
        <v>456</v>
      </c>
      <c r="N30" s="220" t="s">
        <v>286</v>
      </c>
      <c r="O30" s="221" t="str">
        <f t="shared" si="3"/>
        <v>--</v>
      </c>
      <c r="P30" s="727">
        <f t="shared" si="4"/>
        <v>40</v>
      </c>
      <c r="Q30" s="898">
        <f t="shared" si="5"/>
        <v>2713.7776000000003</v>
      </c>
      <c r="R30" s="188" t="str">
        <f t="shared" si="6"/>
        <v>--</v>
      </c>
      <c r="S30" s="373" t="str">
        <f t="shared" si="7"/>
        <v>--</v>
      </c>
      <c r="T30" s="374" t="str">
        <f t="shared" si="8"/>
        <v>--</v>
      </c>
      <c r="U30" s="221" t="s">
        <v>202</v>
      </c>
      <c r="V30" s="381">
        <f t="shared" si="9"/>
        <v>2713.7776000000003</v>
      </c>
      <c r="W30" s="6"/>
    </row>
    <row r="31" spans="2:23" s="5" customFormat="1" ht="16.5" customHeight="1">
      <c r="B31" s="50"/>
      <c r="C31" s="274">
        <v>23</v>
      </c>
      <c r="D31" s="274">
        <v>231269</v>
      </c>
      <c r="E31" s="274">
        <v>1886</v>
      </c>
      <c r="F31" s="945" t="s">
        <v>310</v>
      </c>
      <c r="G31" s="945" t="s">
        <v>311</v>
      </c>
      <c r="H31" s="946">
        <v>132</v>
      </c>
      <c r="I31" s="130">
        <f t="shared" si="0"/>
        <v>89.269</v>
      </c>
      <c r="J31" s="378">
        <v>40584.356944444444</v>
      </c>
      <c r="K31" s="150">
        <v>40584.501388888886</v>
      </c>
      <c r="L31" s="379">
        <f t="shared" si="1"/>
        <v>3.46666666661622</v>
      </c>
      <c r="M31" s="380">
        <f t="shared" si="2"/>
        <v>208</v>
      </c>
      <c r="N31" s="220" t="s">
        <v>286</v>
      </c>
      <c r="O31" s="221" t="str">
        <f t="shared" si="3"/>
        <v>--</v>
      </c>
      <c r="P31" s="727">
        <f t="shared" si="4"/>
        <v>40</v>
      </c>
      <c r="Q31" s="898">
        <f t="shared" si="5"/>
        <v>1239.05372</v>
      </c>
      <c r="R31" s="188" t="str">
        <f t="shared" si="6"/>
        <v>--</v>
      </c>
      <c r="S31" s="373" t="str">
        <f t="shared" si="7"/>
        <v>--</v>
      </c>
      <c r="T31" s="374" t="str">
        <f t="shared" si="8"/>
        <v>--</v>
      </c>
      <c r="U31" s="221" t="s">
        <v>202</v>
      </c>
      <c r="V31" s="381">
        <v>0</v>
      </c>
      <c r="W31" s="6"/>
    </row>
    <row r="32" spans="2:23" s="5" customFormat="1" ht="16.5" customHeight="1">
      <c r="B32" s="50"/>
      <c r="C32" s="274">
        <v>24</v>
      </c>
      <c r="D32" s="274">
        <v>231270</v>
      </c>
      <c r="E32" s="152">
        <v>4758</v>
      </c>
      <c r="F32" s="945" t="s">
        <v>336</v>
      </c>
      <c r="G32" s="945" t="s">
        <v>338</v>
      </c>
      <c r="H32" s="147">
        <v>500</v>
      </c>
      <c r="I32" s="130">
        <f t="shared" si="0"/>
        <v>111.585</v>
      </c>
      <c r="J32" s="378">
        <v>40586.3</v>
      </c>
      <c r="K32" s="150">
        <v>40586.54305555556</v>
      </c>
      <c r="L32" s="379">
        <f t="shared" si="1"/>
        <v>5.833333333313931</v>
      </c>
      <c r="M32" s="380">
        <f t="shared" si="2"/>
        <v>350</v>
      </c>
      <c r="N32" s="220" t="s">
        <v>286</v>
      </c>
      <c r="O32" s="221" t="str">
        <f t="shared" si="3"/>
        <v>--</v>
      </c>
      <c r="P32" s="727">
        <f t="shared" si="4"/>
        <v>200</v>
      </c>
      <c r="Q32" s="898">
        <f t="shared" si="5"/>
        <v>13010.811000000002</v>
      </c>
      <c r="R32" s="188" t="str">
        <f t="shared" si="6"/>
        <v>--</v>
      </c>
      <c r="S32" s="373" t="str">
        <f t="shared" si="7"/>
        <v>--</v>
      </c>
      <c r="T32" s="374" t="str">
        <f t="shared" si="8"/>
        <v>--</v>
      </c>
      <c r="U32" s="221" t="s">
        <v>202</v>
      </c>
      <c r="V32" s="381">
        <v>0</v>
      </c>
      <c r="W32" s="6"/>
    </row>
    <row r="33" spans="2:23" s="5" customFormat="1" ht="16.5" customHeight="1">
      <c r="B33" s="50"/>
      <c r="C33" s="274">
        <v>25</v>
      </c>
      <c r="D33" s="274">
        <v>231425</v>
      </c>
      <c r="E33" s="274">
        <v>3697</v>
      </c>
      <c r="F33" s="945" t="s">
        <v>312</v>
      </c>
      <c r="G33" s="945" t="s">
        <v>313</v>
      </c>
      <c r="H33" s="946">
        <v>500</v>
      </c>
      <c r="I33" s="130">
        <f t="shared" si="0"/>
        <v>111.585</v>
      </c>
      <c r="J33" s="378">
        <v>40591.67222222222</v>
      </c>
      <c r="K33" s="150">
        <v>40592.08888888889</v>
      </c>
      <c r="L33" s="379">
        <f t="shared" si="1"/>
        <v>9.999999999941792</v>
      </c>
      <c r="M33" s="380">
        <f t="shared" si="2"/>
        <v>600</v>
      </c>
      <c r="N33" s="220" t="s">
        <v>286</v>
      </c>
      <c r="O33" s="221" t="str">
        <f t="shared" si="3"/>
        <v>--</v>
      </c>
      <c r="P33" s="727">
        <f t="shared" si="4"/>
        <v>200</v>
      </c>
      <c r="Q33" s="898">
        <f t="shared" si="5"/>
        <v>22317</v>
      </c>
      <c r="R33" s="188" t="str">
        <f t="shared" si="6"/>
        <v>--</v>
      </c>
      <c r="S33" s="373" t="str">
        <f t="shared" si="7"/>
        <v>--</v>
      </c>
      <c r="T33" s="374" t="str">
        <f t="shared" si="8"/>
        <v>--</v>
      </c>
      <c r="U33" s="221" t="s">
        <v>202</v>
      </c>
      <c r="V33" s="381">
        <v>0</v>
      </c>
      <c r="W33" s="6"/>
    </row>
    <row r="34" spans="2:23" s="5" customFormat="1" ht="16.5" customHeight="1">
      <c r="B34" s="50"/>
      <c r="C34" s="274">
        <v>26</v>
      </c>
      <c r="D34" s="274">
        <v>231573</v>
      </c>
      <c r="E34" s="152">
        <v>4782</v>
      </c>
      <c r="F34" s="945" t="s">
        <v>336</v>
      </c>
      <c r="G34" s="945" t="s">
        <v>339</v>
      </c>
      <c r="H34" s="147">
        <v>500</v>
      </c>
      <c r="I34" s="130">
        <f t="shared" si="0"/>
        <v>111.585</v>
      </c>
      <c r="J34" s="378">
        <v>40600.19583333333</v>
      </c>
      <c r="K34" s="150">
        <v>40600.6125</v>
      </c>
      <c r="L34" s="379">
        <f t="shared" si="1"/>
        <v>10.000000000116415</v>
      </c>
      <c r="M34" s="380">
        <f t="shared" si="2"/>
        <v>600</v>
      </c>
      <c r="N34" s="220" t="s">
        <v>286</v>
      </c>
      <c r="O34" s="221" t="str">
        <f t="shared" si="3"/>
        <v>--</v>
      </c>
      <c r="P34" s="727">
        <f t="shared" si="4"/>
        <v>200</v>
      </c>
      <c r="Q34" s="898">
        <f t="shared" si="5"/>
        <v>22317</v>
      </c>
      <c r="R34" s="188" t="str">
        <f t="shared" si="6"/>
        <v>--</v>
      </c>
      <c r="S34" s="373" t="str">
        <f t="shared" si="7"/>
        <v>--</v>
      </c>
      <c r="T34" s="374" t="str">
        <f t="shared" si="8"/>
        <v>--</v>
      </c>
      <c r="U34" s="221" t="s">
        <v>202</v>
      </c>
      <c r="V34" s="381">
        <v>0</v>
      </c>
      <c r="W34" s="6"/>
    </row>
    <row r="35" spans="2:23" s="5" customFormat="1" ht="16.5" customHeight="1">
      <c r="B35" s="50"/>
      <c r="C35" s="274">
        <v>27</v>
      </c>
      <c r="D35" s="274">
        <v>231574</v>
      </c>
      <c r="E35" s="274">
        <v>4851</v>
      </c>
      <c r="F35" s="945" t="s">
        <v>340</v>
      </c>
      <c r="G35" s="945" t="s">
        <v>341</v>
      </c>
      <c r="H35" s="147">
        <v>132</v>
      </c>
      <c r="I35" s="130">
        <f t="shared" si="0"/>
        <v>89.269</v>
      </c>
      <c r="J35" s="378">
        <v>40600.59305555555</v>
      </c>
      <c r="K35" s="150">
        <v>40600.79722222222</v>
      </c>
      <c r="L35" s="379">
        <f t="shared" si="1"/>
        <v>4.900000000081491</v>
      </c>
      <c r="M35" s="380">
        <f t="shared" si="2"/>
        <v>294</v>
      </c>
      <c r="N35" s="220" t="s">
        <v>286</v>
      </c>
      <c r="O35" s="221" t="str">
        <f t="shared" si="3"/>
        <v>--</v>
      </c>
      <c r="P35" s="727">
        <f t="shared" si="4"/>
        <v>40</v>
      </c>
      <c r="Q35" s="898">
        <f t="shared" si="5"/>
        <v>1749.6724000000004</v>
      </c>
      <c r="R35" s="188" t="str">
        <f t="shared" si="6"/>
        <v>--</v>
      </c>
      <c r="S35" s="373" t="str">
        <f t="shared" si="7"/>
        <v>--</v>
      </c>
      <c r="T35" s="374" t="str">
        <f t="shared" si="8"/>
        <v>--</v>
      </c>
      <c r="U35" s="221" t="s">
        <v>202</v>
      </c>
      <c r="V35" s="381">
        <f t="shared" si="9"/>
        <v>1749.6724000000004</v>
      </c>
      <c r="W35" s="6"/>
    </row>
    <row r="36" spans="2:23" s="5" customFormat="1" ht="16.5" customHeight="1">
      <c r="B36" s="50"/>
      <c r="C36" s="274">
        <v>28</v>
      </c>
      <c r="D36" s="274">
        <v>231575</v>
      </c>
      <c r="E36" s="152">
        <v>134</v>
      </c>
      <c r="F36" s="945" t="s">
        <v>314</v>
      </c>
      <c r="G36" s="945" t="s">
        <v>315</v>
      </c>
      <c r="H36" s="946">
        <v>132</v>
      </c>
      <c r="I36" s="130">
        <f t="shared" si="0"/>
        <v>89.269</v>
      </c>
      <c r="J36" s="378">
        <v>40601.356944444444</v>
      </c>
      <c r="K36" s="150">
        <v>40601.714583333334</v>
      </c>
      <c r="L36" s="379">
        <f t="shared" si="1"/>
        <v>8.583333333372138</v>
      </c>
      <c r="M36" s="380">
        <f t="shared" si="2"/>
        <v>515</v>
      </c>
      <c r="N36" s="220" t="s">
        <v>286</v>
      </c>
      <c r="O36" s="221" t="str">
        <f t="shared" si="3"/>
        <v>--</v>
      </c>
      <c r="P36" s="727">
        <f t="shared" si="4"/>
        <v>40</v>
      </c>
      <c r="Q36" s="898">
        <f t="shared" si="5"/>
        <v>3063.7120800000002</v>
      </c>
      <c r="R36" s="188" t="str">
        <f t="shared" si="6"/>
        <v>--</v>
      </c>
      <c r="S36" s="373" t="str">
        <f t="shared" si="7"/>
        <v>--</v>
      </c>
      <c r="T36" s="374" t="str">
        <f t="shared" si="8"/>
        <v>--</v>
      </c>
      <c r="U36" s="221" t="s">
        <v>202</v>
      </c>
      <c r="V36" s="381">
        <v>0</v>
      </c>
      <c r="W36" s="6"/>
    </row>
    <row r="37" spans="2:23" s="5" customFormat="1" ht="16.5" customHeight="1">
      <c r="B37" s="50"/>
      <c r="C37" s="274"/>
      <c r="D37" s="274"/>
      <c r="E37" s="274"/>
      <c r="F37" s="376"/>
      <c r="G37" s="376"/>
      <c r="H37" s="377"/>
      <c r="I37" s="130">
        <f t="shared" si="0"/>
        <v>89.269</v>
      </c>
      <c r="J37" s="378"/>
      <c r="K37" s="150"/>
      <c r="L37" s="379">
        <f t="shared" si="1"/>
      </c>
      <c r="M37" s="380">
        <f t="shared" si="2"/>
      </c>
      <c r="N37" s="220"/>
      <c r="O37" s="221">
        <f t="shared" si="3"/>
      </c>
      <c r="P37" s="727">
        <f t="shared" si="4"/>
        <v>40</v>
      </c>
      <c r="Q37" s="898" t="str">
        <f t="shared" si="5"/>
        <v>--</v>
      </c>
      <c r="R37" s="188" t="str">
        <f t="shared" si="6"/>
        <v>--</v>
      </c>
      <c r="S37" s="373" t="str">
        <f t="shared" si="7"/>
        <v>--</v>
      </c>
      <c r="T37" s="374" t="str">
        <f t="shared" si="8"/>
        <v>--</v>
      </c>
      <c r="U37" s="221">
        <f aca="true" t="shared" si="10" ref="U37:U43">IF(F37="","","SI")</f>
      </c>
      <c r="V37" s="381">
        <f t="shared" si="9"/>
      </c>
      <c r="W37" s="6"/>
    </row>
    <row r="38" spans="2:23" s="5" customFormat="1" ht="16.5" customHeight="1">
      <c r="B38" s="50"/>
      <c r="C38" s="274"/>
      <c r="D38" s="274"/>
      <c r="E38" s="152"/>
      <c r="F38" s="376"/>
      <c r="G38" s="376"/>
      <c r="H38" s="377"/>
      <c r="I38" s="130">
        <f t="shared" si="0"/>
        <v>89.269</v>
      </c>
      <c r="J38" s="378"/>
      <c r="K38" s="150"/>
      <c r="L38" s="379">
        <f t="shared" si="1"/>
      </c>
      <c r="M38" s="380">
        <f t="shared" si="2"/>
      </c>
      <c r="N38" s="220"/>
      <c r="O38" s="221">
        <f t="shared" si="3"/>
      </c>
      <c r="P38" s="727">
        <f t="shared" si="4"/>
        <v>40</v>
      </c>
      <c r="Q38" s="898" t="str">
        <f t="shared" si="5"/>
        <v>--</v>
      </c>
      <c r="R38" s="188" t="str">
        <f t="shared" si="6"/>
        <v>--</v>
      </c>
      <c r="S38" s="373" t="str">
        <f t="shared" si="7"/>
        <v>--</v>
      </c>
      <c r="T38" s="374" t="str">
        <f t="shared" si="8"/>
        <v>--</v>
      </c>
      <c r="U38" s="221">
        <f t="shared" si="10"/>
      </c>
      <c r="V38" s="381">
        <f t="shared" si="9"/>
      </c>
      <c r="W38" s="6"/>
    </row>
    <row r="39" spans="2:23" s="5" customFormat="1" ht="16.5" customHeight="1">
      <c r="B39" s="50"/>
      <c r="C39" s="274"/>
      <c r="D39" s="274"/>
      <c r="E39" s="274"/>
      <c r="F39" s="376"/>
      <c r="G39" s="376"/>
      <c r="H39" s="377"/>
      <c r="I39" s="130">
        <f t="shared" si="0"/>
        <v>89.269</v>
      </c>
      <c r="J39" s="378"/>
      <c r="K39" s="150"/>
      <c r="L39" s="379">
        <f t="shared" si="1"/>
      </c>
      <c r="M39" s="380">
        <f t="shared" si="2"/>
      </c>
      <c r="N39" s="220"/>
      <c r="O39" s="221">
        <f t="shared" si="3"/>
      </c>
      <c r="P39" s="727">
        <f t="shared" si="4"/>
        <v>40</v>
      </c>
      <c r="Q39" s="898" t="str">
        <f t="shared" si="5"/>
        <v>--</v>
      </c>
      <c r="R39" s="188" t="str">
        <f t="shared" si="6"/>
        <v>--</v>
      </c>
      <c r="S39" s="373" t="str">
        <f t="shared" si="7"/>
        <v>--</v>
      </c>
      <c r="T39" s="374" t="str">
        <f t="shared" si="8"/>
        <v>--</v>
      </c>
      <c r="U39" s="221">
        <f t="shared" si="10"/>
      </c>
      <c r="V39" s="381">
        <f t="shared" si="9"/>
      </c>
      <c r="W39" s="6"/>
    </row>
    <row r="40" spans="2:23" s="5" customFormat="1" ht="16.5" customHeight="1">
      <c r="B40" s="50"/>
      <c r="C40" s="274"/>
      <c r="D40" s="274"/>
      <c r="E40" s="152"/>
      <c r="F40" s="376"/>
      <c r="G40" s="376"/>
      <c r="H40" s="377"/>
      <c r="I40" s="130">
        <f t="shared" si="0"/>
        <v>89.269</v>
      </c>
      <c r="J40" s="378"/>
      <c r="K40" s="150"/>
      <c r="L40" s="379">
        <f t="shared" si="1"/>
      </c>
      <c r="M40" s="380">
        <f t="shared" si="2"/>
      </c>
      <c r="N40" s="220"/>
      <c r="O40" s="221">
        <f t="shared" si="3"/>
      </c>
      <c r="P40" s="727">
        <f t="shared" si="4"/>
        <v>40</v>
      </c>
      <c r="Q40" s="898" t="str">
        <f t="shared" si="5"/>
        <v>--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221">
        <f t="shared" si="10"/>
      </c>
      <c r="V40" s="381">
        <f t="shared" si="9"/>
      </c>
      <c r="W40" s="6"/>
    </row>
    <row r="41" spans="2:23" s="5" customFormat="1" ht="16.5" customHeight="1">
      <c r="B41" s="50"/>
      <c r="C41" s="274"/>
      <c r="D41" s="274"/>
      <c r="E41" s="274"/>
      <c r="F41" s="376"/>
      <c r="G41" s="376"/>
      <c r="H41" s="377"/>
      <c r="I41" s="130">
        <f t="shared" si="0"/>
        <v>89.269</v>
      </c>
      <c r="J41" s="378"/>
      <c r="K41" s="150"/>
      <c r="L41" s="379">
        <f t="shared" si="1"/>
      </c>
      <c r="M41" s="380">
        <f t="shared" si="2"/>
      </c>
      <c r="N41" s="220"/>
      <c r="O41" s="221">
        <f t="shared" si="3"/>
      </c>
      <c r="P41" s="727">
        <f t="shared" si="4"/>
        <v>40</v>
      </c>
      <c r="Q41" s="898" t="str">
        <f t="shared" si="5"/>
        <v>--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>
        <f t="shared" si="10"/>
      </c>
      <c r="V41" s="381">
        <f t="shared" si="9"/>
      </c>
      <c r="W41" s="6"/>
    </row>
    <row r="42" spans="2:23" s="5" customFormat="1" ht="16.5" customHeight="1">
      <c r="B42" s="50"/>
      <c r="C42" s="274"/>
      <c r="D42" s="274"/>
      <c r="E42" s="152"/>
      <c r="F42" s="376"/>
      <c r="G42" s="376"/>
      <c r="H42" s="377"/>
      <c r="I42" s="130">
        <f t="shared" si="0"/>
        <v>89.269</v>
      </c>
      <c r="J42" s="378"/>
      <c r="K42" s="150"/>
      <c r="L42" s="379">
        <f t="shared" si="1"/>
      </c>
      <c r="M42" s="380">
        <f t="shared" si="2"/>
      </c>
      <c r="N42" s="220"/>
      <c r="O42" s="221">
        <f t="shared" si="3"/>
      </c>
      <c r="P42" s="727">
        <f t="shared" si="4"/>
        <v>40</v>
      </c>
      <c r="Q42" s="898" t="str">
        <f t="shared" si="5"/>
        <v>--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221">
        <f t="shared" si="10"/>
      </c>
      <c r="V42" s="381">
        <f t="shared" si="9"/>
      </c>
      <c r="W42" s="6"/>
    </row>
    <row r="43" spans="2:23" s="5" customFormat="1" ht="16.5" customHeight="1">
      <c r="B43" s="50"/>
      <c r="C43" s="274"/>
      <c r="D43" s="274"/>
      <c r="E43" s="274"/>
      <c r="F43" s="376"/>
      <c r="G43" s="376"/>
      <c r="H43" s="377"/>
      <c r="I43" s="130">
        <f t="shared" si="0"/>
        <v>89.269</v>
      </c>
      <c r="J43" s="378"/>
      <c r="K43" s="150"/>
      <c r="L43" s="379">
        <f t="shared" si="1"/>
      </c>
      <c r="M43" s="380">
        <f t="shared" si="2"/>
      </c>
      <c r="N43" s="220"/>
      <c r="O43" s="221">
        <f t="shared" si="3"/>
      </c>
      <c r="P43" s="727">
        <f t="shared" si="4"/>
        <v>40</v>
      </c>
      <c r="Q43" s="898" t="str">
        <f t="shared" si="5"/>
        <v>--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221">
        <f t="shared" si="10"/>
      </c>
      <c r="V43" s="381">
        <f t="shared" si="9"/>
      </c>
      <c r="W43" s="6"/>
    </row>
    <row r="44" spans="2:23" s="5" customFormat="1" ht="16.5" customHeight="1" thickBot="1">
      <c r="B44" s="50"/>
      <c r="C44" s="228"/>
      <c r="D44" s="228"/>
      <c r="E44" s="228"/>
      <c r="F44" s="228"/>
      <c r="G44" s="228"/>
      <c r="H44" s="228"/>
      <c r="I44" s="131"/>
      <c r="J44" s="382"/>
      <c r="K44" s="382"/>
      <c r="L44" s="383"/>
      <c r="M44" s="383"/>
      <c r="N44" s="382"/>
      <c r="O44" s="151"/>
      <c r="P44" s="384"/>
      <c r="Q44" s="385"/>
      <c r="R44" s="386"/>
      <c r="S44" s="387"/>
      <c r="T44" s="157"/>
      <c r="U44" s="151"/>
      <c r="V44" s="388"/>
      <c r="W44" s="6"/>
    </row>
    <row r="45" spans="2:23" s="5" customFormat="1" ht="16.5" customHeight="1" thickBot="1" thickTop="1">
      <c r="B45" s="50"/>
      <c r="C45" s="127" t="s">
        <v>24</v>
      </c>
      <c r="D45" s="73"/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89">
        <f>SUM(Q22:Q44)</f>
        <v>98351.22499999999</v>
      </c>
      <c r="R45" s="390">
        <f>SUM(R22:R44)</f>
        <v>0</v>
      </c>
      <c r="S45" s="391">
        <f>SUM(S22:S44)</f>
        <v>0</v>
      </c>
      <c r="T45" s="392">
        <f>SUM(T22:T44)</f>
        <v>0</v>
      </c>
      <c r="U45" s="393"/>
      <c r="V45" s="100">
        <f>ROUND(SUM(V22:V44),2)</f>
        <v>7348.62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Roman,Normal"&amp;7&amp;F-&amp;A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Y157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+'TOT-0211'!B2</f>
        <v>ANEXO III al Memorándum D.T.E.E. N°  1088 /2012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832" customFormat="1" ht="33" customHeight="1">
      <c r="B10" s="833"/>
      <c r="C10" s="831"/>
      <c r="D10" s="831"/>
      <c r="E10" s="831"/>
      <c r="F10" s="854" t="s">
        <v>212</v>
      </c>
      <c r="G10" s="855"/>
      <c r="H10" s="856"/>
      <c r="I10" s="857"/>
      <c r="K10" s="857"/>
      <c r="L10" s="857"/>
      <c r="M10" s="857"/>
      <c r="N10" s="857"/>
      <c r="O10" s="857"/>
      <c r="P10" s="857"/>
      <c r="Q10" s="831"/>
      <c r="R10" s="831"/>
      <c r="S10" s="831"/>
      <c r="T10" s="831"/>
      <c r="U10" s="831"/>
      <c r="V10" s="831"/>
      <c r="W10" s="858"/>
    </row>
    <row r="11" spans="2:23" s="835" customFormat="1" ht="33" customHeight="1">
      <c r="B11" s="836"/>
      <c r="C11" s="837"/>
      <c r="D11" s="837"/>
      <c r="E11" s="837"/>
      <c r="F11" s="854" t="s">
        <v>219</v>
      </c>
      <c r="G11" s="859"/>
      <c r="H11" s="860"/>
      <c r="I11" s="861"/>
      <c r="J11" s="862"/>
      <c r="K11" s="861"/>
      <c r="L11" s="861"/>
      <c r="M11" s="861"/>
      <c r="N11" s="861"/>
      <c r="O11" s="861"/>
      <c r="P11" s="861"/>
      <c r="Q11" s="837"/>
      <c r="R11" s="837"/>
      <c r="S11" s="837"/>
      <c r="T11" s="837"/>
      <c r="U11" s="837"/>
      <c r="V11" s="837"/>
      <c r="W11" s="863"/>
    </row>
    <row r="12" spans="2:23" s="5" customFormat="1" ht="19.5">
      <c r="B12" s="37" t="str">
        <f>'TOT-0211'!B14</f>
        <v>Desde el 01 al 28 de febrero de 2011</v>
      </c>
      <c r="C12" s="40"/>
      <c r="D12" s="40"/>
      <c r="E12" s="40"/>
      <c r="F12" s="40"/>
      <c r="G12" s="40"/>
      <c r="H12" s="40"/>
      <c r="I12" s="344"/>
      <c r="J12" s="344"/>
      <c r="K12" s="344"/>
      <c r="L12" s="344"/>
      <c r="M12" s="344"/>
      <c r="N12" s="344"/>
      <c r="O12" s="344"/>
      <c r="P12" s="344"/>
      <c r="Q12" s="40"/>
      <c r="R12" s="40"/>
      <c r="S12" s="40"/>
      <c r="T12" s="40"/>
      <c r="U12" s="40"/>
      <c r="V12" s="40"/>
      <c r="W12" s="345"/>
    </row>
    <row r="13" spans="2:23" s="5" customFormat="1" ht="14.25" thickBot="1">
      <c r="B13" s="346"/>
      <c r="C13" s="347"/>
      <c r="D13" s="347"/>
      <c r="E13" s="347"/>
      <c r="F13" s="347"/>
      <c r="G13" s="347"/>
      <c r="H13" s="347"/>
      <c r="I13" s="348"/>
      <c r="J13" s="348"/>
      <c r="K13" s="348"/>
      <c r="L13" s="348"/>
      <c r="M13" s="348"/>
      <c r="N13" s="348"/>
      <c r="O13" s="348"/>
      <c r="P13" s="348"/>
      <c r="Q13" s="347"/>
      <c r="R13" s="347"/>
      <c r="S13" s="347"/>
      <c r="T13" s="347"/>
      <c r="U13" s="347"/>
      <c r="V13" s="347"/>
      <c r="W13" s="349"/>
    </row>
    <row r="14" spans="2:23" s="5" customFormat="1" ht="15" thickBot="1" thickTop="1">
      <c r="B14" s="50"/>
      <c r="C14" s="4"/>
      <c r="D14" s="4"/>
      <c r="E14" s="4"/>
      <c r="F14" s="350"/>
      <c r="G14" s="350"/>
      <c r="H14" s="117" t="s">
        <v>80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51" t="s">
        <v>81</v>
      </c>
      <c r="G15" s="352">
        <v>40.838</v>
      </c>
      <c r="H15" s="353">
        <v>200</v>
      </c>
      <c r="V15" s="115"/>
      <c r="W15" s="6"/>
    </row>
    <row r="16" spans="2:23" s="5" customFormat="1" ht="16.5" customHeight="1" thickBot="1" thickTop="1">
      <c r="B16" s="50"/>
      <c r="C16" s="4"/>
      <c r="D16" s="4"/>
      <c r="E16" s="4"/>
      <c r="F16" s="354" t="s">
        <v>82</v>
      </c>
      <c r="G16" s="355" t="s">
        <v>244</v>
      </c>
      <c r="H16" s="353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6" t="s">
        <v>83</v>
      </c>
      <c r="G17" s="394">
        <v>32.672</v>
      </c>
      <c r="H17" s="353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927">
        <v>3</v>
      </c>
      <c r="D18" s="927">
        <v>4</v>
      </c>
      <c r="E18" s="927">
        <v>5</v>
      </c>
      <c r="F18" s="927">
        <v>6</v>
      </c>
      <c r="G18" s="927">
        <v>7</v>
      </c>
      <c r="H18" s="927">
        <v>8</v>
      </c>
      <c r="I18" s="927">
        <v>9</v>
      </c>
      <c r="J18" s="927">
        <v>10</v>
      </c>
      <c r="K18" s="927">
        <v>11</v>
      </c>
      <c r="L18" s="927">
        <v>12</v>
      </c>
      <c r="M18" s="927">
        <v>13</v>
      </c>
      <c r="N18" s="927">
        <v>14</v>
      </c>
      <c r="O18" s="927">
        <v>15</v>
      </c>
      <c r="P18" s="927">
        <v>16</v>
      </c>
      <c r="Q18" s="927">
        <v>17</v>
      </c>
      <c r="R18" s="927">
        <v>18</v>
      </c>
      <c r="S18" s="927">
        <v>19</v>
      </c>
      <c r="T18" s="927">
        <v>20</v>
      </c>
      <c r="U18" s="927">
        <v>21</v>
      </c>
      <c r="V18" s="927">
        <v>22</v>
      </c>
      <c r="W18" s="6"/>
    </row>
    <row r="19" spans="2:23" s="5" customFormat="1" ht="33.75" customHeight="1" thickBot="1" thickTop="1">
      <c r="B19" s="50"/>
      <c r="C19" s="123" t="s">
        <v>12</v>
      </c>
      <c r="D19" s="84" t="s">
        <v>225</v>
      </c>
      <c r="E19" s="84" t="s">
        <v>226</v>
      </c>
      <c r="F19" s="86" t="s">
        <v>26</v>
      </c>
      <c r="G19" s="357" t="s">
        <v>27</v>
      </c>
      <c r="H19" s="358" t="s">
        <v>13</v>
      </c>
      <c r="I19" s="129" t="s">
        <v>15</v>
      </c>
      <c r="J19" s="85" t="s">
        <v>16</v>
      </c>
      <c r="K19" s="357" t="s">
        <v>17</v>
      </c>
      <c r="L19" s="359" t="s">
        <v>35</v>
      </c>
      <c r="M19" s="359" t="s">
        <v>30</v>
      </c>
      <c r="N19" s="88" t="s">
        <v>18</v>
      </c>
      <c r="O19" s="176" t="s">
        <v>31</v>
      </c>
      <c r="P19" s="135" t="s">
        <v>36</v>
      </c>
      <c r="Q19" s="360" t="s">
        <v>70</v>
      </c>
      <c r="R19" s="177" t="s">
        <v>34</v>
      </c>
      <c r="S19" s="361"/>
      <c r="T19" s="134" t="s">
        <v>21</v>
      </c>
      <c r="U19" s="132" t="s">
        <v>74</v>
      </c>
      <c r="V19" s="121" t="s">
        <v>23</v>
      </c>
      <c r="W19" s="6"/>
    </row>
    <row r="20" spans="2:23" s="5" customFormat="1" ht="16.5" customHeight="1" thickTop="1">
      <c r="B20" s="50"/>
      <c r="C20" s="260"/>
      <c r="D20" s="260"/>
      <c r="E20" s="260"/>
      <c r="F20" s="362"/>
      <c r="G20" s="362"/>
      <c r="H20" s="362"/>
      <c r="I20" s="218"/>
      <c r="J20" s="362"/>
      <c r="K20" s="362"/>
      <c r="L20" s="362"/>
      <c r="M20" s="362"/>
      <c r="N20" s="362"/>
      <c r="O20" s="362"/>
      <c r="P20" s="363"/>
      <c r="Q20" s="364"/>
      <c r="R20" s="365"/>
      <c r="S20" s="366"/>
      <c r="T20" s="367"/>
      <c r="U20" s="362"/>
      <c r="V20" s="368"/>
      <c r="W20" s="6"/>
    </row>
    <row r="21" spans="2:23" s="5" customFormat="1" ht="16.5" customHeight="1">
      <c r="B21" s="50"/>
      <c r="C21" s="274"/>
      <c r="D21" s="274"/>
      <c r="E21" s="274"/>
      <c r="F21" s="369"/>
      <c r="G21" s="369"/>
      <c r="H21" s="369"/>
      <c r="I21" s="370"/>
      <c r="J21" s="369"/>
      <c r="K21" s="369"/>
      <c r="L21" s="369"/>
      <c r="M21" s="369"/>
      <c r="N21" s="369"/>
      <c r="O21" s="369"/>
      <c r="P21" s="371"/>
      <c r="Q21" s="372"/>
      <c r="R21" s="188"/>
      <c r="S21" s="373"/>
      <c r="T21" s="374"/>
      <c r="U21" s="369"/>
      <c r="V21" s="375"/>
      <c r="W21" s="6"/>
    </row>
    <row r="22" spans="2:23" s="5" customFormat="1" ht="16.5" customHeight="1">
      <c r="B22" s="50"/>
      <c r="C22" s="274">
        <v>29</v>
      </c>
      <c r="D22" s="274">
        <v>231413</v>
      </c>
      <c r="E22" s="152">
        <v>2584</v>
      </c>
      <c r="F22" s="945" t="s">
        <v>316</v>
      </c>
      <c r="G22" s="945" t="s">
        <v>317</v>
      </c>
      <c r="H22" s="946">
        <v>132</v>
      </c>
      <c r="I22" s="130">
        <f aca="true" t="shared" si="0" ref="I22:I41">IF(H22=500,$G$15,IF(H22=220,$G$16,$G$17))</f>
        <v>32.672</v>
      </c>
      <c r="J22" s="378">
        <v>40581.38888888889</v>
      </c>
      <c r="K22" s="150">
        <v>40581.77361111111</v>
      </c>
      <c r="L22" s="379">
        <f aca="true" t="shared" si="1" ref="L22:L41">IF(F22="","",(K22-J22)*24)</f>
        <v>9.233333333220799</v>
      </c>
      <c r="M22" s="380">
        <f aca="true" t="shared" si="2" ref="M22:M41">IF(F22="","",ROUND((K22-J22)*24*60,0))</f>
        <v>554</v>
      </c>
      <c r="N22" s="220" t="s">
        <v>286</v>
      </c>
      <c r="O22" s="221" t="str">
        <f aca="true" t="shared" si="3" ref="O22:O41">IF(F22="","",IF(N22="P","--","NO"))</f>
        <v>--</v>
      </c>
      <c r="P22" s="727">
        <f aca="true" t="shared" si="4" ref="P22:P41">IF(H22=500,$H$15,IF(H22=220,$H$16,$H$17))</f>
        <v>40</v>
      </c>
      <c r="Q22" s="898">
        <f aca="true" t="shared" si="5" ref="Q22:Q41">IF(N22="P",I22*P22*ROUND(M22/60,2)*0.1,"--")</f>
        <v>1206.25024</v>
      </c>
      <c r="R22" s="188" t="str">
        <f aca="true" t="shared" si="6" ref="R22:R41">IF(AND(N22="F",O22="NO"),I22*P22,"--")</f>
        <v>--</v>
      </c>
      <c r="S22" s="373" t="str">
        <f aca="true" t="shared" si="7" ref="S22:S41">IF(N22="F",I22*P22*ROUND(M22/60,2),"--")</f>
        <v>--</v>
      </c>
      <c r="T22" s="374" t="str">
        <f aca="true" t="shared" si="8" ref="T22:T41">IF(N22="RF",I22*P22*ROUND(M22/60,2),"--")</f>
        <v>--</v>
      </c>
      <c r="U22" s="221" t="s">
        <v>202</v>
      </c>
      <c r="V22" s="381">
        <f aca="true" t="shared" si="9" ref="V22:V41">IF(F22="","",SUM(Q22:T22)*IF(U22="SI",1,2))</f>
        <v>1206.25024</v>
      </c>
      <c r="W22" s="6"/>
    </row>
    <row r="23" spans="2:23" s="5" customFormat="1" ht="16.5" customHeight="1">
      <c r="B23" s="50"/>
      <c r="C23" s="274">
        <v>30</v>
      </c>
      <c r="D23" s="274">
        <v>231515</v>
      </c>
      <c r="E23" s="274">
        <v>2588</v>
      </c>
      <c r="F23" s="945" t="s">
        <v>318</v>
      </c>
      <c r="G23" s="945" t="s">
        <v>319</v>
      </c>
      <c r="H23" s="946">
        <v>132</v>
      </c>
      <c r="I23" s="130">
        <f t="shared" si="0"/>
        <v>32.672</v>
      </c>
      <c r="J23" s="378">
        <v>40589.606944444444</v>
      </c>
      <c r="K23" s="150">
        <v>40589.78888888889</v>
      </c>
      <c r="L23" s="379">
        <f t="shared" si="1"/>
        <v>4.366666666755918</v>
      </c>
      <c r="M23" s="380">
        <f t="shared" si="2"/>
        <v>262</v>
      </c>
      <c r="N23" s="220" t="s">
        <v>286</v>
      </c>
      <c r="O23" s="221" t="str">
        <f t="shared" si="3"/>
        <v>--</v>
      </c>
      <c r="P23" s="727">
        <f t="shared" si="4"/>
        <v>40</v>
      </c>
      <c r="Q23" s="898">
        <f t="shared" si="5"/>
        <v>571.1065600000001</v>
      </c>
      <c r="R23" s="188" t="str">
        <f t="shared" si="6"/>
        <v>--</v>
      </c>
      <c r="S23" s="373" t="str">
        <f t="shared" si="7"/>
        <v>--</v>
      </c>
      <c r="T23" s="374" t="str">
        <f t="shared" si="8"/>
        <v>--</v>
      </c>
      <c r="U23" s="221" t="s">
        <v>202</v>
      </c>
      <c r="V23" s="381">
        <f t="shared" si="9"/>
        <v>571.1065600000001</v>
      </c>
      <c r="W23" s="6"/>
    </row>
    <row r="24" spans="2:23" s="5" customFormat="1" ht="16.5" customHeight="1">
      <c r="B24" s="50"/>
      <c r="C24" s="274">
        <v>31</v>
      </c>
      <c r="D24" s="274">
        <v>231523</v>
      </c>
      <c r="E24" s="152">
        <v>2585</v>
      </c>
      <c r="F24" s="945" t="s">
        <v>316</v>
      </c>
      <c r="G24" s="945" t="s">
        <v>320</v>
      </c>
      <c r="H24" s="946">
        <v>132</v>
      </c>
      <c r="I24" s="130">
        <f t="shared" si="0"/>
        <v>32.672</v>
      </c>
      <c r="J24" s="378">
        <v>40591.36319444444</v>
      </c>
      <c r="K24" s="150">
        <v>40591.725</v>
      </c>
      <c r="L24" s="379">
        <f t="shared" si="1"/>
        <v>8.683333333348855</v>
      </c>
      <c r="M24" s="380">
        <f t="shared" si="2"/>
        <v>521</v>
      </c>
      <c r="N24" s="220" t="s">
        <v>286</v>
      </c>
      <c r="O24" s="221" t="str">
        <f t="shared" si="3"/>
        <v>--</v>
      </c>
      <c r="P24" s="727">
        <f t="shared" si="4"/>
        <v>40</v>
      </c>
      <c r="Q24" s="898">
        <f t="shared" si="5"/>
        <v>1134.3718399999998</v>
      </c>
      <c r="R24" s="188" t="str">
        <f t="shared" si="6"/>
        <v>--</v>
      </c>
      <c r="S24" s="373" t="str">
        <f t="shared" si="7"/>
        <v>--</v>
      </c>
      <c r="T24" s="374" t="str">
        <f t="shared" si="8"/>
        <v>--</v>
      </c>
      <c r="U24" s="221" t="s">
        <v>202</v>
      </c>
      <c r="V24" s="381">
        <f t="shared" si="9"/>
        <v>1134.3718399999998</v>
      </c>
      <c r="W24" s="6"/>
    </row>
    <row r="25" spans="2:23" s="5" customFormat="1" ht="16.5" customHeight="1">
      <c r="B25" s="50"/>
      <c r="C25" s="274">
        <v>32</v>
      </c>
      <c r="D25" s="274">
        <v>231576</v>
      </c>
      <c r="E25" s="274">
        <v>2604</v>
      </c>
      <c r="F25" s="945" t="s">
        <v>321</v>
      </c>
      <c r="G25" s="945" t="s">
        <v>322</v>
      </c>
      <c r="H25" s="946">
        <v>132</v>
      </c>
      <c r="I25" s="130">
        <f t="shared" si="0"/>
        <v>32.672</v>
      </c>
      <c r="J25" s="378">
        <v>40602.384722222225</v>
      </c>
      <c r="K25" s="150">
        <v>40602.60486111111</v>
      </c>
      <c r="L25" s="379">
        <f t="shared" si="1"/>
        <v>5.283333333267365</v>
      </c>
      <c r="M25" s="380">
        <f t="shared" si="2"/>
        <v>317</v>
      </c>
      <c r="N25" s="220" t="s">
        <v>286</v>
      </c>
      <c r="O25" s="221" t="str">
        <f t="shared" si="3"/>
        <v>--</v>
      </c>
      <c r="P25" s="727">
        <f t="shared" si="4"/>
        <v>40</v>
      </c>
      <c r="Q25" s="898">
        <f t="shared" si="5"/>
        <v>690.03264</v>
      </c>
      <c r="R25" s="188" t="str">
        <f t="shared" si="6"/>
        <v>--</v>
      </c>
      <c r="S25" s="373" t="str">
        <f t="shared" si="7"/>
        <v>--</v>
      </c>
      <c r="T25" s="374" t="str">
        <f t="shared" si="8"/>
        <v>--</v>
      </c>
      <c r="U25" s="221" t="s">
        <v>202</v>
      </c>
      <c r="V25" s="381">
        <f t="shared" si="9"/>
        <v>690.03264</v>
      </c>
      <c r="W25" s="6"/>
    </row>
    <row r="26" spans="2:23" s="5" customFormat="1" ht="16.5" customHeight="1">
      <c r="B26" s="50"/>
      <c r="C26" s="274"/>
      <c r="D26" s="274"/>
      <c r="E26" s="152"/>
      <c r="F26" s="376"/>
      <c r="G26" s="376"/>
      <c r="H26" s="377"/>
      <c r="I26" s="130">
        <f t="shared" si="0"/>
        <v>32.672</v>
      </c>
      <c r="J26" s="378"/>
      <c r="K26" s="150"/>
      <c r="L26" s="379">
        <f t="shared" si="1"/>
      </c>
      <c r="M26" s="380">
        <f t="shared" si="2"/>
      </c>
      <c r="N26" s="220"/>
      <c r="O26" s="221">
        <f t="shared" si="3"/>
      </c>
      <c r="P26" s="727">
        <f t="shared" si="4"/>
        <v>40</v>
      </c>
      <c r="Q26" s="898" t="str">
        <f t="shared" si="5"/>
        <v>--</v>
      </c>
      <c r="R26" s="188" t="str">
        <f t="shared" si="6"/>
        <v>--</v>
      </c>
      <c r="S26" s="373" t="str">
        <f t="shared" si="7"/>
        <v>--</v>
      </c>
      <c r="T26" s="374" t="str">
        <f t="shared" si="8"/>
        <v>--</v>
      </c>
      <c r="U26" s="221">
        <f aca="true" t="shared" si="10" ref="U26:U41">IF(F26="","","SI")</f>
      </c>
      <c r="V26" s="381">
        <f t="shared" si="9"/>
      </c>
      <c r="W26" s="6"/>
    </row>
    <row r="27" spans="2:23" s="5" customFormat="1" ht="16.5" customHeight="1">
      <c r="B27" s="50"/>
      <c r="C27" s="274"/>
      <c r="D27" s="274"/>
      <c r="E27" s="274"/>
      <c r="F27" s="376"/>
      <c r="G27" s="376"/>
      <c r="H27" s="377"/>
      <c r="I27" s="130">
        <f t="shared" si="0"/>
        <v>32.672</v>
      </c>
      <c r="J27" s="378"/>
      <c r="K27" s="150"/>
      <c r="L27" s="379">
        <f t="shared" si="1"/>
      </c>
      <c r="M27" s="380">
        <f t="shared" si="2"/>
      </c>
      <c r="N27" s="220"/>
      <c r="O27" s="221">
        <f t="shared" si="3"/>
      </c>
      <c r="P27" s="727">
        <f t="shared" si="4"/>
        <v>40</v>
      </c>
      <c r="Q27" s="898" t="str">
        <f t="shared" si="5"/>
        <v>--</v>
      </c>
      <c r="R27" s="188" t="str">
        <f t="shared" si="6"/>
        <v>--</v>
      </c>
      <c r="S27" s="373" t="str">
        <f t="shared" si="7"/>
        <v>--</v>
      </c>
      <c r="T27" s="374" t="str">
        <f t="shared" si="8"/>
        <v>--</v>
      </c>
      <c r="U27" s="221">
        <f t="shared" si="10"/>
      </c>
      <c r="V27" s="381">
        <f t="shared" si="9"/>
      </c>
      <c r="W27" s="6"/>
    </row>
    <row r="28" spans="2:23" s="5" customFormat="1" ht="16.5" customHeight="1">
      <c r="B28" s="50"/>
      <c r="C28" s="274"/>
      <c r="D28" s="274"/>
      <c r="E28" s="152"/>
      <c r="F28" s="376"/>
      <c r="G28" s="376"/>
      <c r="H28" s="377"/>
      <c r="I28" s="130">
        <f t="shared" si="0"/>
        <v>32.672</v>
      </c>
      <c r="J28" s="378"/>
      <c r="K28" s="150"/>
      <c r="L28" s="379">
        <f t="shared" si="1"/>
      </c>
      <c r="M28" s="380">
        <f t="shared" si="2"/>
      </c>
      <c r="N28" s="220"/>
      <c r="O28" s="221">
        <f t="shared" si="3"/>
      </c>
      <c r="P28" s="727">
        <f t="shared" si="4"/>
        <v>40</v>
      </c>
      <c r="Q28" s="898" t="str">
        <f t="shared" si="5"/>
        <v>--</v>
      </c>
      <c r="R28" s="188" t="str">
        <f t="shared" si="6"/>
        <v>--</v>
      </c>
      <c r="S28" s="373" t="str">
        <f t="shared" si="7"/>
        <v>--</v>
      </c>
      <c r="T28" s="374" t="str">
        <f t="shared" si="8"/>
        <v>--</v>
      </c>
      <c r="U28" s="221">
        <f t="shared" si="10"/>
      </c>
      <c r="V28" s="381">
        <f t="shared" si="9"/>
      </c>
      <c r="W28" s="6"/>
    </row>
    <row r="29" spans="2:23" s="5" customFormat="1" ht="16.5" customHeight="1">
      <c r="B29" s="50"/>
      <c r="C29" s="274"/>
      <c r="D29" s="274"/>
      <c r="E29" s="274"/>
      <c r="F29" s="376"/>
      <c r="G29" s="376"/>
      <c r="H29" s="377"/>
      <c r="I29" s="130">
        <f t="shared" si="0"/>
        <v>32.672</v>
      </c>
      <c r="J29" s="378"/>
      <c r="K29" s="150"/>
      <c r="L29" s="379">
        <f t="shared" si="1"/>
      </c>
      <c r="M29" s="380">
        <f t="shared" si="2"/>
      </c>
      <c r="N29" s="220"/>
      <c r="O29" s="221">
        <f t="shared" si="3"/>
      </c>
      <c r="P29" s="727">
        <f t="shared" si="4"/>
        <v>40</v>
      </c>
      <c r="Q29" s="898" t="str">
        <f t="shared" si="5"/>
        <v>--</v>
      </c>
      <c r="R29" s="188" t="str">
        <f t="shared" si="6"/>
        <v>--</v>
      </c>
      <c r="S29" s="373" t="str">
        <f t="shared" si="7"/>
        <v>--</v>
      </c>
      <c r="T29" s="374" t="str">
        <f t="shared" si="8"/>
        <v>--</v>
      </c>
      <c r="U29" s="221">
        <f t="shared" si="10"/>
      </c>
      <c r="V29" s="381">
        <f t="shared" si="9"/>
      </c>
      <c r="W29" s="6"/>
    </row>
    <row r="30" spans="2:23" s="5" customFormat="1" ht="16.5" customHeight="1">
      <c r="B30" s="50"/>
      <c r="C30" s="274"/>
      <c r="D30" s="274"/>
      <c r="E30" s="152"/>
      <c r="F30" s="376"/>
      <c r="G30" s="376"/>
      <c r="H30" s="377"/>
      <c r="I30" s="130">
        <f t="shared" si="0"/>
        <v>32.672</v>
      </c>
      <c r="J30" s="378"/>
      <c r="K30" s="150"/>
      <c r="L30" s="379">
        <f t="shared" si="1"/>
      </c>
      <c r="M30" s="380">
        <f t="shared" si="2"/>
      </c>
      <c r="N30" s="220"/>
      <c r="O30" s="221">
        <f t="shared" si="3"/>
      </c>
      <c r="P30" s="727">
        <f t="shared" si="4"/>
        <v>40</v>
      </c>
      <c r="Q30" s="898" t="str">
        <f t="shared" si="5"/>
        <v>--</v>
      </c>
      <c r="R30" s="188" t="str">
        <f t="shared" si="6"/>
        <v>--</v>
      </c>
      <c r="S30" s="373" t="str">
        <f t="shared" si="7"/>
        <v>--</v>
      </c>
      <c r="T30" s="374" t="str">
        <f t="shared" si="8"/>
        <v>--</v>
      </c>
      <c r="U30" s="221">
        <f t="shared" si="10"/>
      </c>
      <c r="V30" s="381">
        <f t="shared" si="9"/>
      </c>
      <c r="W30" s="6"/>
    </row>
    <row r="31" spans="2:23" s="5" customFormat="1" ht="16.5" customHeight="1">
      <c r="B31" s="50"/>
      <c r="C31" s="274"/>
      <c r="D31" s="274"/>
      <c r="E31" s="274"/>
      <c r="F31" s="376"/>
      <c r="G31" s="376"/>
      <c r="H31" s="377"/>
      <c r="I31" s="130">
        <f t="shared" si="0"/>
        <v>32.672</v>
      </c>
      <c r="J31" s="378"/>
      <c r="K31" s="150"/>
      <c r="L31" s="379">
        <f t="shared" si="1"/>
      </c>
      <c r="M31" s="380">
        <f t="shared" si="2"/>
      </c>
      <c r="N31" s="220"/>
      <c r="O31" s="221">
        <f t="shared" si="3"/>
      </c>
      <c r="P31" s="727">
        <f t="shared" si="4"/>
        <v>40</v>
      </c>
      <c r="Q31" s="898" t="str">
        <f t="shared" si="5"/>
        <v>--</v>
      </c>
      <c r="R31" s="188" t="str">
        <f t="shared" si="6"/>
        <v>--</v>
      </c>
      <c r="S31" s="373" t="str">
        <f t="shared" si="7"/>
        <v>--</v>
      </c>
      <c r="T31" s="374" t="str">
        <f t="shared" si="8"/>
        <v>--</v>
      </c>
      <c r="U31" s="221">
        <f t="shared" si="10"/>
      </c>
      <c r="V31" s="381">
        <f t="shared" si="9"/>
      </c>
      <c r="W31" s="6"/>
    </row>
    <row r="32" spans="2:23" s="5" customFormat="1" ht="16.5" customHeight="1">
      <c r="B32" s="50"/>
      <c r="C32" s="274"/>
      <c r="D32" s="274"/>
      <c r="E32" s="152"/>
      <c r="F32" s="376"/>
      <c r="G32" s="376"/>
      <c r="H32" s="377"/>
      <c r="I32" s="130">
        <f t="shared" si="0"/>
        <v>32.672</v>
      </c>
      <c r="J32" s="378"/>
      <c r="K32" s="150"/>
      <c r="L32" s="379">
        <f t="shared" si="1"/>
      </c>
      <c r="M32" s="380">
        <f t="shared" si="2"/>
      </c>
      <c r="N32" s="220"/>
      <c r="O32" s="221">
        <f t="shared" si="3"/>
      </c>
      <c r="P32" s="727">
        <f t="shared" si="4"/>
        <v>40</v>
      </c>
      <c r="Q32" s="898" t="str">
        <f t="shared" si="5"/>
        <v>--</v>
      </c>
      <c r="R32" s="188" t="str">
        <f t="shared" si="6"/>
        <v>--</v>
      </c>
      <c r="S32" s="373" t="str">
        <f t="shared" si="7"/>
        <v>--</v>
      </c>
      <c r="T32" s="374" t="str">
        <f t="shared" si="8"/>
        <v>--</v>
      </c>
      <c r="U32" s="221">
        <f t="shared" si="10"/>
      </c>
      <c r="V32" s="381">
        <f t="shared" si="9"/>
      </c>
      <c r="W32" s="6"/>
    </row>
    <row r="33" spans="2:23" s="5" customFormat="1" ht="16.5" customHeight="1">
      <c r="B33" s="50"/>
      <c r="C33" s="274"/>
      <c r="D33" s="274"/>
      <c r="E33" s="274"/>
      <c r="F33" s="376"/>
      <c r="G33" s="376"/>
      <c r="H33" s="377"/>
      <c r="I33" s="130">
        <f t="shared" si="0"/>
        <v>32.672</v>
      </c>
      <c r="J33" s="378"/>
      <c r="K33" s="150"/>
      <c r="L33" s="379">
        <f t="shared" si="1"/>
      </c>
      <c r="M33" s="380">
        <f t="shared" si="2"/>
      </c>
      <c r="N33" s="220"/>
      <c r="O33" s="221">
        <f t="shared" si="3"/>
      </c>
      <c r="P33" s="727">
        <f t="shared" si="4"/>
        <v>40</v>
      </c>
      <c r="Q33" s="898" t="str">
        <f t="shared" si="5"/>
        <v>--</v>
      </c>
      <c r="R33" s="188" t="str">
        <f t="shared" si="6"/>
        <v>--</v>
      </c>
      <c r="S33" s="373" t="str">
        <f t="shared" si="7"/>
        <v>--</v>
      </c>
      <c r="T33" s="374" t="str">
        <f t="shared" si="8"/>
        <v>--</v>
      </c>
      <c r="U33" s="221">
        <f t="shared" si="10"/>
      </c>
      <c r="V33" s="381">
        <f t="shared" si="9"/>
      </c>
      <c r="W33" s="6"/>
    </row>
    <row r="34" spans="2:23" s="5" customFormat="1" ht="16.5" customHeight="1">
      <c r="B34" s="50"/>
      <c r="C34" s="274"/>
      <c r="D34" s="274"/>
      <c r="E34" s="152"/>
      <c r="F34" s="376"/>
      <c r="G34" s="376"/>
      <c r="H34" s="377"/>
      <c r="I34" s="130">
        <f t="shared" si="0"/>
        <v>32.672</v>
      </c>
      <c r="J34" s="378"/>
      <c r="K34" s="150"/>
      <c r="L34" s="379">
        <f t="shared" si="1"/>
      </c>
      <c r="M34" s="380">
        <f t="shared" si="2"/>
      </c>
      <c r="N34" s="220"/>
      <c r="O34" s="221">
        <f t="shared" si="3"/>
      </c>
      <c r="P34" s="727">
        <f t="shared" si="4"/>
        <v>40</v>
      </c>
      <c r="Q34" s="898" t="str">
        <f t="shared" si="5"/>
        <v>--</v>
      </c>
      <c r="R34" s="188" t="str">
        <f t="shared" si="6"/>
        <v>--</v>
      </c>
      <c r="S34" s="373" t="str">
        <f t="shared" si="7"/>
        <v>--</v>
      </c>
      <c r="T34" s="374" t="str">
        <f t="shared" si="8"/>
        <v>--</v>
      </c>
      <c r="U34" s="221">
        <f t="shared" si="10"/>
      </c>
      <c r="V34" s="381">
        <f t="shared" si="9"/>
      </c>
      <c r="W34" s="6"/>
    </row>
    <row r="35" spans="2:23" s="5" customFormat="1" ht="16.5" customHeight="1">
      <c r="B35" s="50"/>
      <c r="C35" s="274"/>
      <c r="D35" s="274"/>
      <c r="E35" s="274"/>
      <c r="F35" s="376"/>
      <c r="G35" s="376"/>
      <c r="H35" s="377"/>
      <c r="I35" s="130">
        <f t="shared" si="0"/>
        <v>32.672</v>
      </c>
      <c r="J35" s="378"/>
      <c r="K35" s="150"/>
      <c r="L35" s="379">
        <f t="shared" si="1"/>
      </c>
      <c r="M35" s="380">
        <f t="shared" si="2"/>
      </c>
      <c r="N35" s="220"/>
      <c r="O35" s="221">
        <f t="shared" si="3"/>
      </c>
      <c r="P35" s="727">
        <f t="shared" si="4"/>
        <v>40</v>
      </c>
      <c r="Q35" s="898" t="str">
        <f t="shared" si="5"/>
        <v>--</v>
      </c>
      <c r="R35" s="188" t="str">
        <f t="shared" si="6"/>
        <v>--</v>
      </c>
      <c r="S35" s="373" t="str">
        <f t="shared" si="7"/>
        <v>--</v>
      </c>
      <c r="T35" s="374" t="str">
        <f t="shared" si="8"/>
        <v>--</v>
      </c>
      <c r="U35" s="221">
        <f t="shared" si="10"/>
      </c>
      <c r="V35" s="381">
        <f t="shared" si="9"/>
      </c>
      <c r="W35" s="6"/>
    </row>
    <row r="36" spans="2:23" s="5" customFormat="1" ht="16.5" customHeight="1">
      <c r="B36" s="50"/>
      <c r="C36" s="274"/>
      <c r="D36" s="274"/>
      <c r="E36" s="152"/>
      <c r="F36" s="376"/>
      <c r="G36" s="376"/>
      <c r="H36" s="377"/>
      <c r="I36" s="130">
        <f t="shared" si="0"/>
        <v>32.672</v>
      </c>
      <c r="J36" s="378"/>
      <c r="K36" s="150"/>
      <c r="L36" s="379">
        <f t="shared" si="1"/>
      </c>
      <c r="M36" s="380">
        <f t="shared" si="2"/>
      </c>
      <c r="N36" s="220"/>
      <c r="O36" s="221">
        <f t="shared" si="3"/>
      </c>
      <c r="P36" s="727">
        <f t="shared" si="4"/>
        <v>40</v>
      </c>
      <c r="Q36" s="898" t="str">
        <f t="shared" si="5"/>
        <v>--</v>
      </c>
      <c r="R36" s="188" t="str">
        <f t="shared" si="6"/>
        <v>--</v>
      </c>
      <c r="S36" s="373" t="str">
        <f t="shared" si="7"/>
        <v>--</v>
      </c>
      <c r="T36" s="374" t="str">
        <f t="shared" si="8"/>
        <v>--</v>
      </c>
      <c r="U36" s="221">
        <f t="shared" si="10"/>
      </c>
      <c r="V36" s="381">
        <f t="shared" si="9"/>
      </c>
      <c r="W36" s="6"/>
    </row>
    <row r="37" spans="2:23" s="5" customFormat="1" ht="16.5" customHeight="1">
      <c r="B37" s="50"/>
      <c r="C37" s="274"/>
      <c r="D37" s="274"/>
      <c r="E37" s="274"/>
      <c r="F37" s="376"/>
      <c r="G37" s="376"/>
      <c r="H37" s="377"/>
      <c r="I37" s="130">
        <f t="shared" si="0"/>
        <v>32.672</v>
      </c>
      <c r="J37" s="378"/>
      <c r="K37" s="150"/>
      <c r="L37" s="379">
        <f t="shared" si="1"/>
      </c>
      <c r="M37" s="380">
        <f t="shared" si="2"/>
      </c>
      <c r="N37" s="220"/>
      <c r="O37" s="221">
        <f t="shared" si="3"/>
      </c>
      <c r="P37" s="727">
        <f t="shared" si="4"/>
        <v>40</v>
      </c>
      <c r="Q37" s="898" t="str">
        <f t="shared" si="5"/>
        <v>--</v>
      </c>
      <c r="R37" s="188" t="str">
        <f t="shared" si="6"/>
        <v>--</v>
      </c>
      <c r="S37" s="373" t="str">
        <f t="shared" si="7"/>
        <v>--</v>
      </c>
      <c r="T37" s="374" t="str">
        <f t="shared" si="8"/>
        <v>--</v>
      </c>
      <c r="U37" s="221">
        <f t="shared" si="10"/>
      </c>
      <c r="V37" s="381">
        <f t="shared" si="9"/>
      </c>
      <c r="W37" s="6"/>
    </row>
    <row r="38" spans="2:23" s="5" customFormat="1" ht="16.5" customHeight="1">
      <c r="B38" s="50"/>
      <c r="C38" s="274"/>
      <c r="D38" s="274"/>
      <c r="E38" s="152"/>
      <c r="F38" s="376"/>
      <c r="G38" s="376"/>
      <c r="H38" s="377"/>
      <c r="I38" s="130">
        <f t="shared" si="0"/>
        <v>32.672</v>
      </c>
      <c r="J38" s="378"/>
      <c r="K38" s="150"/>
      <c r="L38" s="379">
        <f t="shared" si="1"/>
      </c>
      <c r="M38" s="380">
        <f t="shared" si="2"/>
      </c>
      <c r="N38" s="220"/>
      <c r="O38" s="221">
        <f t="shared" si="3"/>
      </c>
      <c r="P38" s="727">
        <f t="shared" si="4"/>
        <v>40</v>
      </c>
      <c r="Q38" s="898" t="str">
        <f t="shared" si="5"/>
        <v>--</v>
      </c>
      <c r="R38" s="188" t="str">
        <f t="shared" si="6"/>
        <v>--</v>
      </c>
      <c r="S38" s="373" t="str">
        <f t="shared" si="7"/>
        <v>--</v>
      </c>
      <c r="T38" s="374" t="str">
        <f t="shared" si="8"/>
        <v>--</v>
      </c>
      <c r="U38" s="221">
        <f t="shared" si="10"/>
      </c>
      <c r="V38" s="381">
        <f t="shared" si="9"/>
      </c>
      <c r="W38" s="6"/>
    </row>
    <row r="39" spans="2:23" s="5" customFormat="1" ht="16.5" customHeight="1">
      <c r="B39" s="50"/>
      <c r="C39" s="274"/>
      <c r="D39" s="274"/>
      <c r="E39" s="274"/>
      <c r="F39" s="376"/>
      <c r="G39" s="376"/>
      <c r="H39" s="377"/>
      <c r="I39" s="130">
        <f t="shared" si="0"/>
        <v>32.672</v>
      </c>
      <c r="J39" s="378"/>
      <c r="K39" s="150"/>
      <c r="L39" s="379">
        <f t="shared" si="1"/>
      </c>
      <c r="M39" s="380">
        <f t="shared" si="2"/>
      </c>
      <c r="N39" s="220"/>
      <c r="O39" s="221">
        <f t="shared" si="3"/>
      </c>
      <c r="P39" s="727">
        <f t="shared" si="4"/>
        <v>40</v>
      </c>
      <c r="Q39" s="898" t="str">
        <f t="shared" si="5"/>
        <v>--</v>
      </c>
      <c r="R39" s="188" t="str">
        <f t="shared" si="6"/>
        <v>--</v>
      </c>
      <c r="S39" s="373" t="str">
        <f t="shared" si="7"/>
        <v>--</v>
      </c>
      <c r="T39" s="374" t="str">
        <f t="shared" si="8"/>
        <v>--</v>
      </c>
      <c r="U39" s="221">
        <f t="shared" si="10"/>
      </c>
      <c r="V39" s="381">
        <f t="shared" si="9"/>
      </c>
      <c r="W39" s="6"/>
    </row>
    <row r="40" spans="2:23" s="5" customFormat="1" ht="16.5" customHeight="1">
      <c r="B40" s="50"/>
      <c r="C40" s="274"/>
      <c r="D40" s="274"/>
      <c r="E40" s="152"/>
      <c r="F40" s="376"/>
      <c r="G40" s="376"/>
      <c r="H40" s="377"/>
      <c r="I40" s="130">
        <f t="shared" si="0"/>
        <v>32.672</v>
      </c>
      <c r="J40" s="378"/>
      <c r="K40" s="150"/>
      <c r="L40" s="379">
        <f t="shared" si="1"/>
      </c>
      <c r="M40" s="380">
        <f t="shared" si="2"/>
      </c>
      <c r="N40" s="220"/>
      <c r="O40" s="221">
        <f t="shared" si="3"/>
      </c>
      <c r="P40" s="727">
        <f t="shared" si="4"/>
        <v>40</v>
      </c>
      <c r="Q40" s="898" t="str">
        <f t="shared" si="5"/>
        <v>--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221">
        <f t="shared" si="10"/>
      </c>
      <c r="V40" s="381">
        <f t="shared" si="9"/>
      </c>
      <c r="W40" s="6"/>
    </row>
    <row r="41" spans="2:23" s="5" customFormat="1" ht="16.5" customHeight="1">
      <c r="B41" s="50"/>
      <c r="C41" s="274"/>
      <c r="D41" s="274"/>
      <c r="E41" s="274"/>
      <c r="F41" s="376"/>
      <c r="G41" s="376"/>
      <c r="H41" s="377"/>
      <c r="I41" s="130">
        <f t="shared" si="0"/>
        <v>32.672</v>
      </c>
      <c r="J41" s="378"/>
      <c r="K41" s="150"/>
      <c r="L41" s="379">
        <f t="shared" si="1"/>
      </c>
      <c r="M41" s="380">
        <f t="shared" si="2"/>
      </c>
      <c r="N41" s="220"/>
      <c r="O41" s="221">
        <f t="shared" si="3"/>
      </c>
      <c r="P41" s="727">
        <f t="shared" si="4"/>
        <v>40</v>
      </c>
      <c r="Q41" s="898" t="str">
        <f t="shared" si="5"/>
        <v>--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>
        <f t="shared" si="10"/>
      </c>
      <c r="V41" s="381">
        <f t="shared" si="9"/>
      </c>
      <c r="W41" s="6"/>
    </row>
    <row r="42" spans="2:23" s="5" customFormat="1" ht="16.5" customHeight="1" thickBot="1">
      <c r="B42" s="50"/>
      <c r="C42" s="228"/>
      <c r="D42" s="228"/>
      <c r="E42" s="228"/>
      <c r="F42" s="228"/>
      <c r="G42" s="228"/>
      <c r="H42" s="228"/>
      <c r="I42" s="131"/>
      <c r="J42" s="382"/>
      <c r="K42" s="382"/>
      <c r="L42" s="383"/>
      <c r="M42" s="383"/>
      <c r="N42" s="382"/>
      <c r="O42" s="151"/>
      <c r="P42" s="384"/>
      <c r="Q42" s="385"/>
      <c r="R42" s="386"/>
      <c r="S42" s="387"/>
      <c r="T42" s="157"/>
      <c r="U42" s="151"/>
      <c r="V42" s="388"/>
      <c r="W42" s="6"/>
    </row>
    <row r="43" spans="2:23" s="5" customFormat="1" ht="16.5" customHeight="1" thickBot="1" thickTop="1">
      <c r="B43" s="50"/>
      <c r="C43" s="127" t="s">
        <v>24</v>
      </c>
      <c r="D43" s="73"/>
      <c r="E43" s="127"/>
      <c r="F43" s="128"/>
      <c r="G43"/>
      <c r="H43" s="4"/>
      <c r="I43" s="4"/>
      <c r="J43" s="4"/>
      <c r="K43" s="4"/>
      <c r="L43" s="4"/>
      <c r="M43" s="4"/>
      <c r="N43" s="4"/>
      <c r="O43" s="4"/>
      <c r="P43" s="4"/>
      <c r="Q43" s="389">
        <f>SUM(Q20:Q42)</f>
        <v>3601.7612799999997</v>
      </c>
      <c r="R43" s="390">
        <f>SUM(R20:R42)</f>
        <v>0</v>
      </c>
      <c r="S43" s="391">
        <f>SUM(S20:S42)</f>
        <v>0</v>
      </c>
      <c r="T43" s="392">
        <f>SUM(T20:T42)</f>
        <v>0</v>
      </c>
      <c r="U43" s="393"/>
      <c r="V43" s="100">
        <f>ROUND(SUM(V20:V42),2)</f>
        <v>3601.76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72"/>
      <c r="X45" s="172"/>
      <c r="Y45" s="172"/>
    </row>
    <row r="46" spans="23:25" ht="16.5" customHeight="1">
      <c r="W46" s="172"/>
      <c r="X46" s="172"/>
      <c r="Y46" s="172"/>
    </row>
    <row r="47" spans="23:25" ht="16.5" customHeight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6:25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6:25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60" ht="12.75"/>
    <row r="161" ht="12.75"/>
    <row r="162" ht="12.75"/>
    <row r="163" ht="12.75"/>
    <row r="164" ht="12.75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Roman,Normal"&amp;7&amp;F-&amp;A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Y159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'TOT-0211'!B2</f>
        <v>ANEXO III al Memorándum D.T.E.E. N°  1088 /2012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212</v>
      </c>
      <c r="G10" s="342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3"/>
      <c r="G11" s="343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359</v>
      </c>
      <c r="G12" s="342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3"/>
      <c r="G13" s="343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'TOT-0211'!B14</f>
        <v>Desde el 01 al 28 de febrero de 2011</v>
      </c>
      <c r="C14" s="40"/>
      <c r="D14" s="40"/>
      <c r="E14" s="40"/>
      <c r="F14" s="40"/>
      <c r="G14" s="40"/>
      <c r="H14" s="40"/>
      <c r="I14" s="344"/>
      <c r="J14" s="344"/>
      <c r="K14" s="344"/>
      <c r="L14" s="344"/>
      <c r="M14" s="344"/>
      <c r="N14" s="344"/>
      <c r="O14" s="344"/>
      <c r="P14" s="344"/>
      <c r="Q14" s="40"/>
      <c r="R14" s="40"/>
      <c r="S14" s="40"/>
      <c r="T14" s="40"/>
      <c r="U14" s="40"/>
      <c r="V14" s="40"/>
      <c r="W14" s="345"/>
    </row>
    <row r="15" spans="2:23" s="5" customFormat="1" ht="14.25" thickBot="1">
      <c r="B15" s="346"/>
      <c r="C15" s="347"/>
      <c r="D15" s="347"/>
      <c r="E15" s="347"/>
      <c r="F15" s="347"/>
      <c r="G15" s="347"/>
      <c r="H15" s="347"/>
      <c r="I15" s="348"/>
      <c r="J15" s="348"/>
      <c r="K15" s="348"/>
      <c r="L15" s="348"/>
      <c r="M15" s="348"/>
      <c r="N15" s="348"/>
      <c r="O15" s="348"/>
      <c r="P15" s="348"/>
      <c r="Q15" s="347"/>
      <c r="R15" s="347"/>
      <c r="S15" s="347"/>
      <c r="T15" s="347"/>
      <c r="U15" s="347"/>
      <c r="V15" s="347"/>
      <c r="W15" s="349"/>
    </row>
    <row r="16" spans="2:23" s="5" customFormat="1" ht="15" thickBot="1" thickTop="1">
      <c r="B16" s="50"/>
      <c r="C16" s="4"/>
      <c r="D16" s="4"/>
      <c r="E16" s="4"/>
      <c r="F16" s="350"/>
      <c r="G16" s="350"/>
      <c r="H16" s="117" t="s">
        <v>80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1" t="s">
        <v>81</v>
      </c>
      <c r="G17" s="352" t="s">
        <v>244</v>
      </c>
      <c r="H17" s="353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4" t="s">
        <v>82</v>
      </c>
      <c r="G18" s="355" t="s">
        <v>244</v>
      </c>
      <c r="H18" s="35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6" t="s">
        <v>83</v>
      </c>
      <c r="G19" s="355">
        <v>29.986</v>
      </c>
      <c r="H19" s="353">
        <v>40</v>
      </c>
      <c r="K19" s="199"/>
      <c r="L19" s="200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27">
        <v>3</v>
      </c>
      <c r="D20" s="927">
        <v>4</v>
      </c>
      <c r="E20" s="927">
        <v>5</v>
      </c>
      <c r="F20" s="927">
        <v>6</v>
      </c>
      <c r="G20" s="927">
        <v>7</v>
      </c>
      <c r="H20" s="927">
        <v>8</v>
      </c>
      <c r="I20" s="927">
        <v>9</v>
      </c>
      <c r="J20" s="927">
        <v>10</v>
      </c>
      <c r="K20" s="927">
        <v>11</v>
      </c>
      <c r="L20" s="927">
        <v>12</v>
      </c>
      <c r="M20" s="927">
        <v>13</v>
      </c>
      <c r="N20" s="927">
        <v>14</v>
      </c>
      <c r="O20" s="927">
        <v>15</v>
      </c>
      <c r="P20" s="927">
        <v>16</v>
      </c>
      <c r="Q20" s="927">
        <v>17</v>
      </c>
      <c r="R20" s="927">
        <v>18</v>
      </c>
      <c r="S20" s="927">
        <v>19</v>
      </c>
      <c r="T20" s="927">
        <v>20</v>
      </c>
      <c r="U20" s="927">
        <v>21</v>
      </c>
      <c r="V20" s="927">
        <v>22</v>
      </c>
      <c r="W20" s="6"/>
    </row>
    <row r="21" spans="2:23" s="5" customFormat="1" ht="33.75" customHeight="1" thickBot="1" thickTop="1">
      <c r="B21" s="50"/>
      <c r="C21" s="123" t="s">
        <v>12</v>
      </c>
      <c r="D21" s="84" t="s">
        <v>225</v>
      </c>
      <c r="E21" s="84" t="s">
        <v>226</v>
      </c>
      <c r="F21" s="86" t="s">
        <v>26</v>
      </c>
      <c r="G21" s="357" t="s">
        <v>27</v>
      </c>
      <c r="H21" s="358" t="s">
        <v>13</v>
      </c>
      <c r="I21" s="129" t="s">
        <v>15</v>
      </c>
      <c r="J21" s="85" t="s">
        <v>16</v>
      </c>
      <c r="K21" s="357" t="s">
        <v>17</v>
      </c>
      <c r="L21" s="359" t="s">
        <v>35</v>
      </c>
      <c r="M21" s="359" t="s">
        <v>30</v>
      </c>
      <c r="N21" s="88" t="s">
        <v>18</v>
      </c>
      <c r="O21" s="176" t="s">
        <v>31</v>
      </c>
      <c r="P21" s="135" t="s">
        <v>36</v>
      </c>
      <c r="Q21" s="360" t="s">
        <v>70</v>
      </c>
      <c r="R21" s="177" t="s">
        <v>34</v>
      </c>
      <c r="S21" s="361"/>
      <c r="T21" s="134" t="s">
        <v>21</v>
      </c>
      <c r="U21" s="132" t="s">
        <v>74</v>
      </c>
      <c r="V21" s="121" t="s">
        <v>23</v>
      </c>
      <c r="W21" s="6"/>
    </row>
    <row r="22" spans="2:23" s="5" customFormat="1" ht="16.5" customHeight="1" thickTop="1">
      <c r="B22" s="50"/>
      <c r="C22" s="260"/>
      <c r="D22" s="260"/>
      <c r="E22" s="260"/>
      <c r="F22" s="362"/>
      <c r="G22" s="362"/>
      <c r="H22" s="362"/>
      <c r="I22" s="218"/>
      <c r="J22" s="362"/>
      <c r="K22" s="362"/>
      <c r="L22" s="362"/>
      <c r="M22" s="362"/>
      <c r="N22" s="362"/>
      <c r="O22" s="362"/>
      <c r="P22" s="363"/>
      <c r="Q22" s="364"/>
      <c r="R22" s="365"/>
      <c r="S22" s="366"/>
      <c r="T22" s="367"/>
      <c r="U22" s="362"/>
      <c r="V22" s="368"/>
      <c r="W22" s="6"/>
    </row>
    <row r="23" spans="2:23" s="5" customFormat="1" ht="16.5" customHeight="1">
      <c r="B23" s="50"/>
      <c r="C23" s="274"/>
      <c r="D23" s="274"/>
      <c r="E23" s="274"/>
      <c r="F23" s="369"/>
      <c r="G23" s="369"/>
      <c r="H23" s="369"/>
      <c r="I23" s="370"/>
      <c r="J23" s="369"/>
      <c r="K23" s="369"/>
      <c r="L23" s="369"/>
      <c r="M23" s="369"/>
      <c r="N23" s="369"/>
      <c r="O23" s="369"/>
      <c r="P23" s="371"/>
      <c r="Q23" s="372"/>
      <c r="R23" s="188"/>
      <c r="S23" s="373"/>
      <c r="T23" s="374"/>
      <c r="U23" s="369"/>
      <c r="V23" s="375"/>
      <c r="W23" s="6"/>
    </row>
    <row r="24" spans="2:23" s="5" customFormat="1" ht="16.5" customHeight="1">
      <c r="B24" s="50"/>
      <c r="C24" s="274">
        <v>33</v>
      </c>
      <c r="D24" s="274">
        <v>232902</v>
      </c>
      <c r="E24" s="152">
        <v>5084</v>
      </c>
      <c r="F24" s="945" t="s">
        <v>346</v>
      </c>
      <c r="G24" s="945" t="s">
        <v>347</v>
      </c>
      <c r="H24" s="946">
        <v>132</v>
      </c>
      <c r="I24" s="130">
        <f aca="true" t="shared" si="0" ref="I24:I43">IF(H24=500,$G$17,IF(H24=220,$G$18,$G$19))</f>
        <v>29.986</v>
      </c>
      <c r="J24" s="378">
        <v>40577.11597222222</v>
      </c>
      <c r="K24" s="150">
        <v>40577.135416666664</v>
      </c>
      <c r="L24" s="379">
        <f aca="true" t="shared" si="1" ref="L24:L43">IF(F24="","",(K24-J24)*24)</f>
        <v>0.46666666661622</v>
      </c>
      <c r="M24" s="380">
        <f aca="true" t="shared" si="2" ref="M24:M43">IF(F24="","",ROUND((K24-J24)*24*60,0))</f>
        <v>28</v>
      </c>
      <c r="N24" s="220" t="s">
        <v>290</v>
      </c>
      <c r="O24" s="221" t="str">
        <f aca="true" t="shared" si="3" ref="O24:O43">IF(F24="","",IF(N24="P","--","NO"))</f>
        <v>NO</v>
      </c>
      <c r="P24" s="727">
        <f aca="true" t="shared" si="4" ref="P24:P43">IF(H24=500,$H$17,IF(H24=220,$H$18,$H$19))</f>
        <v>40</v>
      </c>
      <c r="Q24" s="898" t="str">
        <f aca="true" t="shared" si="5" ref="Q24:Q43">IF(N24="P",I24*P24*ROUND(M24/60,2)*0.1,"--")</f>
        <v>--</v>
      </c>
      <c r="R24" s="188">
        <f aca="true" t="shared" si="6" ref="R24:R43">IF(AND(N24="F",O24="NO"),I24*P24,"--")</f>
        <v>1199.44</v>
      </c>
      <c r="S24" s="373">
        <f aca="true" t="shared" si="7" ref="S24:S43">IF(N24="F",I24*P24*ROUND(M24/60,2),"--")</f>
        <v>563.7368</v>
      </c>
      <c r="T24" s="374" t="str">
        <f aca="true" t="shared" si="8" ref="T24:T43">IF(N24="RF",I24*P24*ROUND(M24/60,2),"--")</f>
        <v>--</v>
      </c>
      <c r="U24" s="221" t="str">
        <f aca="true" t="shared" si="9" ref="U24:U43">IF(F24="","","SI")</f>
        <v>SI</v>
      </c>
      <c r="V24" s="381">
        <f aca="true" t="shared" si="10" ref="V24:V43">IF(F24="","",SUM(Q24:T24)*IF(U24="SI",1,2))</f>
        <v>1763.1768000000002</v>
      </c>
      <c r="W24" s="6"/>
    </row>
    <row r="25" spans="2:23" s="5" customFormat="1" ht="16.5" customHeight="1">
      <c r="B25" s="50"/>
      <c r="C25" s="274">
        <v>34</v>
      </c>
      <c r="D25" s="274">
        <v>232903</v>
      </c>
      <c r="E25" s="274">
        <v>5084</v>
      </c>
      <c r="F25" s="945" t="s">
        <v>346</v>
      </c>
      <c r="G25" s="945" t="s">
        <v>347</v>
      </c>
      <c r="H25" s="946">
        <v>132</v>
      </c>
      <c r="I25" s="130">
        <f t="shared" si="0"/>
        <v>29.986</v>
      </c>
      <c r="J25" s="378">
        <v>40579.870833333334</v>
      </c>
      <c r="K25" s="150">
        <v>40579.895833333336</v>
      </c>
      <c r="L25" s="379">
        <f t="shared" si="1"/>
        <v>0.6000000000349246</v>
      </c>
      <c r="M25" s="380">
        <f t="shared" si="2"/>
        <v>36</v>
      </c>
      <c r="N25" s="220" t="s">
        <v>290</v>
      </c>
      <c r="O25" s="221" t="str">
        <f t="shared" si="3"/>
        <v>NO</v>
      </c>
      <c r="P25" s="727">
        <f t="shared" si="4"/>
        <v>40</v>
      </c>
      <c r="Q25" s="898" t="str">
        <f t="shared" si="5"/>
        <v>--</v>
      </c>
      <c r="R25" s="188">
        <f t="shared" si="6"/>
        <v>1199.44</v>
      </c>
      <c r="S25" s="373">
        <f t="shared" si="7"/>
        <v>719.664</v>
      </c>
      <c r="T25" s="374" t="str">
        <f t="shared" si="8"/>
        <v>--</v>
      </c>
      <c r="U25" s="221" t="str">
        <f t="shared" si="9"/>
        <v>SI</v>
      </c>
      <c r="V25" s="381">
        <f t="shared" si="10"/>
        <v>1919.104</v>
      </c>
      <c r="W25" s="6"/>
    </row>
    <row r="26" spans="2:23" s="5" customFormat="1" ht="16.5" customHeight="1">
      <c r="B26" s="50"/>
      <c r="C26" s="274">
        <v>35</v>
      </c>
      <c r="D26" s="274">
        <v>231568</v>
      </c>
      <c r="E26" s="152">
        <v>5083</v>
      </c>
      <c r="F26" s="945" t="s">
        <v>346</v>
      </c>
      <c r="G26" s="945" t="s">
        <v>348</v>
      </c>
      <c r="H26" s="946">
        <v>132</v>
      </c>
      <c r="I26" s="130">
        <f t="shared" si="0"/>
        <v>29.986</v>
      </c>
      <c r="J26" s="378">
        <v>40584.024305555555</v>
      </c>
      <c r="K26" s="150">
        <v>40584.05</v>
      </c>
      <c r="L26" s="379">
        <f t="shared" si="1"/>
        <v>0.6166666667559184</v>
      </c>
      <c r="M26" s="380">
        <f t="shared" si="2"/>
        <v>37</v>
      </c>
      <c r="N26" s="220" t="s">
        <v>290</v>
      </c>
      <c r="O26" s="221" t="str">
        <f t="shared" si="3"/>
        <v>NO</v>
      </c>
      <c r="P26" s="727">
        <f t="shared" si="4"/>
        <v>40</v>
      </c>
      <c r="Q26" s="898" t="str">
        <f t="shared" si="5"/>
        <v>--</v>
      </c>
      <c r="R26" s="188">
        <f t="shared" si="6"/>
        <v>1199.44</v>
      </c>
      <c r="S26" s="373">
        <f t="shared" si="7"/>
        <v>743.6528000000001</v>
      </c>
      <c r="T26" s="374" t="str">
        <f t="shared" si="8"/>
        <v>--</v>
      </c>
      <c r="U26" s="221" t="str">
        <f t="shared" si="9"/>
        <v>SI</v>
      </c>
      <c r="V26" s="381">
        <f t="shared" si="10"/>
        <v>1943.0928000000001</v>
      </c>
      <c r="W26" s="6"/>
    </row>
    <row r="27" spans="2:23" s="5" customFormat="1" ht="16.5" customHeight="1">
      <c r="B27" s="50"/>
      <c r="C27" s="274">
        <v>36</v>
      </c>
      <c r="D27" s="274">
        <v>232904</v>
      </c>
      <c r="E27" s="274">
        <v>5084</v>
      </c>
      <c r="F27" s="945" t="s">
        <v>346</v>
      </c>
      <c r="G27" s="945" t="s">
        <v>347</v>
      </c>
      <c r="H27" s="946">
        <v>132</v>
      </c>
      <c r="I27" s="130">
        <f t="shared" si="0"/>
        <v>29.986</v>
      </c>
      <c r="J27" s="378">
        <v>40596.99722222222</v>
      </c>
      <c r="K27" s="150">
        <v>40597.03125</v>
      </c>
      <c r="L27" s="379">
        <f t="shared" si="1"/>
        <v>0.8166666667093523</v>
      </c>
      <c r="M27" s="380">
        <f t="shared" si="2"/>
        <v>49</v>
      </c>
      <c r="N27" s="220" t="s">
        <v>290</v>
      </c>
      <c r="O27" s="221" t="str">
        <f t="shared" si="3"/>
        <v>NO</v>
      </c>
      <c r="P27" s="727">
        <f t="shared" si="4"/>
        <v>40</v>
      </c>
      <c r="Q27" s="898" t="str">
        <f t="shared" si="5"/>
        <v>--</v>
      </c>
      <c r="R27" s="188">
        <f t="shared" si="6"/>
        <v>1199.44</v>
      </c>
      <c r="S27" s="373">
        <f t="shared" si="7"/>
        <v>983.5408</v>
      </c>
      <c r="T27" s="374" t="str">
        <f t="shared" si="8"/>
        <v>--</v>
      </c>
      <c r="U27" s="221" t="str">
        <f t="shared" si="9"/>
        <v>SI</v>
      </c>
      <c r="V27" s="381">
        <f t="shared" si="10"/>
        <v>2182.9808000000003</v>
      </c>
      <c r="W27" s="6"/>
    </row>
    <row r="28" spans="2:23" s="5" customFormat="1" ht="16.5" customHeight="1">
      <c r="B28" s="50"/>
      <c r="C28" s="274"/>
      <c r="D28" s="274"/>
      <c r="E28" s="152"/>
      <c r="F28" s="376"/>
      <c r="G28" s="376"/>
      <c r="H28" s="377"/>
      <c r="I28" s="130">
        <f t="shared" si="0"/>
        <v>29.986</v>
      </c>
      <c r="J28" s="378"/>
      <c r="K28" s="150"/>
      <c r="L28" s="379">
        <f t="shared" si="1"/>
      </c>
      <c r="M28" s="380">
        <f t="shared" si="2"/>
      </c>
      <c r="N28" s="220"/>
      <c r="O28" s="221">
        <f t="shared" si="3"/>
      </c>
      <c r="P28" s="727">
        <f t="shared" si="4"/>
        <v>40</v>
      </c>
      <c r="Q28" s="898" t="str">
        <f t="shared" si="5"/>
        <v>--</v>
      </c>
      <c r="R28" s="188" t="str">
        <f t="shared" si="6"/>
        <v>--</v>
      </c>
      <c r="S28" s="373" t="str">
        <f t="shared" si="7"/>
        <v>--</v>
      </c>
      <c r="T28" s="374" t="str">
        <f t="shared" si="8"/>
        <v>--</v>
      </c>
      <c r="U28" s="221">
        <f t="shared" si="9"/>
      </c>
      <c r="V28" s="381">
        <f t="shared" si="10"/>
      </c>
      <c r="W28" s="6"/>
    </row>
    <row r="29" spans="2:23" s="5" customFormat="1" ht="16.5" customHeight="1">
      <c r="B29" s="50"/>
      <c r="C29" s="274"/>
      <c r="D29" s="274"/>
      <c r="E29" s="274"/>
      <c r="F29" s="376"/>
      <c r="G29" s="376"/>
      <c r="H29" s="377"/>
      <c r="I29" s="130">
        <f t="shared" si="0"/>
        <v>29.986</v>
      </c>
      <c r="J29" s="378"/>
      <c r="K29" s="150"/>
      <c r="L29" s="379">
        <f t="shared" si="1"/>
      </c>
      <c r="M29" s="380">
        <f t="shared" si="2"/>
      </c>
      <c r="N29" s="220"/>
      <c r="O29" s="221">
        <f t="shared" si="3"/>
      </c>
      <c r="P29" s="727">
        <f t="shared" si="4"/>
        <v>40</v>
      </c>
      <c r="Q29" s="898" t="str">
        <f t="shared" si="5"/>
        <v>--</v>
      </c>
      <c r="R29" s="188" t="str">
        <f t="shared" si="6"/>
        <v>--</v>
      </c>
      <c r="S29" s="373" t="str">
        <f t="shared" si="7"/>
        <v>--</v>
      </c>
      <c r="T29" s="374" t="str">
        <f t="shared" si="8"/>
        <v>--</v>
      </c>
      <c r="U29" s="221">
        <f t="shared" si="9"/>
      </c>
      <c r="V29" s="381">
        <f t="shared" si="10"/>
      </c>
      <c r="W29" s="6"/>
    </row>
    <row r="30" spans="2:23" s="5" customFormat="1" ht="16.5" customHeight="1">
      <c r="B30" s="50"/>
      <c r="C30" s="274"/>
      <c r="D30" s="274"/>
      <c r="E30" s="152"/>
      <c r="F30" s="376"/>
      <c r="G30" s="376"/>
      <c r="H30" s="377"/>
      <c r="I30" s="130">
        <f t="shared" si="0"/>
        <v>29.986</v>
      </c>
      <c r="J30" s="378"/>
      <c r="K30" s="150"/>
      <c r="L30" s="379">
        <f t="shared" si="1"/>
      </c>
      <c r="M30" s="380">
        <f t="shared" si="2"/>
      </c>
      <c r="N30" s="220"/>
      <c r="O30" s="221">
        <f t="shared" si="3"/>
      </c>
      <c r="P30" s="727">
        <f t="shared" si="4"/>
        <v>40</v>
      </c>
      <c r="Q30" s="898" t="str">
        <f t="shared" si="5"/>
        <v>--</v>
      </c>
      <c r="R30" s="188" t="str">
        <f t="shared" si="6"/>
        <v>--</v>
      </c>
      <c r="S30" s="373" t="str">
        <f t="shared" si="7"/>
        <v>--</v>
      </c>
      <c r="T30" s="374" t="str">
        <f t="shared" si="8"/>
        <v>--</v>
      </c>
      <c r="U30" s="221">
        <f t="shared" si="9"/>
      </c>
      <c r="V30" s="381">
        <f t="shared" si="10"/>
      </c>
      <c r="W30" s="6"/>
    </row>
    <row r="31" spans="2:23" s="5" customFormat="1" ht="16.5" customHeight="1">
      <c r="B31" s="50"/>
      <c r="C31" s="274"/>
      <c r="D31" s="274"/>
      <c r="E31" s="274"/>
      <c r="F31" s="376"/>
      <c r="G31" s="376"/>
      <c r="H31" s="377"/>
      <c r="I31" s="130">
        <f t="shared" si="0"/>
        <v>29.986</v>
      </c>
      <c r="J31" s="378"/>
      <c r="K31" s="150"/>
      <c r="L31" s="379">
        <f t="shared" si="1"/>
      </c>
      <c r="M31" s="380">
        <f t="shared" si="2"/>
      </c>
      <c r="N31" s="220"/>
      <c r="O31" s="221">
        <f t="shared" si="3"/>
      </c>
      <c r="P31" s="727">
        <f t="shared" si="4"/>
        <v>40</v>
      </c>
      <c r="Q31" s="898" t="str">
        <f t="shared" si="5"/>
        <v>--</v>
      </c>
      <c r="R31" s="188" t="str">
        <f t="shared" si="6"/>
        <v>--</v>
      </c>
      <c r="S31" s="373" t="str">
        <f t="shared" si="7"/>
        <v>--</v>
      </c>
      <c r="T31" s="374" t="str">
        <f t="shared" si="8"/>
        <v>--</v>
      </c>
      <c r="U31" s="221">
        <f t="shared" si="9"/>
      </c>
      <c r="V31" s="381">
        <f t="shared" si="10"/>
      </c>
      <c r="W31" s="6"/>
    </row>
    <row r="32" spans="2:23" s="5" customFormat="1" ht="16.5" customHeight="1">
      <c r="B32" s="50"/>
      <c r="C32" s="274"/>
      <c r="D32" s="274"/>
      <c r="E32" s="152"/>
      <c r="F32" s="376"/>
      <c r="G32" s="376"/>
      <c r="H32" s="377"/>
      <c r="I32" s="130">
        <f t="shared" si="0"/>
        <v>29.986</v>
      </c>
      <c r="J32" s="378"/>
      <c r="K32" s="150"/>
      <c r="L32" s="379">
        <f t="shared" si="1"/>
      </c>
      <c r="M32" s="380">
        <f t="shared" si="2"/>
      </c>
      <c r="N32" s="220"/>
      <c r="O32" s="221">
        <f t="shared" si="3"/>
      </c>
      <c r="P32" s="727">
        <f t="shared" si="4"/>
        <v>40</v>
      </c>
      <c r="Q32" s="898" t="str">
        <f t="shared" si="5"/>
        <v>--</v>
      </c>
      <c r="R32" s="188" t="str">
        <f t="shared" si="6"/>
        <v>--</v>
      </c>
      <c r="S32" s="373" t="str">
        <f t="shared" si="7"/>
        <v>--</v>
      </c>
      <c r="T32" s="374" t="str">
        <f t="shared" si="8"/>
        <v>--</v>
      </c>
      <c r="U32" s="221">
        <f t="shared" si="9"/>
      </c>
      <c r="V32" s="381">
        <f t="shared" si="10"/>
      </c>
      <c r="W32" s="6"/>
    </row>
    <row r="33" spans="2:23" s="5" customFormat="1" ht="16.5" customHeight="1">
      <c r="B33" s="50"/>
      <c r="C33" s="274"/>
      <c r="D33" s="274"/>
      <c r="E33" s="274"/>
      <c r="F33" s="376"/>
      <c r="G33" s="376"/>
      <c r="H33" s="377"/>
      <c r="I33" s="130">
        <f t="shared" si="0"/>
        <v>29.986</v>
      </c>
      <c r="J33" s="378"/>
      <c r="K33" s="150"/>
      <c r="L33" s="379">
        <f t="shared" si="1"/>
      </c>
      <c r="M33" s="380">
        <f t="shared" si="2"/>
      </c>
      <c r="N33" s="220"/>
      <c r="O33" s="221">
        <f t="shared" si="3"/>
      </c>
      <c r="P33" s="727">
        <f t="shared" si="4"/>
        <v>40</v>
      </c>
      <c r="Q33" s="898" t="str">
        <f t="shared" si="5"/>
        <v>--</v>
      </c>
      <c r="R33" s="188" t="str">
        <f t="shared" si="6"/>
        <v>--</v>
      </c>
      <c r="S33" s="373" t="str">
        <f t="shared" si="7"/>
        <v>--</v>
      </c>
      <c r="T33" s="374" t="str">
        <f t="shared" si="8"/>
        <v>--</v>
      </c>
      <c r="U33" s="221">
        <f t="shared" si="9"/>
      </c>
      <c r="V33" s="381">
        <f t="shared" si="10"/>
      </c>
      <c r="W33" s="6"/>
    </row>
    <row r="34" spans="2:23" s="5" customFormat="1" ht="16.5" customHeight="1">
      <c r="B34" s="50"/>
      <c r="C34" s="274"/>
      <c r="D34" s="274"/>
      <c r="E34" s="152"/>
      <c r="F34" s="376"/>
      <c r="G34" s="376"/>
      <c r="H34" s="377"/>
      <c r="I34" s="130">
        <f t="shared" si="0"/>
        <v>29.986</v>
      </c>
      <c r="J34" s="378"/>
      <c r="K34" s="150"/>
      <c r="L34" s="379">
        <f t="shared" si="1"/>
      </c>
      <c r="M34" s="380">
        <f t="shared" si="2"/>
      </c>
      <c r="N34" s="220"/>
      <c r="O34" s="221">
        <f t="shared" si="3"/>
      </c>
      <c r="P34" s="727">
        <f t="shared" si="4"/>
        <v>40</v>
      </c>
      <c r="Q34" s="898" t="str">
        <f t="shared" si="5"/>
        <v>--</v>
      </c>
      <c r="R34" s="188" t="str">
        <f t="shared" si="6"/>
        <v>--</v>
      </c>
      <c r="S34" s="373" t="str">
        <f t="shared" si="7"/>
        <v>--</v>
      </c>
      <c r="T34" s="374" t="str">
        <f t="shared" si="8"/>
        <v>--</v>
      </c>
      <c r="U34" s="221">
        <f t="shared" si="9"/>
      </c>
      <c r="V34" s="381">
        <f t="shared" si="10"/>
      </c>
      <c r="W34" s="6"/>
    </row>
    <row r="35" spans="2:23" s="5" customFormat="1" ht="16.5" customHeight="1">
      <c r="B35" s="50"/>
      <c r="C35" s="274"/>
      <c r="D35" s="274"/>
      <c r="E35" s="274"/>
      <c r="F35" s="376"/>
      <c r="G35" s="376"/>
      <c r="H35" s="377"/>
      <c r="I35" s="130">
        <f t="shared" si="0"/>
        <v>29.986</v>
      </c>
      <c r="J35" s="378"/>
      <c r="K35" s="150"/>
      <c r="L35" s="379">
        <f t="shared" si="1"/>
      </c>
      <c r="M35" s="380">
        <f t="shared" si="2"/>
      </c>
      <c r="N35" s="220"/>
      <c r="O35" s="221">
        <f t="shared" si="3"/>
      </c>
      <c r="P35" s="727">
        <f t="shared" si="4"/>
        <v>40</v>
      </c>
      <c r="Q35" s="898" t="str">
        <f t="shared" si="5"/>
        <v>--</v>
      </c>
      <c r="R35" s="188" t="str">
        <f t="shared" si="6"/>
        <v>--</v>
      </c>
      <c r="S35" s="373" t="str">
        <f t="shared" si="7"/>
        <v>--</v>
      </c>
      <c r="T35" s="374" t="str">
        <f t="shared" si="8"/>
        <v>--</v>
      </c>
      <c r="U35" s="221">
        <f t="shared" si="9"/>
      </c>
      <c r="V35" s="381">
        <f t="shared" si="10"/>
      </c>
      <c r="W35" s="6"/>
    </row>
    <row r="36" spans="2:23" s="5" customFormat="1" ht="16.5" customHeight="1">
      <c r="B36" s="50"/>
      <c r="C36" s="274"/>
      <c r="D36" s="274"/>
      <c r="E36" s="152"/>
      <c r="F36" s="376"/>
      <c r="G36" s="376"/>
      <c r="H36" s="377"/>
      <c r="I36" s="130">
        <f t="shared" si="0"/>
        <v>29.986</v>
      </c>
      <c r="J36" s="378"/>
      <c r="K36" s="150"/>
      <c r="L36" s="379">
        <f t="shared" si="1"/>
      </c>
      <c r="M36" s="380">
        <f t="shared" si="2"/>
      </c>
      <c r="N36" s="220"/>
      <c r="O36" s="221">
        <f t="shared" si="3"/>
      </c>
      <c r="P36" s="727">
        <f t="shared" si="4"/>
        <v>40</v>
      </c>
      <c r="Q36" s="898" t="str">
        <f t="shared" si="5"/>
        <v>--</v>
      </c>
      <c r="R36" s="188" t="str">
        <f t="shared" si="6"/>
        <v>--</v>
      </c>
      <c r="S36" s="373" t="str">
        <f t="shared" si="7"/>
        <v>--</v>
      </c>
      <c r="T36" s="374" t="str">
        <f t="shared" si="8"/>
        <v>--</v>
      </c>
      <c r="U36" s="221">
        <f t="shared" si="9"/>
      </c>
      <c r="V36" s="381">
        <f t="shared" si="10"/>
      </c>
      <c r="W36" s="6"/>
    </row>
    <row r="37" spans="2:23" s="5" customFormat="1" ht="16.5" customHeight="1">
      <c r="B37" s="50"/>
      <c r="C37" s="274"/>
      <c r="D37" s="274"/>
      <c r="E37" s="274"/>
      <c r="F37" s="376"/>
      <c r="G37" s="376"/>
      <c r="H37" s="377"/>
      <c r="I37" s="130">
        <f t="shared" si="0"/>
        <v>29.986</v>
      </c>
      <c r="J37" s="378"/>
      <c r="K37" s="150"/>
      <c r="L37" s="379">
        <f t="shared" si="1"/>
      </c>
      <c r="M37" s="380">
        <f t="shared" si="2"/>
      </c>
      <c r="N37" s="220"/>
      <c r="O37" s="221">
        <f t="shared" si="3"/>
      </c>
      <c r="P37" s="727">
        <f t="shared" si="4"/>
        <v>40</v>
      </c>
      <c r="Q37" s="898" t="str">
        <f t="shared" si="5"/>
        <v>--</v>
      </c>
      <c r="R37" s="188" t="str">
        <f t="shared" si="6"/>
        <v>--</v>
      </c>
      <c r="S37" s="373" t="str">
        <f t="shared" si="7"/>
        <v>--</v>
      </c>
      <c r="T37" s="374" t="str">
        <f t="shared" si="8"/>
        <v>--</v>
      </c>
      <c r="U37" s="221">
        <f t="shared" si="9"/>
      </c>
      <c r="V37" s="381">
        <f t="shared" si="10"/>
      </c>
      <c r="W37" s="6"/>
    </row>
    <row r="38" spans="2:23" s="5" customFormat="1" ht="16.5" customHeight="1">
      <c r="B38" s="50"/>
      <c r="C38" s="274"/>
      <c r="D38" s="274"/>
      <c r="E38" s="152"/>
      <c r="F38" s="376"/>
      <c r="G38" s="376"/>
      <c r="H38" s="377"/>
      <c r="I38" s="130">
        <f t="shared" si="0"/>
        <v>29.986</v>
      </c>
      <c r="J38" s="378"/>
      <c r="K38" s="150"/>
      <c r="L38" s="379">
        <f t="shared" si="1"/>
      </c>
      <c r="M38" s="380">
        <f t="shared" si="2"/>
      </c>
      <c r="N38" s="220"/>
      <c r="O38" s="221">
        <f t="shared" si="3"/>
      </c>
      <c r="P38" s="727">
        <f t="shared" si="4"/>
        <v>40</v>
      </c>
      <c r="Q38" s="898" t="str">
        <f t="shared" si="5"/>
        <v>--</v>
      </c>
      <c r="R38" s="188" t="str">
        <f t="shared" si="6"/>
        <v>--</v>
      </c>
      <c r="S38" s="373" t="str">
        <f t="shared" si="7"/>
        <v>--</v>
      </c>
      <c r="T38" s="374" t="str">
        <f t="shared" si="8"/>
        <v>--</v>
      </c>
      <c r="U38" s="221">
        <f t="shared" si="9"/>
      </c>
      <c r="V38" s="381">
        <f t="shared" si="10"/>
      </c>
      <c r="W38" s="6"/>
    </row>
    <row r="39" spans="2:23" s="5" customFormat="1" ht="16.5" customHeight="1">
      <c r="B39" s="50"/>
      <c r="C39" s="274"/>
      <c r="D39" s="274"/>
      <c r="E39" s="274"/>
      <c r="F39" s="376"/>
      <c r="G39" s="376"/>
      <c r="H39" s="377"/>
      <c r="I39" s="130">
        <f t="shared" si="0"/>
        <v>29.986</v>
      </c>
      <c r="J39" s="378"/>
      <c r="K39" s="150"/>
      <c r="L39" s="379">
        <f t="shared" si="1"/>
      </c>
      <c r="M39" s="380">
        <f t="shared" si="2"/>
      </c>
      <c r="N39" s="220"/>
      <c r="O39" s="221">
        <f t="shared" si="3"/>
      </c>
      <c r="P39" s="727">
        <f t="shared" si="4"/>
        <v>40</v>
      </c>
      <c r="Q39" s="898" t="str">
        <f t="shared" si="5"/>
        <v>--</v>
      </c>
      <c r="R39" s="188" t="str">
        <f t="shared" si="6"/>
        <v>--</v>
      </c>
      <c r="S39" s="373" t="str">
        <f t="shared" si="7"/>
        <v>--</v>
      </c>
      <c r="T39" s="374" t="str">
        <f t="shared" si="8"/>
        <v>--</v>
      </c>
      <c r="U39" s="221">
        <f t="shared" si="9"/>
      </c>
      <c r="V39" s="381">
        <f t="shared" si="10"/>
      </c>
      <c r="W39" s="6"/>
    </row>
    <row r="40" spans="2:23" s="5" customFormat="1" ht="16.5" customHeight="1">
      <c r="B40" s="50"/>
      <c r="C40" s="274"/>
      <c r="D40" s="274"/>
      <c r="E40" s="152"/>
      <c r="F40" s="376"/>
      <c r="G40" s="376"/>
      <c r="H40" s="377"/>
      <c r="I40" s="130">
        <f t="shared" si="0"/>
        <v>29.986</v>
      </c>
      <c r="J40" s="378"/>
      <c r="K40" s="150"/>
      <c r="L40" s="379">
        <f t="shared" si="1"/>
      </c>
      <c r="M40" s="380">
        <f t="shared" si="2"/>
      </c>
      <c r="N40" s="220"/>
      <c r="O40" s="221">
        <f t="shared" si="3"/>
      </c>
      <c r="P40" s="727">
        <f t="shared" si="4"/>
        <v>40</v>
      </c>
      <c r="Q40" s="898" t="str">
        <f t="shared" si="5"/>
        <v>--</v>
      </c>
      <c r="R40" s="188" t="str">
        <f t="shared" si="6"/>
        <v>--</v>
      </c>
      <c r="S40" s="373" t="str">
        <f t="shared" si="7"/>
        <v>--</v>
      </c>
      <c r="T40" s="374" t="str">
        <f t="shared" si="8"/>
        <v>--</v>
      </c>
      <c r="U40" s="221">
        <f t="shared" si="9"/>
      </c>
      <c r="V40" s="381">
        <f t="shared" si="10"/>
      </c>
      <c r="W40" s="6"/>
    </row>
    <row r="41" spans="2:23" s="5" customFormat="1" ht="16.5" customHeight="1">
      <c r="B41" s="50"/>
      <c r="C41" s="274"/>
      <c r="D41" s="274"/>
      <c r="E41" s="274"/>
      <c r="F41" s="376"/>
      <c r="G41" s="376"/>
      <c r="H41" s="377"/>
      <c r="I41" s="130">
        <f t="shared" si="0"/>
        <v>29.986</v>
      </c>
      <c r="J41" s="378"/>
      <c r="K41" s="150"/>
      <c r="L41" s="379">
        <f t="shared" si="1"/>
      </c>
      <c r="M41" s="380">
        <f t="shared" si="2"/>
      </c>
      <c r="N41" s="220"/>
      <c r="O41" s="221">
        <f t="shared" si="3"/>
      </c>
      <c r="P41" s="727">
        <f t="shared" si="4"/>
        <v>40</v>
      </c>
      <c r="Q41" s="898" t="str">
        <f t="shared" si="5"/>
        <v>--</v>
      </c>
      <c r="R41" s="188" t="str">
        <f t="shared" si="6"/>
        <v>--</v>
      </c>
      <c r="S41" s="373" t="str">
        <f t="shared" si="7"/>
        <v>--</v>
      </c>
      <c r="T41" s="374" t="str">
        <f t="shared" si="8"/>
        <v>--</v>
      </c>
      <c r="U41" s="221">
        <f t="shared" si="9"/>
      </c>
      <c r="V41" s="381">
        <f t="shared" si="10"/>
      </c>
      <c r="W41" s="6"/>
    </row>
    <row r="42" spans="2:23" s="5" customFormat="1" ht="16.5" customHeight="1">
      <c r="B42" s="50"/>
      <c r="C42" s="274"/>
      <c r="D42" s="274"/>
      <c r="E42" s="152"/>
      <c r="F42" s="376"/>
      <c r="G42" s="376"/>
      <c r="H42" s="377"/>
      <c r="I42" s="130">
        <f t="shared" si="0"/>
        <v>29.986</v>
      </c>
      <c r="J42" s="378"/>
      <c r="K42" s="150"/>
      <c r="L42" s="379">
        <f t="shared" si="1"/>
      </c>
      <c r="M42" s="380">
        <f t="shared" si="2"/>
      </c>
      <c r="N42" s="220"/>
      <c r="O42" s="221">
        <f t="shared" si="3"/>
      </c>
      <c r="P42" s="727">
        <f t="shared" si="4"/>
        <v>40</v>
      </c>
      <c r="Q42" s="898" t="str">
        <f t="shared" si="5"/>
        <v>--</v>
      </c>
      <c r="R42" s="188" t="str">
        <f t="shared" si="6"/>
        <v>--</v>
      </c>
      <c r="S42" s="373" t="str">
        <f t="shared" si="7"/>
        <v>--</v>
      </c>
      <c r="T42" s="374" t="str">
        <f t="shared" si="8"/>
        <v>--</v>
      </c>
      <c r="U42" s="221">
        <f t="shared" si="9"/>
      </c>
      <c r="V42" s="381">
        <f t="shared" si="10"/>
      </c>
      <c r="W42" s="6"/>
    </row>
    <row r="43" spans="2:23" s="5" customFormat="1" ht="16.5" customHeight="1">
      <c r="B43" s="50"/>
      <c r="C43" s="274"/>
      <c r="D43" s="274"/>
      <c r="E43" s="274"/>
      <c r="F43" s="376"/>
      <c r="G43" s="376"/>
      <c r="H43" s="377"/>
      <c r="I43" s="130">
        <f t="shared" si="0"/>
        <v>29.986</v>
      </c>
      <c r="J43" s="378"/>
      <c r="K43" s="150"/>
      <c r="L43" s="379">
        <f t="shared" si="1"/>
      </c>
      <c r="M43" s="380">
        <f t="shared" si="2"/>
      </c>
      <c r="N43" s="220"/>
      <c r="O43" s="221">
        <f t="shared" si="3"/>
      </c>
      <c r="P43" s="727">
        <f t="shared" si="4"/>
        <v>40</v>
      </c>
      <c r="Q43" s="898" t="str">
        <f t="shared" si="5"/>
        <v>--</v>
      </c>
      <c r="R43" s="188" t="str">
        <f t="shared" si="6"/>
        <v>--</v>
      </c>
      <c r="S43" s="373" t="str">
        <f t="shared" si="7"/>
        <v>--</v>
      </c>
      <c r="T43" s="374" t="str">
        <f t="shared" si="8"/>
        <v>--</v>
      </c>
      <c r="U43" s="221">
        <f t="shared" si="9"/>
      </c>
      <c r="V43" s="381">
        <f t="shared" si="10"/>
      </c>
      <c r="W43" s="6"/>
    </row>
    <row r="44" spans="2:23" s="5" customFormat="1" ht="16.5" customHeight="1" thickBot="1">
      <c r="B44" s="50"/>
      <c r="C44" s="228"/>
      <c r="D44" s="228"/>
      <c r="E44" s="228"/>
      <c r="F44" s="228"/>
      <c r="G44" s="228"/>
      <c r="H44" s="228"/>
      <c r="I44" s="131"/>
      <c r="J44" s="382"/>
      <c r="K44" s="382"/>
      <c r="L44" s="383"/>
      <c r="M44" s="383"/>
      <c r="N44" s="382"/>
      <c r="O44" s="151"/>
      <c r="P44" s="384"/>
      <c r="Q44" s="385"/>
      <c r="R44" s="386"/>
      <c r="S44" s="387"/>
      <c r="T44" s="157"/>
      <c r="U44" s="151"/>
      <c r="V44" s="388"/>
      <c r="W44" s="6"/>
    </row>
    <row r="45" spans="2:23" s="5" customFormat="1" ht="16.5" customHeight="1" thickBot="1" thickTop="1">
      <c r="B45" s="50"/>
      <c r="C45" s="127" t="s">
        <v>24</v>
      </c>
      <c r="D45" s="73"/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89">
        <f>SUM(Q22:Q44)</f>
        <v>0</v>
      </c>
      <c r="R45" s="390">
        <f>SUM(R22:R44)</f>
        <v>4797.76</v>
      </c>
      <c r="S45" s="391">
        <f>SUM(S22:S44)</f>
        <v>3010.5944</v>
      </c>
      <c r="T45" s="392">
        <f>SUM(T22:T44)</f>
        <v>0</v>
      </c>
      <c r="U45" s="393"/>
      <c r="V45" s="100">
        <f>ROUND(SUM(V22:V44),2)</f>
        <v>7808.35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Roman,Normal"&amp;7&amp;F-&amp;A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56"/>
  <sheetViews>
    <sheetView zoomScale="70" zoomScaleNormal="70" zoomScalePageLayoutView="0" workbookViewId="0" topLeftCell="A1">
      <selection activeCell="G41" sqref="G4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5" t="str">
        <f>+'TOT-0211'!B2</f>
        <v>ANEXO III al Memorándum D.T.E.E. N°  1088 /2012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="5" customFormat="1" ht="12.75">
      <c r="A3" s="90"/>
    </row>
    <row r="4" spans="1:4" s="25" customFormat="1" ht="11.25">
      <c r="A4" s="23" t="s">
        <v>1</v>
      </c>
      <c r="B4" s="124"/>
      <c r="C4" s="124"/>
      <c r="D4" s="124"/>
    </row>
    <row r="5" spans="1:4" s="25" customFormat="1" ht="11.25">
      <c r="A5" s="23" t="s">
        <v>2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84</v>
      </c>
      <c r="G8" s="396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7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85</v>
      </c>
      <c r="H10" s="398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86</v>
      </c>
      <c r="H12" s="398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'TOT-0211'!B14</f>
        <v>Desde el 01 al 28 de febrero de 2011</v>
      </c>
      <c r="C14" s="40"/>
      <c r="D14" s="40"/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399"/>
      <c r="S14" s="399"/>
      <c r="T14" s="399"/>
      <c r="U14" s="399"/>
      <c r="V14" s="399"/>
      <c r="W14" s="399"/>
      <c r="X14" s="399"/>
      <c r="Y14" s="399"/>
      <c r="Z14" s="399"/>
      <c r="AA14" s="401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76</v>
      </c>
      <c r="G16" s="402"/>
      <c r="H16" s="252">
        <v>0.56</v>
      </c>
      <c r="I16" s="350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3" t="s">
        <v>25</v>
      </c>
      <c r="G17" s="404"/>
      <c r="H17" s="826">
        <v>20</v>
      </c>
      <c r="I17" s="350"/>
      <c r="J17"/>
      <c r="K17" s="199"/>
      <c r="L17" s="200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27">
        <v>3</v>
      </c>
      <c r="D18" s="927">
        <v>4</v>
      </c>
      <c r="E18" s="927">
        <v>5</v>
      </c>
      <c r="F18" s="927">
        <v>6</v>
      </c>
      <c r="G18" s="927">
        <v>7</v>
      </c>
      <c r="H18" s="927">
        <v>8</v>
      </c>
      <c r="I18" s="927">
        <v>9</v>
      </c>
      <c r="J18" s="927">
        <v>10</v>
      </c>
      <c r="K18" s="927">
        <v>11</v>
      </c>
      <c r="L18" s="927">
        <v>12</v>
      </c>
      <c r="M18" s="927">
        <v>13</v>
      </c>
      <c r="N18" s="927">
        <v>14</v>
      </c>
      <c r="O18" s="927">
        <v>15</v>
      </c>
      <c r="P18" s="927">
        <v>16</v>
      </c>
      <c r="Q18" s="927">
        <v>17</v>
      </c>
      <c r="R18" s="927">
        <v>18</v>
      </c>
      <c r="S18" s="927">
        <v>19</v>
      </c>
      <c r="T18" s="927">
        <v>20</v>
      </c>
      <c r="U18" s="927">
        <v>21</v>
      </c>
      <c r="V18" s="927">
        <v>22</v>
      </c>
      <c r="W18" s="927">
        <v>23</v>
      </c>
      <c r="X18" s="927">
        <v>24</v>
      </c>
      <c r="Y18" s="927">
        <v>25</v>
      </c>
      <c r="Z18" s="927">
        <v>26</v>
      </c>
      <c r="AA18" s="6"/>
    </row>
    <row r="19" spans="2:27" s="5" customFormat="1" ht="33.75" customHeight="1" thickBot="1" thickTop="1">
      <c r="B19" s="50"/>
      <c r="C19" s="123" t="s">
        <v>12</v>
      </c>
      <c r="D19" s="84" t="s">
        <v>225</v>
      </c>
      <c r="E19" s="84" t="s">
        <v>226</v>
      </c>
      <c r="F19" s="86" t="s">
        <v>26</v>
      </c>
      <c r="G19" s="85" t="s">
        <v>27</v>
      </c>
      <c r="H19" s="406" t="s">
        <v>224</v>
      </c>
      <c r="I19" s="129" t="s">
        <v>15</v>
      </c>
      <c r="J19" s="85" t="s">
        <v>16</v>
      </c>
      <c r="K19" s="85" t="s">
        <v>17</v>
      </c>
      <c r="L19" s="86" t="s">
        <v>35</v>
      </c>
      <c r="M19" s="86" t="s">
        <v>30</v>
      </c>
      <c r="N19" s="88" t="s">
        <v>18</v>
      </c>
      <c r="O19" s="88" t="s">
        <v>57</v>
      </c>
      <c r="P19" s="85" t="s">
        <v>31</v>
      </c>
      <c r="Q19" s="129" t="s">
        <v>36</v>
      </c>
      <c r="R19" s="407" t="s">
        <v>70</v>
      </c>
      <c r="S19" s="408" t="s">
        <v>220</v>
      </c>
      <c r="T19" s="409"/>
      <c r="U19" s="256" t="s">
        <v>221</v>
      </c>
      <c r="V19" s="257"/>
      <c r="W19" s="410" t="s">
        <v>21</v>
      </c>
      <c r="X19" s="255" t="s">
        <v>20</v>
      </c>
      <c r="Y19" s="132" t="s">
        <v>74</v>
      </c>
      <c r="Z19" s="411" t="s">
        <v>23</v>
      </c>
      <c r="AA19" s="6"/>
    </row>
    <row r="20" spans="2:27" s="5" customFormat="1" ht="16.5" customHeight="1" thickTop="1">
      <c r="B20" s="50"/>
      <c r="C20" s="260"/>
      <c r="D20" s="260"/>
      <c r="E20" s="260"/>
      <c r="F20" s="413"/>
      <c r="G20" s="413"/>
      <c r="H20" s="413"/>
      <c r="I20" s="331"/>
      <c r="J20" s="414"/>
      <c r="K20" s="414"/>
      <c r="L20" s="412"/>
      <c r="M20" s="412"/>
      <c r="N20" s="413"/>
      <c r="O20" s="180"/>
      <c r="P20" s="412"/>
      <c r="Q20" s="415"/>
      <c r="R20" s="416"/>
      <c r="S20" s="417"/>
      <c r="T20" s="418"/>
      <c r="U20" s="269"/>
      <c r="V20" s="270"/>
      <c r="W20" s="419"/>
      <c r="X20" s="419"/>
      <c r="Y20" s="420"/>
      <c r="Z20" s="421"/>
      <c r="AA20" s="6"/>
    </row>
    <row r="21" spans="2:27" s="5" customFormat="1" ht="16.5" customHeight="1">
      <c r="B21" s="50"/>
      <c r="C21" s="274"/>
      <c r="D21" s="274"/>
      <c r="E21" s="274"/>
      <c r="F21" s="422"/>
      <c r="G21" s="423"/>
      <c r="H21" s="424"/>
      <c r="I21" s="425"/>
      <c r="J21" s="426"/>
      <c r="K21" s="427"/>
      <c r="L21" s="428"/>
      <c r="M21" s="429"/>
      <c r="N21" s="430"/>
      <c r="O21" s="181"/>
      <c r="P21" s="431"/>
      <c r="Q21" s="432"/>
      <c r="R21" s="433"/>
      <c r="S21" s="434"/>
      <c r="T21" s="435"/>
      <c r="U21" s="283"/>
      <c r="V21" s="284"/>
      <c r="W21" s="436"/>
      <c r="X21" s="436"/>
      <c r="Y21" s="431"/>
      <c r="Z21" s="437"/>
      <c r="AA21" s="6"/>
    </row>
    <row r="22" spans="2:27" s="5" customFormat="1" ht="16.5" customHeight="1">
      <c r="B22" s="50"/>
      <c r="C22" s="274">
        <v>37</v>
      </c>
      <c r="D22" s="274">
        <v>231075</v>
      </c>
      <c r="E22" s="152">
        <v>665</v>
      </c>
      <c r="F22" s="438" t="s">
        <v>352</v>
      </c>
      <c r="G22" s="376" t="s">
        <v>353</v>
      </c>
      <c r="H22" s="439">
        <v>80</v>
      </c>
      <c r="I22" s="291">
        <f aca="true" t="shared" si="0" ref="I22:I40">H22*$H$16</f>
        <v>44.800000000000004</v>
      </c>
      <c r="J22" s="378">
        <v>40578.393055555556</v>
      </c>
      <c r="K22" s="185">
        <v>40578.41736111111</v>
      </c>
      <c r="L22" s="379">
        <f aca="true" t="shared" si="1" ref="L22:L40">IF(F22="","",(K22-J22)*24)</f>
        <v>0.5833333333139308</v>
      </c>
      <c r="M22" s="380">
        <f aca="true" t="shared" si="2" ref="M22:M40">IF(F22="","",ROUND((K22-J22)*24*60,0))</f>
        <v>35</v>
      </c>
      <c r="N22" s="220" t="s">
        <v>286</v>
      </c>
      <c r="O22" s="941" t="s">
        <v>323</v>
      </c>
      <c r="P22" s="221" t="str">
        <f aca="true" t="shared" si="3" ref="P22:P40">IF(F22="","",IF(OR(N22="P",N22="RP"),"--","NO"))</f>
        <v>--</v>
      </c>
      <c r="Q22" s="899">
        <f aca="true" t="shared" si="4" ref="Q22:Q40">IF(OR(N22="P",N22="RP"),$H$17/10,$H$17)</f>
        <v>2</v>
      </c>
      <c r="R22" s="900">
        <f aca="true" t="shared" si="5" ref="R22:R40">IF(N22="P",I22*Q22*ROUND(M22/60,2),"--")</f>
        <v>51.968</v>
      </c>
      <c r="S22" s="434" t="str">
        <f aca="true" t="shared" si="6" ref="S22:S40">IF(AND(N22="F",P22="NO"),I22*Q22,"--")</f>
        <v>--</v>
      </c>
      <c r="T22" s="435" t="str">
        <f aca="true" t="shared" si="7" ref="T22:T40">IF(N22="F",I22*Q22*ROUND(M22/60,2),"--")</f>
        <v>--</v>
      </c>
      <c r="U22" s="298" t="str">
        <f aca="true" t="shared" si="8" ref="U22:U40">IF(AND(N22="R",P22="NO"),I22*Q22*O22/100,"--")</f>
        <v>--</v>
      </c>
      <c r="V22" s="299" t="str">
        <f aca="true" t="shared" si="9" ref="V22:V40">IF(N22="R",I22*Q22*O22/100*ROUND(M22/60,2),"--")</f>
        <v>--</v>
      </c>
      <c r="W22" s="436" t="str">
        <f aca="true" t="shared" si="10" ref="W22:W40">IF(N22="RF",I22*Q22*ROUND(M22/60,2),"--")</f>
        <v>--</v>
      </c>
      <c r="X22" s="896" t="str">
        <f aca="true" t="shared" si="11" ref="X22:X40">IF(N22="RP",I22*Q22*O22/100*ROUND(M22/60,2),"--")</f>
        <v>--</v>
      </c>
      <c r="Y22" s="221" t="s">
        <v>202</v>
      </c>
      <c r="Z22" s="381">
        <f aca="true" t="shared" si="12" ref="Z22:Z40">IF(F22="","",SUM(R22:X22)*IF(Y22="SI",1,2)*IF(AND(O22&lt;&gt;"--",N22="RF"),O22/100,1))</f>
        <v>51.968</v>
      </c>
      <c r="AA22" s="6"/>
    </row>
    <row r="23" spans="2:27" s="5" customFormat="1" ht="16.5" customHeight="1">
      <c r="B23" s="50"/>
      <c r="C23" s="274">
        <v>38</v>
      </c>
      <c r="D23" s="274">
        <v>231076</v>
      </c>
      <c r="E23" s="274">
        <v>591</v>
      </c>
      <c r="F23" s="438" t="s">
        <v>324</v>
      </c>
      <c r="G23" s="376" t="s">
        <v>325</v>
      </c>
      <c r="H23" s="439">
        <v>245</v>
      </c>
      <c r="I23" s="291">
        <f t="shared" si="0"/>
        <v>137.20000000000002</v>
      </c>
      <c r="J23" s="378">
        <v>40579.274305555555</v>
      </c>
      <c r="K23" s="185">
        <v>40579.42222222222</v>
      </c>
      <c r="L23" s="379">
        <f t="shared" si="1"/>
        <v>3.550000000046566</v>
      </c>
      <c r="M23" s="380">
        <f t="shared" si="2"/>
        <v>213</v>
      </c>
      <c r="N23" s="220" t="s">
        <v>286</v>
      </c>
      <c r="O23" s="941" t="s">
        <v>323</v>
      </c>
      <c r="P23" s="221" t="str">
        <f t="shared" si="3"/>
        <v>--</v>
      </c>
      <c r="Q23" s="899">
        <f t="shared" si="4"/>
        <v>2</v>
      </c>
      <c r="R23" s="900">
        <f t="shared" si="5"/>
        <v>974.1200000000001</v>
      </c>
      <c r="S23" s="434" t="str">
        <f t="shared" si="6"/>
        <v>--</v>
      </c>
      <c r="T23" s="435" t="str">
        <f t="shared" si="7"/>
        <v>--</v>
      </c>
      <c r="U23" s="298" t="str">
        <f t="shared" si="8"/>
        <v>--</v>
      </c>
      <c r="V23" s="299" t="str">
        <f t="shared" si="9"/>
        <v>--</v>
      </c>
      <c r="W23" s="436" t="str">
        <f t="shared" si="10"/>
        <v>--</v>
      </c>
      <c r="X23" s="896" t="str">
        <f t="shared" si="11"/>
        <v>--</v>
      </c>
      <c r="Y23" s="221" t="s">
        <v>202</v>
      </c>
      <c r="Z23" s="381">
        <f t="shared" si="12"/>
        <v>974.1200000000001</v>
      </c>
      <c r="AA23" s="6"/>
    </row>
    <row r="24" spans="2:27" s="5" customFormat="1" ht="16.5" customHeight="1">
      <c r="B24" s="50"/>
      <c r="C24" s="274">
        <v>39</v>
      </c>
      <c r="D24" s="274">
        <v>231266</v>
      </c>
      <c r="E24" s="274">
        <v>615</v>
      </c>
      <c r="F24" s="438" t="s">
        <v>326</v>
      </c>
      <c r="G24" s="376" t="s">
        <v>354</v>
      </c>
      <c r="H24" s="439">
        <v>150</v>
      </c>
      <c r="I24" s="291">
        <f t="shared" si="0"/>
        <v>84.00000000000001</v>
      </c>
      <c r="J24" s="378">
        <v>40583.39027777778</v>
      </c>
      <c r="K24" s="185">
        <v>40583.61111111111</v>
      </c>
      <c r="L24" s="379">
        <f t="shared" si="1"/>
        <v>5.2999999999883585</v>
      </c>
      <c r="M24" s="380">
        <f t="shared" si="2"/>
        <v>318</v>
      </c>
      <c r="N24" s="220" t="s">
        <v>286</v>
      </c>
      <c r="O24" s="941" t="s">
        <v>323</v>
      </c>
      <c r="P24" s="221" t="str">
        <f t="shared" si="3"/>
        <v>--</v>
      </c>
      <c r="Q24" s="899">
        <f t="shared" si="4"/>
        <v>2</v>
      </c>
      <c r="R24" s="900">
        <f t="shared" si="5"/>
        <v>890.4000000000001</v>
      </c>
      <c r="S24" s="434" t="str">
        <f t="shared" si="6"/>
        <v>--</v>
      </c>
      <c r="T24" s="435" t="str">
        <f t="shared" si="7"/>
        <v>--</v>
      </c>
      <c r="U24" s="298" t="str">
        <f t="shared" si="8"/>
        <v>--</v>
      </c>
      <c r="V24" s="299" t="str">
        <f t="shared" si="9"/>
        <v>--</v>
      </c>
      <c r="W24" s="436" t="str">
        <f t="shared" si="10"/>
        <v>--</v>
      </c>
      <c r="X24" s="896" t="str">
        <f t="shared" si="11"/>
        <v>--</v>
      </c>
      <c r="Y24" s="221" t="s">
        <v>202</v>
      </c>
      <c r="Z24" s="381">
        <f t="shared" si="12"/>
        <v>890.4000000000001</v>
      </c>
      <c r="AA24" s="441"/>
    </row>
    <row r="25" spans="2:27" s="5" customFormat="1" ht="16.5" customHeight="1">
      <c r="B25" s="50"/>
      <c r="C25" s="274">
        <v>40</v>
      </c>
      <c r="D25" s="274">
        <v>231421</v>
      </c>
      <c r="E25" s="152">
        <v>662</v>
      </c>
      <c r="F25" s="438" t="s">
        <v>352</v>
      </c>
      <c r="G25" s="376" t="s">
        <v>355</v>
      </c>
      <c r="H25" s="439">
        <v>80</v>
      </c>
      <c r="I25" s="291">
        <f t="shared" si="0"/>
        <v>44.800000000000004</v>
      </c>
      <c r="J25" s="378">
        <v>40590.33541666667</v>
      </c>
      <c r="K25" s="185">
        <v>40590.35486111111</v>
      </c>
      <c r="L25" s="379">
        <f t="shared" si="1"/>
        <v>0.46666666661622</v>
      </c>
      <c r="M25" s="380">
        <f t="shared" si="2"/>
        <v>28</v>
      </c>
      <c r="N25" s="220" t="s">
        <v>286</v>
      </c>
      <c r="O25" s="941" t="s">
        <v>323</v>
      </c>
      <c r="P25" s="221" t="str">
        <f t="shared" si="3"/>
        <v>--</v>
      </c>
      <c r="Q25" s="899">
        <f t="shared" si="4"/>
        <v>2</v>
      </c>
      <c r="R25" s="900">
        <f t="shared" si="5"/>
        <v>42.112</v>
      </c>
      <c r="S25" s="434" t="str">
        <f t="shared" si="6"/>
        <v>--</v>
      </c>
      <c r="T25" s="435" t="str">
        <f t="shared" si="7"/>
        <v>--</v>
      </c>
      <c r="U25" s="298" t="str">
        <f t="shared" si="8"/>
        <v>--</v>
      </c>
      <c r="V25" s="299" t="str">
        <f t="shared" si="9"/>
        <v>--</v>
      </c>
      <c r="W25" s="436" t="str">
        <f t="shared" si="10"/>
        <v>--</v>
      </c>
      <c r="X25" s="896" t="str">
        <f t="shared" si="11"/>
        <v>--</v>
      </c>
      <c r="Y25" s="221" t="s">
        <v>202</v>
      </c>
      <c r="Z25" s="381">
        <f t="shared" si="12"/>
        <v>42.112</v>
      </c>
      <c r="AA25" s="441"/>
    </row>
    <row r="26" spans="2:27" s="5" customFormat="1" ht="16.5" customHeight="1">
      <c r="B26" s="50"/>
      <c r="C26" s="274">
        <v>41</v>
      </c>
      <c r="D26" s="274">
        <v>231432</v>
      </c>
      <c r="E26" s="274">
        <v>647</v>
      </c>
      <c r="F26" s="438" t="s">
        <v>327</v>
      </c>
      <c r="G26" s="376" t="s">
        <v>328</v>
      </c>
      <c r="H26" s="439">
        <v>25</v>
      </c>
      <c r="I26" s="291">
        <f t="shared" si="0"/>
        <v>14.000000000000002</v>
      </c>
      <c r="J26" s="378">
        <v>40591.99791666667</v>
      </c>
      <c r="K26" s="185">
        <v>40602.99930555555</v>
      </c>
      <c r="L26" s="379">
        <f t="shared" si="1"/>
        <v>264.03333333326736</v>
      </c>
      <c r="M26" s="380">
        <f t="shared" si="2"/>
        <v>15842</v>
      </c>
      <c r="N26" s="220" t="s">
        <v>290</v>
      </c>
      <c r="O26" s="941" t="s">
        <v>323</v>
      </c>
      <c r="P26" s="221" t="str">
        <f t="shared" si="3"/>
        <v>NO</v>
      </c>
      <c r="Q26" s="899">
        <f t="shared" si="4"/>
        <v>20</v>
      </c>
      <c r="R26" s="900" t="str">
        <f t="shared" si="5"/>
        <v>--</v>
      </c>
      <c r="S26" s="434">
        <f t="shared" si="6"/>
        <v>280.00000000000006</v>
      </c>
      <c r="T26" s="435">
        <f t="shared" si="7"/>
        <v>73928.40000000001</v>
      </c>
      <c r="U26" s="298" t="str">
        <f t="shared" si="8"/>
        <v>--</v>
      </c>
      <c r="V26" s="299" t="str">
        <f t="shared" si="9"/>
        <v>--</v>
      </c>
      <c r="W26" s="436" t="str">
        <f t="shared" si="10"/>
        <v>--</v>
      </c>
      <c r="X26" s="896" t="str">
        <f t="shared" si="11"/>
        <v>--</v>
      </c>
      <c r="Y26" s="221" t="s">
        <v>202</v>
      </c>
      <c r="Z26" s="381">
        <f t="shared" si="12"/>
        <v>74208.40000000001</v>
      </c>
      <c r="AA26" s="441"/>
    </row>
    <row r="27" spans="2:27" s="5" customFormat="1" ht="16.5" customHeight="1">
      <c r="B27" s="50"/>
      <c r="C27" s="274">
        <v>42</v>
      </c>
      <c r="D27" s="274">
        <v>231427</v>
      </c>
      <c r="E27" s="152">
        <v>665</v>
      </c>
      <c r="F27" s="438" t="s">
        <v>352</v>
      </c>
      <c r="G27" s="376" t="s">
        <v>353</v>
      </c>
      <c r="H27" s="439">
        <v>80</v>
      </c>
      <c r="I27" s="291">
        <f t="shared" si="0"/>
        <v>44.800000000000004</v>
      </c>
      <c r="J27" s="378">
        <v>40592.31597222222</v>
      </c>
      <c r="K27" s="185">
        <v>40592.33194444444</v>
      </c>
      <c r="L27" s="379">
        <f t="shared" si="1"/>
        <v>0.3833333333604969</v>
      </c>
      <c r="M27" s="380">
        <f t="shared" si="2"/>
        <v>23</v>
      </c>
      <c r="N27" s="220" t="s">
        <v>286</v>
      </c>
      <c r="O27" s="941" t="s">
        <v>323</v>
      </c>
      <c r="P27" s="221" t="str">
        <f t="shared" si="3"/>
        <v>--</v>
      </c>
      <c r="Q27" s="899">
        <f t="shared" si="4"/>
        <v>2</v>
      </c>
      <c r="R27" s="900">
        <f t="shared" si="5"/>
        <v>34.048</v>
      </c>
      <c r="S27" s="434" t="str">
        <f t="shared" si="6"/>
        <v>--</v>
      </c>
      <c r="T27" s="435" t="str">
        <f t="shared" si="7"/>
        <v>--</v>
      </c>
      <c r="U27" s="298" t="str">
        <f t="shared" si="8"/>
        <v>--</v>
      </c>
      <c r="V27" s="299" t="str">
        <f t="shared" si="9"/>
        <v>--</v>
      </c>
      <c r="W27" s="436" t="str">
        <f t="shared" si="10"/>
        <v>--</v>
      </c>
      <c r="X27" s="896" t="str">
        <f t="shared" si="11"/>
        <v>--</v>
      </c>
      <c r="Y27" s="221" t="s">
        <v>202</v>
      </c>
      <c r="Z27" s="381">
        <f t="shared" si="12"/>
        <v>34.048</v>
      </c>
      <c r="AA27" s="441"/>
    </row>
    <row r="28" spans="2:27" s="5" customFormat="1" ht="16.5" customHeight="1">
      <c r="B28" s="50"/>
      <c r="C28" s="274">
        <v>43</v>
      </c>
      <c r="D28" s="274">
        <v>231569</v>
      </c>
      <c r="E28" s="274">
        <v>587</v>
      </c>
      <c r="F28" s="438" t="s">
        <v>324</v>
      </c>
      <c r="G28" s="376" t="s">
        <v>329</v>
      </c>
      <c r="H28" s="439">
        <v>245</v>
      </c>
      <c r="I28" s="291">
        <f t="shared" si="0"/>
        <v>137.20000000000002</v>
      </c>
      <c r="J28" s="378">
        <v>40596.25208333333</v>
      </c>
      <c r="K28" s="185">
        <v>40596.58819444444</v>
      </c>
      <c r="L28" s="379">
        <f t="shared" si="1"/>
        <v>8.066666666592937</v>
      </c>
      <c r="M28" s="380">
        <f t="shared" si="2"/>
        <v>484</v>
      </c>
      <c r="N28" s="220" t="s">
        <v>286</v>
      </c>
      <c r="O28" s="941" t="s">
        <v>323</v>
      </c>
      <c r="P28" s="221" t="str">
        <f t="shared" si="3"/>
        <v>--</v>
      </c>
      <c r="Q28" s="899">
        <f t="shared" si="4"/>
        <v>2</v>
      </c>
      <c r="R28" s="900">
        <f t="shared" si="5"/>
        <v>2214.4080000000004</v>
      </c>
      <c r="S28" s="434" t="str">
        <f t="shared" si="6"/>
        <v>--</v>
      </c>
      <c r="T28" s="435" t="str">
        <f t="shared" si="7"/>
        <v>--</v>
      </c>
      <c r="U28" s="298" t="str">
        <f t="shared" si="8"/>
        <v>--</v>
      </c>
      <c r="V28" s="299" t="str">
        <f t="shared" si="9"/>
        <v>--</v>
      </c>
      <c r="W28" s="436" t="str">
        <f t="shared" si="10"/>
        <v>--</v>
      </c>
      <c r="X28" s="896" t="str">
        <f t="shared" si="11"/>
        <v>--</v>
      </c>
      <c r="Y28" s="221" t="s">
        <v>202</v>
      </c>
      <c r="Z28" s="381">
        <f t="shared" si="12"/>
        <v>2214.4080000000004</v>
      </c>
      <c r="AA28" s="441"/>
    </row>
    <row r="29" spans="2:27" s="5" customFormat="1" ht="16.5" customHeight="1">
      <c r="B29" s="50"/>
      <c r="C29" s="274">
        <v>44</v>
      </c>
      <c r="D29" s="274">
        <v>231570</v>
      </c>
      <c r="E29" s="152">
        <v>651</v>
      </c>
      <c r="F29" s="438" t="s">
        <v>314</v>
      </c>
      <c r="G29" s="376" t="s">
        <v>356</v>
      </c>
      <c r="H29" s="439">
        <v>120</v>
      </c>
      <c r="I29" s="291">
        <f t="shared" si="0"/>
        <v>67.2</v>
      </c>
      <c r="J29" s="378">
        <v>40597.36041666667</v>
      </c>
      <c r="K29" s="185">
        <v>40602.58125</v>
      </c>
      <c r="L29" s="379">
        <f t="shared" si="1"/>
        <v>125.29999999998836</v>
      </c>
      <c r="M29" s="380">
        <f t="shared" si="2"/>
        <v>7518</v>
      </c>
      <c r="N29" s="220" t="s">
        <v>286</v>
      </c>
      <c r="O29" s="941" t="s">
        <v>323</v>
      </c>
      <c r="P29" s="221" t="str">
        <f t="shared" si="3"/>
        <v>--</v>
      </c>
      <c r="Q29" s="899">
        <f t="shared" si="4"/>
        <v>2</v>
      </c>
      <c r="R29" s="900">
        <f t="shared" si="5"/>
        <v>16840.32</v>
      </c>
      <c r="S29" s="434" t="str">
        <f t="shared" si="6"/>
        <v>--</v>
      </c>
      <c r="T29" s="435" t="str">
        <f t="shared" si="7"/>
        <v>--</v>
      </c>
      <c r="U29" s="298" t="str">
        <f t="shared" si="8"/>
        <v>--</v>
      </c>
      <c r="V29" s="299" t="str">
        <f t="shared" si="9"/>
        <v>--</v>
      </c>
      <c r="W29" s="436" t="str">
        <f t="shared" si="10"/>
        <v>--</v>
      </c>
      <c r="X29" s="896" t="str">
        <f t="shared" si="11"/>
        <v>--</v>
      </c>
      <c r="Y29" s="221" t="s">
        <v>202</v>
      </c>
      <c r="Z29" s="381">
        <f t="shared" si="12"/>
        <v>16840.32</v>
      </c>
      <c r="AA29" s="441"/>
    </row>
    <row r="30" spans="2:27" s="5" customFormat="1" ht="16.5" customHeight="1">
      <c r="B30" s="50"/>
      <c r="C30" s="274">
        <v>45</v>
      </c>
      <c r="D30" s="274">
        <v>231571</v>
      </c>
      <c r="E30" s="274">
        <v>623</v>
      </c>
      <c r="F30" s="438" t="s">
        <v>330</v>
      </c>
      <c r="G30" s="376" t="s">
        <v>331</v>
      </c>
      <c r="H30" s="439">
        <v>150</v>
      </c>
      <c r="I30" s="291">
        <f t="shared" si="0"/>
        <v>84.00000000000001</v>
      </c>
      <c r="J30" s="378">
        <v>40597.9</v>
      </c>
      <c r="K30" s="185">
        <v>40598.80486111111</v>
      </c>
      <c r="L30" s="379">
        <f t="shared" si="1"/>
        <v>21.716666666558012</v>
      </c>
      <c r="M30" s="380">
        <f t="shared" si="2"/>
        <v>1303</v>
      </c>
      <c r="N30" s="220" t="s">
        <v>290</v>
      </c>
      <c r="O30" s="941" t="s">
        <v>323</v>
      </c>
      <c r="P30" s="221" t="str">
        <f t="shared" si="3"/>
        <v>NO</v>
      </c>
      <c r="Q30" s="899">
        <f t="shared" si="4"/>
        <v>20</v>
      </c>
      <c r="R30" s="900" t="str">
        <f t="shared" si="5"/>
        <v>--</v>
      </c>
      <c r="S30" s="434">
        <f t="shared" si="6"/>
        <v>1680.0000000000002</v>
      </c>
      <c r="T30" s="435">
        <f t="shared" si="7"/>
        <v>36489.600000000006</v>
      </c>
      <c r="U30" s="298" t="str">
        <f t="shared" si="8"/>
        <v>--</v>
      </c>
      <c r="V30" s="299" t="str">
        <f t="shared" si="9"/>
        <v>--</v>
      </c>
      <c r="W30" s="436" t="str">
        <f t="shared" si="10"/>
        <v>--</v>
      </c>
      <c r="X30" s="896" t="str">
        <f t="shared" si="11"/>
        <v>--</v>
      </c>
      <c r="Y30" s="221" t="s">
        <v>202</v>
      </c>
      <c r="Z30" s="381">
        <f t="shared" si="12"/>
        <v>38169.600000000006</v>
      </c>
      <c r="AA30" s="6"/>
    </row>
    <row r="31" spans="2:27" s="5" customFormat="1" ht="16.5" customHeight="1">
      <c r="B31" s="50"/>
      <c r="C31" s="274">
        <v>46</v>
      </c>
      <c r="D31" s="274">
        <v>231572</v>
      </c>
      <c r="E31" s="152">
        <v>588</v>
      </c>
      <c r="F31" s="438" t="s">
        <v>324</v>
      </c>
      <c r="G31" s="376" t="s">
        <v>332</v>
      </c>
      <c r="H31" s="439">
        <v>245</v>
      </c>
      <c r="I31" s="291">
        <f t="shared" si="0"/>
        <v>137.20000000000002</v>
      </c>
      <c r="J31" s="378">
        <v>40598.24791666667</v>
      </c>
      <c r="K31" s="185">
        <v>40598.72430555556</v>
      </c>
      <c r="L31" s="379">
        <f t="shared" si="1"/>
        <v>11.433333333407063</v>
      </c>
      <c r="M31" s="380">
        <f t="shared" si="2"/>
        <v>686</v>
      </c>
      <c r="N31" s="220" t="s">
        <v>286</v>
      </c>
      <c r="O31" s="941" t="s">
        <v>323</v>
      </c>
      <c r="P31" s="221" t="str">
        <f t="shared" si="3"/>
        <v>--</v>
      </c>
      <c r="Q31" s="899">
        <f t="shared" si="4"/>
        <v>2</v>
      </c>
      <c r="R31" s="900">
        <f t="shared" si="5"/>
        <v>3136.3920000000003</v>
      </c>
      <c r="S31" s="434" t="str">
        <f t="shared" si="6"/>
        <v>--</v>
      </c>
      <c r="T31" s="435" t="str">
        <f t="shared" si="7"/>
        <v>--</v>
      </c>
      <c r="U31" s="298" t="str">
        <f t="shared" si="8"/>
        <v>--</v>
      </c>
      <c r="V31" s="299" t="str">
        <f t="shared" si="9"/>
        <v>--</v>
      </c>
      <c r="W31" s="436" t="str">
        <f t="shared" si="10"/>
        <v>--</v>
      </c>
      <c r="X31" s="896" t="str">
        <f t="shared" si="11"/>
        <v>--</v>
      </c>
      <c r="Y31" s="221" t="s">
        <v>202</v>
      </c>
      <c r="Z31" s="381">
        <f t="shared" si="12"/>
        <v>3136.3920000000003</v>
      </c>
      <c r="AA31" s="6"/>
    </row>
    <row r="32" spans="2:27" s="5" customFormat="1" ht="16.5" customHeight="1">
      <c r="B32" s="50"/>
      <c r="C32" s="274"/>
      <c r="D32" s="274"/>
      <c r="E32" s="274"/>
      <c r="F32" s="438"/>
      <c r="G32" s="376"/>
      <c r="H32" s="439"/>
      <c r="I32" s="291">
        <f t="shared" si="0"/>
        <v>0</v>
      </c>
      <c r="J32" s="378"/>
      <c r="K32" s="185"/>
      <c r="L32" s="379">
        <f t="shared" si="1"/>
      </c>
      <c r="M32" s="380">
        <f t="shared" si="2"/>
      </c>
      <c r="N32" s="220"/>
      <c r="O32" s="516">
        <f aca="true" t="shared" si="13" ref="O32:O40">IF(F32="","","--")</f>
      </c>
      <c r="P32" s="221">
        <f t="shared" si="3"/>
      </c>
      <c r="Q32" s="899">
        <f t="shared" si="4"/>
        <v>20</v>
      </c>
      <c r="R32" s="900" t="str">
        <f t="shared" si="5"/>
        <v>--</v>
      </c>
      <c r="S32" s="434" t="str">
        <f t="shared" si="6"/>
        <v>--</v>
      </c>
      <c r="T32" s="435" t="str">
        <f t="shared" si="7"/>
        <v>--</v>
      </c>
      <c r="U32" s="298" t="str">
        <f t="shared" si="8"/>
        <v>--</v>
      </c>
      <c r="V32" s="299" t="str">
        <f t="shared" si="9"/>
        <v>--</v>
      </c>
      <c r="W32" s="436" t="str">
        <f t="shared" si="10"/>
        <v>--</v>
      </c>
      <c r="X32" s="896" t="str">
        <f t="shared" si="11"/>
        <v>--</v>
      </c>
      <c r="Y32" s="221">
        <f aca="true" t="shared" si="14" ref="Y32:Y40">IF(F32="","","SI")</f>
      </c>
      <c r="Z32" s="381">
        <f t="shared" si="12"/>
      </c>
      <c r="AA32" s="6"/>
    </row>
    <row r="33" spans="2:27" s="5" customFormat="1" ht="16.5" customHeight="1">
      <c r="B33" s="50"/>
      <c r="C33" s="274"/>
      <c r="D33" s="274"/>
      <c r="E33" s="152"/>
      <c r="F33" s="438"/>
      <c r="G33" s="376"/>
      <c r="H33" s="439"/>
      <c r="I33" s="291">
        <f t="shared" si="0"/>
        <v>0</v>
      </c>
      <c r="J33" s="378"/>
      <c r="K33" s="185"/>
      <c r="L33" s="379">
        <f t="shared" si="1"/>
      </c>
      <c r="M33" s="380">
        <f t="shared" si="2"/>
      </c>
      <c r="N33" s="220"/>
      <c r="O33" s="516">
        <f t="shared" si="13"/>
      </c>
      <c r="P33" s="221">
        <f t="shared" si="3"/>
      </c>
      <c r="Q33" s="899">
        <f t="shared" si="4"/>
        <v>20</v>
      </c>
      <c r="R33" s="900" t="str">
        <f t="shared" si="5"/>
        <v>--</v>
      </c>
      <c r="S33" s="434" t="str">
        <f t="shared" si="6"/>
        <v>--</v>
      </c>
      <c r="T33" s="435" t="str">
        <f t="shared" si="7"/>
        <v>--</v>
      </c>
      <c r="U33" s="298" t="str">
        <f t="shared" si="8"/>
        <v>--</v>
      </c>
      <c r="V33" s="299" t="str">
        <f t="shared" si="9"/>
        <v>--</v>
      </c>
      <c r="W33" s="436" t="str">
        <f t="shared" si="10"/>
        <v>--</v>
      </c>
      <c r="X33" s="896" t="str">
        <f t="shared" si="11"/>
        <v>--</v>
      </c>
      <c r="Y33" s="221">
        <f t="shared" si="14"/>
      </c>
      <c r="Z33" s="381">
        <f t="shared" si="12"/>
      </c>
      <c r="AA33" s="6"/>
    </row>
    <row r="34" spans="2:27" s="5" customFormat="1" ht="16.5" customHeight="1">
      <c r="B34" s="50"/>
      <c r="C34" s="274"/>
      <c r="D34" s="274"/>
      <c r="E34" s="274"/>
      <c r="F34" s="438"/>
      <c r="G34" s="376"/>
      <c r="H34" s="439"/>
      <c r="I34" s="291">
        <f t="shared" si="0"/>
        <v>0</v>
      </c>
      <c r="J34" s="378"/>
      <c r="K34" s="185"/>
      <c r="L34" s="379">
        <f t="shared" si="1"/>
      </c>
      <c r="M34" s="380">
        <f t="shared" si="2"/>
      </c>
      <c r="N34" s="220"/>
      <c r="O34" s="516">
        <f t="shared" si="13"/>
      </c>
      <c r="P34" s="221">
        <f t="shared" si="3"/>
      </c>
      <c r="Q34" s="899">
        <f t="shared" si="4"/>
        <v>20</v>
      </c>
      <c r="R34" s="900" t="str">
        <f t="shared" si="5"/>
        <v>--</v>
      </c>
      <c r="S34" s="434" t="str">
        <f t="shared" si="6"/>
        <v>--</v>
      </c>
      <c r="T34" s="435" t="str">
        <f t="shared" si="7"/>
        <v>--</v>
      </c>
      <c r="U34" s="298" t="str">
        <f t="shared" si="8"/>
        <v>--</v>
      </c>
      <c r="V34" s="299" t="str">
        <f t="shared" si="9"/>
        <v>--</v>
      </c>
      <c r="W34" s="436" t="str">
        <f t="shared" si="10"/>
        <v>--</v>
      </c>
      <c r="X34" s="896" t="str">
        <f t="shared" si="11"/>
        <v>--</v>
      </c>
      <c r="Y34" s="221">
        <f t="shared" si="14"/>
      </c>
      <c r="Z34" s="381">
        <f t="shared" si="12"/>
      </c>
      <c r="AA34" s="6"/>
    </row>
    <row r="35" spans="2:27" s="5" customFormat="1" ht="16.5" customHeight="1">
      <c r="B35" s="50"/>
      <c r="C35" s="274"/>
      <c r="D35" s="274"/>
      <c r="E35" s="152"/>
      <c r="F35" s="438"/>
      <c r="G35" s="376"/>
      <c r="H35" s="439"/>
      <c r="I35" s="291">
        <f t="shared" si="0"/>
        <v>0</v>
      </c>
      <c r="J35" s="378"/>
      <c r="K35" s="185"/>
      <c r="L35" s="379">
        <f t="shared" si="1"/>
      </c>
      <c r="M35" s="380">
        <f t="shared" si="2"/>
      </c>
      <c r="N35" s="220"/>
      <c r="O35" s="516">
        <f t="shared" si="13"/>
      </c>
      <c r="P35" s="221">
        <f t="shared" si="3"/>
      </c>
      <c r="Q35" s="899">
        <f t="shared" si="4"/>
        <v>20</v>
      </c>
      <c r="R35" s="900" t="str">
        <f t="shared" si="5"/>
        <v>--</v>
      </c>
      <c r="S35" s="434" t="str">
        <f t="shared" si="6"/>
        <v>--</v>
      </c>
      <c r="T35" s="435" t="str">
        <f t="shared" si="7"/>
        <v>--</v>
      </c>
      <c r="U35" s="298" t="str">
        <f t="shared" si="8"/>
        <v>--</v>
      </c>
      <c r="V35" s="299" t="str">
        <f t="shared" si="9"/>
        <v>--</v>
      </c>
      <c r="W35" s="436" t="str">
        <f t="shared" si="10"/>
        <v>--</v>
      </c>
      <c r="X35" s="896" t="str">
        <f t="shared" si="11"/>
        <v>--</v>
      </c>
      <c r="Y35" s="221">
        <f t="shared" si="14"/>
      </c>
      <c r="Z35" s="381">
        <f t="shared" si="12"/>
      </c>
      <c r="AA35" s="6"/>
    </row>
    <row r="36" spans="2:27" s="5" customFormat="1" ht="16.5" customHeight="1">
      <c r="B36" s="50"/>
      <c r="C36" s="274"/>
      <c r="D36" s="274"/>
      <c r="E36" s="274"/>
      <c r="F36" s="438"/>
      <c r="G36" s="376"/>
      <c r="H36" s="439"/>
      <c r="I36" s="291">
        <f t="shared" si="0"/>
        <v>0</v>
      </c>
      <c r="J36" s="378"/>
      <c r="K36" s="185"/>
      <c r="L36" s="379">
        <f t="shared" si="1"/>
      </c>
      <c r="M36" s="380">
        <f t="shared" si="2"/>
      </c>
      <c r="N36" s="220"/>
      <c r="O36" s="516">
        <f t="shared" si="13"/>
      </c>
      <c r="P36" s="221">
        <f t="shared" si="3"/>
      </c>
      <c r="Q36" s="899">
        <f t="shared" si="4"/>
        <v>20</v>
      </c>
      <c r="R36" s="900" t="str">
        <f t="shared" si="5"/>
        <v>--</v>
      </c>
      <c r="S36" s="434" t="str">
        <f t="shared" si="6"/>
        <v>--</v>
      </c>
      <c r="T36" s="435" t="str">
        <f t="shared" si="7"/>
        <v>--</v>
      </c>
      <c r="U36" s="298" t="str">
        <f t="shared" si="8"/>
        <v>--</v>
      </c>
      <c r="V36" s="299" t="str">
        <f t="shared" si="9"/>
        <v>--</v>
      </c>
      <c r="W36" s="436" t="str">
        <f t="shared" si="10"/>
        <v>--</v>
      </c>
      <c r="X36" s="896" t="str">
        <f t="shared" si="11"/>
        <v>--</v>
      </c>
      <c r="Y36" s="221">
        <f t="shared" si="14"/>
      </c>
      <c r="Z36" s="381">
        <f t="shared" si="12"/>
      </c>
      <c r="AA36" s="6"/>
    </row>
    <row r="37" spans="2:27" s="5" customFormat="1" ht="16.5" customHeight="1">
      <c r="B37" s="50"/>
      <c r="C37" s="274"/>
      <c r="D37" s="274"/>
      <c r="E37" s="152"/>
      <c r="F37" s="438"/>
      <c r="G37" s="376"/>
      <c r="H37" s="439"/>
      <c r="I37" s="291">
        <f t="shared" si="0"/>
        <v>0</v>
      </c>
      <c r="J37" s="378"/>
      <c r="K37" s="185"/>
      <c r="L37" s="379">
        <f t="shared" si="1"/>
      </c>
      <c r="M37" s="380">
        <f t="shared" si="2"/>
      </c>
      <c r="N37" s="220"/>
      <c r="O37" s="516">
        <f t="shared" si="13"/>
      </c>
      <c r="P37" s="221">
        <f t="shared" si="3"/>
      </c>
      <c r="Q37" s="899">
        <f t="shared" si="4"/>
        <v>20</v>
      </c>
      <c r="R37" s="900" t="str">
        <f t="shared" si="5"/>
        <v>--</v>
      </c>
      <c r="S37" s="434" t="str">
        <f t="shared" si="6"/>
        <v>--</v>
      </c>
      <c r="T37" s="435" t="str">
        <f t="shared" si="7"/>
        <v>--</v>
      </c>
      <c r="U37" s="298" t="str">
        <f t="shared" si="8"/>
        <v>--</v>
      </c>
      <c r="V37" s="299" t="str">
        <f t="shared" si="9"/>
        <v>--</v>
      </c>
      <c r="W37" s="436" t="str">
        <f t="shared" si="10"/>
        <v>--</v>
      </c>
      <c r="X37" s="896" t="str">
        <f t="shared" si="11"/>
        <v>--</v>
      </c>
      <c r="Y37" s="221">
        <f t="shared" si="14"/>
      </c>
      <c r="Z37" s="381">
        <f t="shared" si="12"/>
      </c>
      <c r="AA37" s="6"/>
    </row>
    <row r="38" spans="2:27" s="5" customFormat="1" ht="16.5" customHeight="1">
      <c r="B38" s="50"/>
      <c r="C38" s="274"/>
      <c r="D38" s="274"/>
      <c r="E38" s="274"/>
      <c r="F38" s="438"/>
      <c r="G38" s="376"/>
      <c r="H38" s="439"/>
      <c r="I38" s="291">
        <f t="shared" si="0"/>
        <v>0</v>
      </c>
      <c r="J38" s="378"/>
      <c r="K38" s="185"/>
      <c r="L38" s="379">
        <f t="shared" si="1"/>
      </c>
      <c r="M38" s="380">
        <f t="shared" si="2"/>
      </c>
      <c r="N38" s="220"/>
      <c r="O38" s="516">
        <f t="shared" si="13"/>
      </c>
      <c r="P38" s="221">
        <f t="shared" si="3"/>
      </c>
      <c r="Q38" s="899">
        <f t="shared" si="4"/>
        <v>20</v>
      </c>
      <c r="R38" s="900" t="str">
        <f t="shared" si="5"/>
        <v>--</v>
      </c>
      <c r="S38" s="434" t="str">
        <f t="shared" si="6"/>
        <v>--</v>
      </c>
      <c r="T38" s="435" t="str">
        <f t="shared" si="7"/>
        <v>--</v>
      </c>
      <c r="U38" s="298" t="str">
        <f t="shared" si="8"/>
        <v>--</v>
      </c>
      <c r="V38" s="299" t="str">
        <f t="shared" si="9"/>
        <v>--</v>
      </c>
      <c r="W38" s="436" t="str">
        <f t="shared" si="10"/>
        <v>--</v>
      </c>
      <c r="X38" s="896" t="str">
        <f t="shared" si="11"/>
        <v>--</v>
      </c>
      <c r="Y38" s="221">
        <f t="shared" si="14"/>
      </c>
      <c r="Z38" s="381">
        <f t="shared" si="12"/>
      </c>
      <c r="AA38" s="6"/>
    </row>
    <row r="39" spans="2:27" s="5" customFormat="1" ht="16.5" customHeight="1">
      <c r="B39" s="50"/>
      <c r="C39" s="274"/>
      <c r="D39" s="274"/>
      <c r="E39" s="152"/>
      <c r="F39" s="438"/>
      <c r="G39" s="376"/>
      <c r="H39" s="439"/>
      <c r="I39" s="291">
        <f t="shared" si="0"/>
        <v>0</v>
      </c>
      <c r="J39" s="378"/>
      <c r="K39" s="185"/>
      <c r="L39" s="379">
        <f t="shared" si="1"/>
      </c>
      <c r="M39" s="380">
        <f t="shared" si="2"/>
      </c>
      <c r="N39" s="220"/>
      <c r="O39" s="516">
        <f t="shared" si="13"/>
      </c>
      <c r="P39" s="221">
        <f t="shared" si="3"/>
      </c>
      <c r="Q39" s="899">
        <f t="shared" si="4"/>
        <v>20</v>
      </c>
      <c r="R39" s="900" t="str">
        <f t="shared" si="5"/>
        <v>--</v>
      </c>
      <c r="S39" s="434" t="str">
        <f t="shared" si="6"/>
        <v>--</v>
      </c>
      <c r="T39" s="435" t="str">
        <f t="shared" si="7"/>
        <v>--</v>
      </c>
      <c r="U39" s="298" t="str">
        <f t="shared" si="8"/>
        <v>--</v>
      </c>
      <c r="V39" s="299" t="str">
        <f t="shared" si="9"/>
        <v>--</v>
      </c>
      <c r="W39" s="436" t="str">
        <f t="shared" si="10"/>
        <v>--</v>
      </c>
      <c r="X39" s="896" t="str">
        <f t="shared" si="11"/>
        <v>--</v>
      </c>
      <c r="Y39" s="221">
        <f t="shared" si="14"/>
      </c>
      <c r="Z39" s="381">
        <f t="shared" si="12"/>
      </c>
      <c r="AA39" s="6"/>
    </row>
    <row r="40" spans="2:27" s="5" customFormat="1" ht="16.5" customHeight="1">
      <c r="B40" s="50"/>
      <c r="C40" s="274"/>
      <c r="D40" s="274"/>
      <c r="E40" s="274"/>
      <c r="F40" s="438"/>
      <c r="G40" s="376"/>
      <c r="H40" s="439"/>
      <c r="I40" s="291">
        <f t="shared" si="0"/>
        <v>0</v>
      </c>
      <c r="J40" s="378"/>
      <c r="K40" s="185"/>
      <c r="L40" s="379">
        <f t="shared" si="1"/>
      </c>
      <c r="M40" s="380">
        <f t="shared" si="2"/>
      </c>
      <c r="N40" s="220"/>
      <c r="O40" s="516">
        <f t="shared" si="13"/>
      </c>
      <c r="P40" s="221">
        <f t="shared" si="3"/>
      </c>
      <c r="Q40" s="899">
        <f t="shared" si="4"/>
        <v>20</v>
      </c>
      <c r="R40" s="900" t="str">
        <f t="shared" si="5"/>
        <v>--</v>
      </c>
      <c r="S40" s="434" t="str">
        <f t="shared" si="6"/>
        <v>--</v>
      </c>
      <c r="T40" s="435" t="str">
        <f t="shared" si="7"/>
        <v>--</v>
      </c>
      <c r="U40" s="298" t="str">
        <f t="shared" si="8"/>
        <v>--</v>
      </c>
      <c r="V40" s="299" t="str">
        <f t="shared" si="9"/>
        <v>--</v>
      </c>
      <c r="W40" s="436" t="str">
        <f t="shared" si="10"/>
        <v>--</v>
      </c>
      <c r="X40" s="896" t="str">
        <f t="shared" si="11"/>
        <v>--</v>
      </c>
      <c r="Y40" s="221">
        <f t="shared" si="14"/>
      </c>
      <c r="Z40" s="381">
        <f t="shared" si="12"/>
      </c>
      <c r="AA40" s="6"/>
    </row>
    <row r="41" spans="2:27" s="5" customFormat="1" ht="16.5" customHeight="1" thickBot="1">
      <c r="B41" s="50"/>
      <c r="C41" s="442"/>
      <c r="D41" s="442"/>
      <c r="E41" s="442"/>
      <c r="F41" s="442"/>
      <c r="G41" s="442"/>
      <c r="H41" s="442"/>
      <c r="I41" s="131"/>
      <c r="J41" s="382"/>
      <c r="K41" s="382"/>
      <c r="L41" s="383"/>
      <c r="M41" s="383"/>
      <c r="N41" s="382"/>
      <c r="O41" s="189"/>
      <c r="P41" s="151"/>
      <c r="Q41" s="443"/>
      <c r="R41" s="444"/>
      <c r="S41" s="445"/>
      <c r="T41" s="446"/>
      <c r="U41" s="316"/>
      <c r="V41" s="317"/>
      <c r="W41" s="447"/>
      <c r="X41" s="447"/>
      <c r="Y41" s="151"/>
      <c r="Z41" s="448"/>
      <c r="AA41" s="6"/>
    </row>
    <row r="42" spans="2:27" s="5" customFormat="1" ht="16.5" customHeight="1" thickBot="1" thickTop="1">
      <c r="B42" s="50"/>
      <c r="C42" s="127" t="s">
        <v>24</v>
      </c>
      <c r="D42" s="73"/>
      <c r="E42" s="127"/>
      <c r="F42" s="128"/>
      <c r="I42" s="4"/>
      <c r="J42" s="4"/>
      <c r="K42" s="4"/>
      <c r="L42" s="4"/>
      <c r="M42" s="4"/>
      <c r="N42" s="4"/>
      <c r="O42" s="4"/>
      <c r="P42" s="4"/>
      <c r="Q42" s="4"/>
      <c r="R42" s="449">
        <f aca="true" t="shared" si="15" ref="R42:X42">SUM(R20:R41)</f>
        <v>24183.768</v>
      </c>
      <c r="S42" s="450">
        <f t="shared" si="15"/>
        <v>1960.0000000000002</v>
      </c>
      <c r="T42" s="451">
        <f t="shared" si="15"/>
        <v>110418.00000000001</v>
      </c>
      <c r="U42" s="326">
        <f t="shared" si="15"/>
        <v>0</v>
      </c>
      <c r="V42" s="327">
        <f t="shared" si="15"/>
        <v>0</v>
      </c>
      <c r="W42" s="452">
        <f t="shared" si="15"/>
        <v>0</v>
      </c>
      <c r="X42" s="452">
        <f t="shared" si="15"/>
        <v>0</v>
      </c>
      <c r="Z42" s="100">
        <f>ROUND(SUM(Z20:Z41),2)</f>
        <v>136561.77</v>
      </c>
      <c r="AA42" s="453"/>
    </row>
    <row r="43" spans="2:27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6:29" ht="16.5" customHeight="1" thickTop="1">
      <c r="F44" s="174"/>
      <c r="G44" s="174"/>
      <c r="H44" s="174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6:29" ht="16.5" customHeight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6:29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6:29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6:29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6:29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6:29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6:29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6:29" ht="16.5" customHeight="1">
      <c r="F151" s="172"/>
      <c r="G151" s="172"/>
      <c r="H151" s="172"/>
      <c r="AB151" s="172"/>
      <c r="AC151" s="172"/>
    </row>
    <row r="152" spans="6:8" ht="16.5" customHeight="1">
      <c r="F152" s="172"/>
      <c r="G152" s="172"/>
      <c r="H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Roman,Normal"&amp;7&amp;F-&amp;A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2012-06-07T12:44:05Z</cp:lastPrinted>
  <dcterms:created xsi:type="dcterms:W3CDTF">1998-04-21T14:04:37Z</dcterms:created>
  <dcterms:modified xsi:type="dcterms:W3CDTF">2013-01-23T16:24:22Z</dcterms:modified>
  <cp:category/>
  <cp:version/>
  <cp:contentType/>
  <cp:contentStatus/>
</cp:coreProperties>
</file>