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909" activeTab="1"/>
  </bookViews>
  <sheets>
    <sheet name="TOT-0111" sheetId="1" r:id="rId1"/>
    <sheet name="LI-01 (1)" sheetId="2" r:id="rId2"/>
    <sheet name="TR-01 (1)" sheetId="3" r:id="rId3"/>
    <sheet name="SA-01 (1)" sheetId="4" r:id="rId4"/>
    <sheet name="SA-01 (2)" sheetId="5" r:id="rId5"/>
    <sheet name="SA-TIBA-01 (1)" sheetId="6" r:id="rId6"/>
    <sheet name="SA-TRANSPORTEL-07 (1)" sheetId="7" r:id="rId7"/>
    <sheet name="RE-01 (1)" sheetId="8" r:id="rId8"/>
    <sheet name="SUP-TIBA" sheetId="9" r:id="rId9"/>
    <sheet name="SUP-TRANSPORTEL" sheetId="10" r:id="rId10"/>
    <sheet name="TASA FALLA" sheetId="11" r:id="rId11"/>
    <sheet name="DATO" sheetId="12" r:id="rId12"/>
  </sheets>
  <externalReferences>
    <externalReference r:id="rId15"/>
    <externalReference r:id="rId16"/>
    <externalReference r:id="rId17"/>
  </externalReferences>
  <definedNames>
    <definedName name="_xlnm.Print_Area" localSheetId="8">'SUP-TIBA'!$A$1:$X$73</definedName>
    <definedName name="_xlnm.Print_Area" localSheetId="10">'TASA FALLA'!$A$1:$V$104</definedName>
    <definedName name="DD" localSheetId="9">'SUP-TRANSPORTEL'!DD</definedName>
    <definedName name="DD" localSheetId="10">'TASA FALLA'!DD</definedName>
    <definedName name="DD">[0]!DD</definedName>
    <definedName name="DDD" localSheetId="9">'SUP-TRANSPORTEL'!DDD</definedName>
    <definedName name="DDD" localSheetId="10">'TASA FALLA'!DDD</definedName>
    <definedName name="DDD">[0]!DDD</definedName>
    <definedName name="DISTROCUYO" localSheetId="9">'SUP-TRANSPORTEL'!DISTROCUYO</definedName>
    <definedName name="DISTROCUYO" localSheetId="10">'TASA FALLA'!DISTROCUYO</definedName>
    <definedName name="DISTROCUYO">[0]!DISTROCUYO</definedName>
    <definedName name="FER" localSheetId="9">'SUP-TRANSPORTEL'!FER</definedName>
    <definedName name="FER" localSheetId="10">'TASA FALLA'!FER</definedName>
    <definedName name="FER">[0]!FER</definedName>
    <definedName name="INICIO" localSheetId="9">'SUP-TRANSPORTEL'!INICIO</definedName>
    <definedName name="INICIO" localSheetId="10">'TASA FALLA'!INICIO</definedName>
    <definedName name="INICIO">[0]!INICIO</definedName>
    <definedName name="INICIOTI" localSheetId="9">'SUP-TRANSPORTEL'!INICIOTI</definedName>
    <definedName name="INICIOTI" localSheetId="10">'TASA FALLA'!INICIOTI</definedName>
    <definedName name="INICIOTI">[0]!INICIOTI</definedName>
    <definedName name="LINEAS" localSheetId="9">'SUP-TRANSPORTEL'!LINEAS</definedName>
    <definedName name="LINEAS" localSheetId="10">'TASA FALLA'!LINEAS</definedName>
    <definedName name="LINEAS">[0]!LINEAS</definedName>
    <definedName name="NAME_L" localSheetId="9">'SUP-TRANSPORTEL'!NAME_L</definedName>
    <definedName name="NAME_L" localSheetId="10">'TASA FALLA'!NAME_L</definedName>
    <definedName name="NAME_L">[0]!NAME_L</definedName>
    <definedName name="NAME_L_TI" localSheetId="9">'SUP-TRANSPORTEL'!NAME_L_TI</definedName>
    <definedName name="NAME_L_TI" localSheetId="10">'TASA FALLA'!NAME_L_TI</definedName>
    <definedName name="NAME_L_TI">[0]!NAME_L_TI</definedName>
    <definedName name="TRAN" localSheetId="9">'SUP-TRANSPORTEL'!TRAN</definedName>
    <definedName name="TRAN" localSheetId="10">'TASA FALLA'!TRAN</definedName>
    <definedName name="TRAN">[0]!TRAN</definedName>
    <definedName name="TRANSNOA" localSheetId="9">'SUP-TRANSPORTEL'!TRANSNOA</definedName>
    <definedName name="TRANSNOA" localSheetId="10">'TASA FALLA'!TRANSNOA</definedName>
    <definedName name="TRANSNOA">[0]!TRANSNOA</definedName>
    <definedName name="x" localSheetId="9">'SUP-TRANSPORTEL'!x</definedName>
    <definedName name="x" localSheetId="10">'TASA FALLA'!x</definedName>
    <definedName name="x">[0]!x</definedName>
    <definedName name="XX" localSheetId="9">'SUP-TRANSPORTEL'!XX</definedName>
    <definedName name="XX" localSheetId="10">'TASA FALLA'!XX</definedName>
    <definedName name="XX">[0]!XX</definedName>
  </definedNames>
  <calcPr fullCalcOnLoad="1"/>
</workbook>
</file>

<file path=xl/comments10.xml><?xml version="1.0" encoding="utf-8"?>
<comments xmlns="http://schemas.openxmlformats.org/spreadsheetml/2006/main">
  <authors>
    <author>Ing. Juan Messina</author>
  </authors>
  <commentList>
    <comment ref="M51" authorId="0">
      <text>
        <r>
          <rPr>
            <b/>
            <sz val="8"/>
            <rFont val="Tahoma"/>
            <family val="0"/>
          </rPr>
          <t>Ing. Juan Messina:
Anexo2,1 DTE
ATRAXX.TXT</t>
        </r>
      </text>
    </comment>
  </commentList>
</comments>
</file>

<file path=xl/comments4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39,254</t>
        </r>
      </text>
    </comment>
  </commentList>
</comments>
</file>

<file path=xl/comments5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39,254</t>
        </r>
      </text>
    </comment>
  </commentList>
</comments>
</file>

<file path=xl/sharedStrings.xml><?xml version="1.0" encoding="utf-8"?>
<sst xmlns="http://schemas.openxmlformats.org/spreadsheetml/2006/main" count="872" uniqueCount="376">
  <si>
    <t>LÍNEAS</t>
  </si>
  <si>
    <t xml:space="preserve">ENTE NACIONAL REGULADOR </t>
  </si>
  <si>
    <t>DE LA ELECTRICIDAD</t>
  </si>
  <si>
    <t>1.-</t>
  </si>
  <si>
    <t>Equipamiento propio</t>
  </si>
  <si>
    <t>2.-</t>
  </si>
  <si>
    <t>CONEXIÓN</t>
  </si>
  <si>
    <t>Transformación</t>
  </si>
  <si>
    <t>Salidas</t>
  </si>
  <si>
    <t>3.-</t>
  </si>
  <si>
    <t xml:space="preserve">TOTAL </t>
  </si>
  <si>
    <t>1.- LÍNEAS</t>
  </si>
  <si>
    <t>N°</t>
  </si>
  <si>
    <t>U
[kV]</t>
  </si>
  <si>
    <t>Long.
[km]</t>
  </si>
  <si>
    <t>$/h</t>
  </si>
  <si>
    <t>Salida</t>
  </si>
  <si>
    <t>Entrada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</si>
  <si>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</si>
  <si>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PENALIZ.
PROGRAM.</t>
  </si>
  <si>
    <t>REDUCC.
PROGRAM.</t>
  </si>
  <si>
    <t>RESTANTE
FORZADA</t>
  </si>
  <si>
    <t>REDUCC.
RESTANTE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</si>
  <si>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</si>
  <si>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</si>
  <si>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Coeficiente de penalización por salida forzada   =</t>
  </si>
  <si>
    <t>ESTACIÓN
TRANSFORMADORA</t>
  </si>
  <si>
    <t>EQUIPO</t>
  </si>
  <si>
    <t>POT.
[MVA]</t>
  </si>
  <si>
    <t>Hs
Indisp.</t>
  </si>
  <si>
    <t>Mtos.
Indisp.</t>
  </si>
  <si>
    <t>AUT.</t>
  </si>
  <si>
    <t>E.N.S.</t>
  </si>
  <si>
    <t>K (P;ENS)</t>
  </si>
  <si>
    <t>PENALIZAC. FORZADA
Por Salida       hs. Restantes</t>
  </si>
  <si>
    <t>Hs.
Indisp.</t>
  </si>
  <si>
    <t>K</t>
  </si>
  <si>
    <t>Tiempo de servicio =</t>
  </si>
  <si>
    <t>hs</t>
  </si>
  <si>
    <t>Porcentaje por Supervisión  =</t>
  </si>
  <si>
    <t xml:space="preserve">Cargo por Transformador por MVA = </t>
  </si>
  <si>
    <t>SM =</t>
  </si>
  <si>
    <t>U [kV]</t>
  </si>
  <si>
    <t>RM =</t>
  </si>
  <si>
    <t>CS =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</si>
  <si>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</si>
  <si>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</si>
  <si>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</si>
  <si>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</si>
  <si>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</si>
  <si>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</si>
  <si>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</si>
  <si>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</si>
  <si>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</si>
  <si>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</si>
  <si>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</si>
  <si>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</si>
  <si>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Rest.
%</t>
  </si>
  <si>
    <t>R.D.</t>
  </si>
  <si>
    <t>PENALIZACIÓN FORZADA
Por Salida    1ras 5 hs.   hs. Restantes</t>
  </si>
  <si>
    <t>E.T.</t>
  </si>
  <si>
    <t>TRANSENER S.A.</t>
  </si>
  <si>
    <t>SISTEMA DE TRANSPORTE DE ENERGÍA ELÉCTRICA EN ALTA TENSIÓN</t>
  </si>
  <si>
    <t>POTENCIA REACTIVA</t>
  </si>
  <si>
    <t>4.-</t>
  </si>
  <si>
    <t>SUPERVISIÓN</t>
  </si>
  <si>
    <t>Transportista Independiente TIBA S.A.</t>
  </si>
  <si>
    <t>SISTEMA DE TRANSPORTE DE ENERGÍA ELÉCTRICA EN ALTA TENSIÓN - TRANSENER S.A.</t>
  </si>
  <si>
    <t>PENALIZAC.
PROGRAM.</t>
  </si>
  <si>
    <t>CL</t>
  </si>
  <si>
    <t>PENALIZACION FORZADA
Por Salida      1ras 5 hs.     hs. Restantes</t>
  </si>
  <si>
    <t>REDUCCIÓN
RESTANTE</t>
  </si>
  <si>
    <t>Informó
enTérm.</t>
  </si>
  <si>
    <t>ENTE NACIONAL REGULADOR</t>
  </si>
  <si>
    <t>Por Transformador por cada MVA    $ =</t>
  </si>
  <si>
    <t>PENALIZAC. FORZADA
Por Salida         hs. Restantes</t>
  </si>
  <si>
    <t>REDUCC. FORZADA
Por Salida         hs. Restantes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</si>
  <si>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</si>
  <si>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</si>
  <si>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</si>
  <si>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</si>
  <si>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</si>
  <si>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SISTEMA DE TRANSPORTE DE ENERGÍA ELÉCTRICA EN ALTA TENSIÓN  -  TRANSENER S.A.</t>
  </si>
  <si>
    <t>3.- POTENCIA REACTIVA</t>
  </si>
  <si>
    <t>3.1.- Equipamiento propio</t>
  </si>
  <si>
    <t xml:space="preserve">$/100 km-h : LINEAS 500 kV </t>
  </si>
  <si>
    <t xml:space="preserve">$/100 km-h : LINEAS 220 kV </t>
  </si>
  <si>
    <t>SISTEMA DE TRANSPORTE DE ENERGÍA ELÉCTRICA EN ALTA TENSIÓN - TRANSENER  S.A.</t>
  </si>
  <si>
    <t>4.- SUPERVISIÓN</t>
  </si>
  <si>
    <t>a)</t>
  </si>
  <si>
    <t>Datos</t>
  </si>
  <si>
    <t>Remuneración LÍNEAS 500 kV              =</t>
  </si>
  <si>
    <t>$/100 km-h</t>
  </si>
  <si>
    <t>b)</t>
  </si>
  <si>
    <t>c)</t>
  </si>
  <si>
    <t>Tipo 
Sal</t>
  </si>
  <si>
    <t>REDUCC. FORZADA
Por Salida        1ras 5 hs.      hs. Restantes</t>
  </si>
  <si>
    <t>Tipo 
Sal.</t>
  </si>
  <si>
    <t>PENALIZAC. FORZADA
Por Salida    hs. Restantes</t>
  </si>
  <si>
    <t>d)</t>
  </si>
  <si>
    <t>LONG.</t>
  </si>
  <si>
    <t>e)</t>
  </si>
  <si>
    <t>SANCIÓN</t>
  </si>
  <si>
    <t>Sanción calculada</t>
  </si>
  <si>
    <t>SANCIÓN =</t>
  </si>
  <si>
    <t>Remuneración TRANSFORMADOR    =</t>
  </si>
  <si>
    <t>$/MVA</t>
  </si>
  <si>
    <t>TRANSFORMADOR</t>
  </si>
  <si>
    <t>POT. [MVA]</t>
  </si>
  <si>
    <t xml:space="preserve">Salida en 500 kV en $/h </t>
  </si>
  <si>
    <t>Salida en 132 kV en $/h</t>
  </si>
  <si>
    <t>Cant. Puntos.</t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</si>
  <si>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</si>
  <si>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</si>
  <si>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</si>
  <si>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</si>
  <si>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</si>
  <si>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</si>
  <si>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</si>
  <si>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500/132/33</t>
  </si>
  <si>
    <r>
      <t>CS:</t>
    </r>
    <r>
      <rPr>
        <sz val="12"/>
        <rFont val="Times New Roman"/>
        <family val="0"/>
      </rPr>
      <t xml:space="preserve"> es el cargo por supervisión de la operación que la concesionaria percibe por supervisar la operación y mantenimiento del transportista independiente, establecido en el reglamento de acceso.</t>
    </r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</si>
  <si>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</si>
  <si>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</si>
  <si>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r>
      <t>RM</t>
    </r>
    <r>
      <rPr>
        <sz val="12"/>
        <rFont val="Times New Roman"/>
        <family val="1"/>
      </rPr>
      <t xml:space="preserve"> por Capacidad de Transporte</t>
    </r>
  </si>
  <si>
    <r>
      <t>RM</t>
    </r>
    <r>
      <rPr>
        <sz val="12"/>
        <rFont val="Times New Roman"/>
        <family val="1"/>
      </rPr>
      <t xml:space="preserve"> por Energía E. Transportada</t>
    </r>
  </si>
  <si>
    <r>
      <t>RM</t>
    </r>
    <r>
      <rPr>
        <sz val="12"/>
        <rFont val="Times New Roman"/>
        <family val="1"/>
      </rPr>
      <t xml:space="preserve"> Total</t>
    </r>
  </si>
  <si>
    <r>
      <t>RM</t>
    </r>
    <r>
      <rPr>
        <sz val="12"/>
        <rFont val="Times New Roman"/>
        <family val="1"/>
      </rPr>
      <t xml:space="preserve"> por Capacidad de Transformación</t>
    </r>
  </si>
  <si>
    <r>
      <t>RM</t>
    </r>
    <r>
      <rPr>
        <sz val="12"/>
        <rFont val="Times New Roman"/>
        <family val="1"/>
      </rPr>
      <t xml:space="preserve"> por Conexión</t>
    </r>
  </si>
  <si>
    <r>
      <t>RM</t>
    </r>
    <r>
      <rPr>
        <sz val="12"/>
        <rFont val="Times New Roman"/>
        <family val="1"/>
      </rPr>
      <t xml:space="preserve"> por Cargos de Conexión</t>
    </r>
  </si>
  <si>
    <t>1.1.- Líneas propias</t>
  </si>
  <si>
    <t>REDUCCIÓN FORZADA
Por Salida       1ras 5 hs.     hs. Restantes</t>
  </si>
  <si>
    <t>Hoja</t>
  </si>
  <si>
    <t>MODELO L</t>
  </si>
  <si>
    <t>MODELO T</t>
  </si>
  <si>
    <t>MODELO S</t>
  </si>
  <si>
    <t>MODELO L YACYLEC</t>
  </si>
  <si>
    <t>MODELO L LITSA</t>
  </si>
  <si>
    <t>MODELO T LITSA</t>
  </si>
  <si>
    <t>MODELO T TIBA</t>
  </si>
  <si>
    <t>MODELO T ENECOR</t>
  </si>
  <si>
    <t>MODELO S TIBA</t>
  </si>
  <si>
    <t>MODELO S ENECOR</t>
  </si>
  <si>
    <t>MODELO R</t>
  </si>
  <si>
    <t>Mes</t>
  </si>
  <si>
    <t>Dia</t>
  </si>
  <si>
    <t>Año</t>
  </si>
  <si>
    <t>MODELO R YACYLEC</t>
  </si>
  <si>
    <t>MODELO R LITSA</t>
  </si>
  <si>
    <t>NombreHoja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</si>
  <si>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</si>
  <si>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</si>
  <si>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</si>
  <si>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</si>
  <si>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</si>
  <si>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</si>
  <si>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</si>
  <si>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</si>
  <si>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</si>
  <si>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</si>
  <si>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</si>
  <si>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</si>
  <si>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OrigenDeDatos</t>
  </si>
  <si>
    <t>Columnas</t>
  </si>
  <si>
    <t>FilasPlantilla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</si>
  <si>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</si>
  <si>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</si>
  <si>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</si>
  <si>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</si>
  <si>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</si>
  <si>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</si>
  <si>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</si>
  <si>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</si>
  <si>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Col10</t>
  </si>
  <si>
    <t>Col11</t>
  </si>
  <si>
    <t>Col12</t>
  </si>
  <si>
    <t>Col13</t>
  </si>
  <si>
    <t>Col14</t>
  </si>
  <si>
    <t>Col15</t>
  </si>
  <si>
    <t>Col00</t>
  </si>
  <si>
    <t>FilaInicio</t>
  </si>
  <si>
    <t>MODELO L IV</t>
  </si>
  <si>
    <t>SUP-YACYLEC</t>
  </si>
  <si>
    <t>I</t>
  </si>
  <si>
    <t>II</t>
  </si>
  <si>
    <t>III</t>
  </si>
  <si>
    <t>IV</t>
  </si>
  <si>
    <t>V</t>
  </si>
  <si>
    <t>VI</t>
  </si>
  <si>
    <t>VII</t>
  </si>
  <si>
    <t>VIII</t>
  </si>
  <si>
    <t>SUP-LITSA</t>
  </si>
  <si>
    <t>SUP-TIBA</t>
  </si>
  <si>
    <t>SUP-ENECOR</t>
  </si>
  <si>
    <t>B14</t>
  </si>
  <si>
    <t>SI</t>
  </si>
  <si>
    <t>MODELO R IV</t>
  </si>
  <si>
    <t>Total</t>
  </si>
  <si>
    <t>FILHTOTAL</t>
  </si>
  <si>
    <t>COLHTOTAL</t>
  </si>
  <si>
    <t>COLHCALC</t>
  </si>
  <si>
    <t>FILHCALC</t>
  </si>
  <si>
    <t>COLTRANSP</t>
  </si>
  <si>
    <t>FILTRANSP</t>
  </si>
  <si>
    <t xml:space="preserve"> 2.2.- SALIDAS</t>
  </si>
  <si>
    <t>2.1.- TRANSFORMACIÓN</t>
  </si>
  <si>
    <t>2.1.1.- Equipamiento Propio</t>
  </si>
  <si>
    <t xml:space="preserve"> 2.2.2.- Transportista Independiente TIBA S.A.</t>
  </si>
  <si>
    <t>PENAL.FORZADA x Sal hs. Restantes</t>
  </si>
  <si>
    <t>RED.FORZADA
x Sal hs. Restantes</t>
  </si>
  <si>
    <t>Campana trafos</t>
  </si>
  <si>
    <t>COL TSAL</t>
  </si>
  <si>
    <t>POT.
[MVAr]</t>
  </si>
  <si>
    <t>INDISP</t>
  </si>
  <si>
    <t>ID EQUIPO</t>
  </si>
  <si>
    <t>MODELO L LIMSA</t>
  </si>
  <si>
    <t>MODELO T LIMSA</t>
  </si>
  <si>
    <t>SUP-LIMSA</t>
  </si>
  <si>
    <t>MODELO L INTESAR</t>
  </si>
  <si>
    <t>MODELO L CUYANA</t>
  </si>
  <si>
    <t>MODELO T CUYANA</t>
  </si>
  <si>
    <t>MODELO S TESA</t>
  </si>
  <si>
    <t>MODELO S CTM</t>
  </si>
  <si>
    <t>SUP-TESA</t>
  </si>
  <si>
    <t>SUP-CTM</t>
  </si>
  <si>
    <t>SUP-CUYANA</t>
  </si>
  <si>
    <t>SUP-INTESAR</t>
  </si>
  <si>
    <t>MODELO T INTESAR</t>
  </si>
  <si>
    <t>DAG</t>
  </si>
  <si>
    <t>MODELO VST</t>
  </si>
  <si>
    <t>TRANSENER_CAUSAS_VST.XLS</t>
  </si>
  <si>
    <t>Col09</t>
  </si>
  <si>
    <t>-</t>
  </si>
  <si>
    <t>MODELO S LIMSA</t>
  </si>
  <si>
    <t>MODELO S LITSA</t>
  </si>
  <si>
    <t>TRANSENER_INDISPONIBILIDADES_LINEAS_TRANSENER.XLS</t>
  </si>
  <si>
    <t>TRANSENER_INDISPONIBILIDADES_LINEAS_YACYLEC.XLS</t>
  </si>
  <si>
    <t>TRANSENER_INDISPONIBILIDADES_LINEAS_LITSA.XLS</t>
  </si>
  <si>
    <t>TRANSENER_INDISPONIBILIDADES_LINEAS_IV.XLS</t>
  </si>
  <si>
    <t>TRANSENER_INDISPONIBILIDADES_LINEAS_INTESAR.XLS</t>
  </si>
  <si>
    <t>TRANSENER_INDISPONIBILIDADES_LINEAS_CUYANA.XLS</t>
  </si>
  <si>
    <t>TRANSENER_INDISPONIBILIDADES_LINEAS_LIMSA.XLS</t>
  </si>
  <si>
    <t>TRANSENER_INDISPONIBILIDADES_TRAFOS_TRANSENER.XLS</t>
  </si>
  <si>
    <t>TRANSENER_INDISPONIBILIDADES_TRAFOS_LITSA.XLS</t>
  </si>
  <si>
    <t>TRANSENER_INDISPONIBILIDADES_TRAFOS_TIBA.XLS</t>
  </si>
  <si>
    <t>TRANSENER_INDISPONIBILIDADES_TRAFOS_ENECOR.XLS</t>
  </si>
  <si>
    <t>TRANSENER_INDISPONIBILIDADES_TRAFOS_INTESAR.XLS</t>
  </si>
  <si>
    <t>TRANSENER_INDISPONIBILIDADES_TRAFOS_LIMSA.XLS</t>
  </si>
  <si>
    <t>TRANSENER_INDISPONIBILIDADES_TRAFOS_CUYANA.XLS</t>
  </si>
  <si>
    <t>TRANSENER_INDISPONIBILIDADES_SALIDAS_TRANSENER.XLS</t>
  </si>
  <si>
    <t>TRANSENER_INDISPONIBILIDADES_SALIDAS_TIBA.XLS</t>
  </si>
  <si>
    <t>TRANSENER_INDISPONIBILIDADES_SALIDAS_ENECOR.XLS</t>
  </si>
  <si>
    <t>TRANSENER_INDISPONIBILIDADES_SALIDAS_LITSA.XLS</t>
  </si>
  <si>
    <t>TRANSENER_INDISPONIBILIDADES_SALIDAS_LIMSA.XLS</t>
  </si>
  <si>
    <t>TRANSENER_INDISPONIBILIDADES_SALIDAS_TESA.XLS</t>
  </si>
  <si>
    <t>TRANSENER_INDISPONIBILIDADES_SALIDAS_CTM.XLS</t>
  </si>
  <si>
    <t>TRANSENER_INDISPONIBILIDADES_REACTIVOS_TRANSENER.XLS</t>
  </si>
  <si>
    <t>TRANSENER_INDISPONIBILIDADES_REACTIVOS_YACYLEC.XLS</t>
  </si>
  <si>
    <t>TRANSENER_INDISPONIBILIDADES_REACTIVOS_LITSA.XLS</t>
  </si>
  <si>
    <t>TRANSENER_INDISPONIBILIDADES_REACTIVOS_IV.XLS</t>
  </si>
  <si>
    <t>TRANSENER_INDISPONIBILIDADES_DAG.XLS</t>
  </si>
  <si>
    <t>MODELO L RIOJA</t>
  </si>
  <si>
    <t>TRANSENER_INDISPONIBILIDADES_LINEAS_RIOJA.XLS</t>
  </si>
  <si>
    <t>MODELO T COBRA</t>
  </si>
  <si>
    <t>TRANSENER_INDISPONIBILIDADES_TRAFOS_COBRA.XLS</t>
  </si>
  <si>
    <t>TOTAL A PENALIZAR A TRANSENER S.A POR SUPERVISIÓN A TI RECREO LA RIOJA</t>
  </si>
  <si>
    <t>Recreo - La Rioja Sur</t>
  </si>
  <si>
    <t>SUP-RIOJA</t>
  </si>
  <si>
    <t>SUP-COBRA</t>
  </si>
  <si>
    <t>500/132/13,2</t>
  </si>
  <si>
    <t>MODELO R LIMSA</t>
  </si>
  <si>
    <t>TRANSENER_INDISPONIBILIDADES_REACTIVOS_LIMSA.XLS</t>
  </si>
  <si>
    <t>TOTAL A PENALIZAR A TRANSENER S.A POR SUPERVISIÓN A TIBA</t>
  </si>
  <si>
    <t>Desde el 01 al 31 de enero de 2011</t>
  </si>
  <si>
    <t>ROSARIO OESTE - RAMALLO 1</t>
  </si>
  <si>
    <t>C</t>
  </si>
  <si>
    <t>P</t>
  </si>
  <si>
    <t>ALMAFUERTE - ROSARIO OESTE</t>
  </si>
  <si>
    <t>B</t>
  </si>
  <si>
    <t>CHOCON - C.H. CHOCON 2</t>
  </si>
  <si>
    <t>ALICURA - P. DEL AGUILA 1</t>
  </si>
  <si>
    <t>CHOCON OESTE - CHOCON 1</t>
  </si>
  <si>
    <t>F</t>
  </si>
  <si>
    <t>LUJAN</t>
  </si>
  <si>
    <t>TRAFO 2</t>
  </si>
  <si>
    <t>EL CHOCON</t>
  </si>
  <si>
    <t>TRAFO T2</t>
  </si>
  <si>
    <t>PLANICIE BANDERITA</t>
  </si>
  <si>
    <t>AUTOTRAFO</t>
  </si>
  <si>
    <t>RAMALLO</t>
  </si>
  <si>
    <t>SALIDA LINEA ARGENER</t>
  </si>
  <si>
    <t>SALIDA SAN LUIS II</t>
  </si>
  <si>
    <t>RECREO</t>
  </si>
  <si>
    <t>ALIMENTADOR A CATAMARCA</t>
  </si>
  <si>
    <t>ROSARIO OESTE</t>
  </si>
  <si>
    <t>SALIDA LINEA PROVINCIAS UNIDAS</t>
  </si>
  <si>
    <t>SALIDA SAN LUIS I</t>
  </si>
  <si>
    <t>SANTO TOME</t>
  </si>
  <si>
    <t>SALIDA CALCHINES</t>
  </si>
  <si>
    <t>RESISTENCIA</t>
  </si>
  <si>
    <t>SALIDA LINEA A BARRANQUERAS 2</t>
  </si>
  <si>
    <t>SALIDA LINEA ESPERANZA</t>
  </si>
  <si>
    <t>SALIDA LINEA CASILDA 1</t>
  </si>
  <si>
    <t>CAMPANA 500</t>
  </si>
  <si>
    <t>SALIDA ACOP. BARRAS B,D</t>
  </si>
  <si>
    <t>MALVINAS ARGENTINAS</t>
  </si>
  <si>
    <t>SALIDA LINEA PILAR</t>
  </si>
  <si>
    <t>P. BANDERITA</t>
  </si>
  <si>
    <t>SALIDA LINEA A PLAYA BANDERITA</t>
  </si>
  <si>
    <t>CHOCON OESTE</t>
  </si>
  <si>
    <t>SALIDA LINEA CHOCON</t>
  </si>
  <si>
    <t>ALMAFUERTE</t>
  </si>
  <si>
    <t>SALIDA LINEA REOLIN 2</t>
  </si>
  <si>
    <t xml:space="preserve">CAMPANA </t>
  </si>
  <si>
    <t>SALIDA A SIDERCA 1</t>
  </si>
  <si>
    <t xml:space="preserve">BAHIA BLANCA </t>
  </si>
  <si>
    <t>SALIDA A COOP. P. ALTA</t>
  </si>
  <si>
    <t>SALIDA A V. LIA</t>
  </si>
  <si>
    <t>OLAVARRIA</t>
  </si>
  <si>
    <t>SALIDA A LAPRIDA</t>
  </si>
  <si>
    <t>SALIDA A P. LURO</t>
  </si>
  <si>
    <t>SALIDA MINETTI</t>
  </si>
  <si>
    <t xml:space="preserve">EZEIZA </t>
  </si>
  <si>
    <t>CS1</t>
  </si>
  <si>
    <t>0,000</t>
  </si>
  <si>
    <t>CS5</t>
  </si>
  <si>
    <t>BAHIA BLANCA</t>
  </si>
  <si>
    <t>R1B5BB</t>
  </si>
  <si>
    <t>P - PROGRAMADA ;   F - FORZADA</t>
  </si>
  <si>
    <t>P - PROGRAMADA</t>
  </si>
  <si>
    <r>
      <t>(</t>
    </r>
    <r>
      <rPr>
        <sz val="10"/>
        <rFont val="Wingdings"/>
        <family val="0"/>
      </rPr>
      <t>²</t>
    </r>
    <r>
      <rPr>
        <sz val="10"/>
        <rFont val="Times New Roman"/>
        <family val="1"/>
      </rPr>
      <t>)</t>
    </r>
  </si>
  <si>
    <t>A</t>
  </si>
  <si>
    <t>M. BELGRANO</t>
  </si>
  <si>
    <t>SALIDA TRAFO TV1</t>
  </si>
  <si>
    <t>SALIDA TRAFO TG2</t>
  </si>
  <si>
    <t>SALIDA RAMALLO INDUSTRIAL</t>
  </si>
  <si>
    <t>RIO CORONDA</t>
  </si>
  <si>
    <t>SALIDA TV1  SM</t>
  </si>
  <si>
    <t>SALIDA TG2 SM</t>
  </si>
  <si>
    <t>SALIDA TG1 SM</t>
  </si>
  <si>
    <t>LA RIOJA SUR</t>
  </si>
  <si>
    <t xml:space="preserve"> </t>
  </si>
  <si>
    <t xml:space="preserve"> -</t>
  </si>
  <si>
    <t>SALIDA PATQUIA</t>
  </si>
  <si>
    <t>SALIDAS</t>
  </si>
  <si>
    <t>CANTIDAD</t>
  </si>
  <si>
    <t>La rioja Sur</t>
  </si>
  <si>
    <t>4.1.- Transportista Independiente  TIBA S.A.</t>
  </si>
  <si>
    <t>TRAFO 1</t>
  </si>
  <si>
    <t>SALIDA A LA PAMPITA</t>
  </si>
  <si>
    <t>SALIDA CORCEMAR</t>
  </si>
  <si>
    <t>MALVINAS</t>
  </si>
  <si>
    <t>R1L5MA</t>
  </si>
  <si>
    <t xml:space="preserve"> 2.2.3.- Transportista IndependienteTRANSPORTEL  MINERA 2 S.A.</t>
  </si>
  <si>
    <t>4.2.- Transportista Independiente TRANSPORTEL  MINERA 2 S.A.</t>
  </si>
  <si>
    <t>T. Indep.TRANSPORTEL MINERA 2 S.A.</t>
  </si>
  <si>
    <t>RM *  =</t>
  </si>
  <si>
    <t xml:space="preserve"> RM * =</t>
  </si>
  <si>
    <r>
      <t xml:space="preserve">RM * </t>
    </r>
    <r>
      <rPr>
        <sz val="14"/>
        <rFont val="Times New Roman"/>
        <family val="1"/>
      </rPr>
      <t xml:space="preserve">= VALOR EMLEADO PARA CALCULAR   </t>
    </r>
    <r>
      <rPr>
        <b/>
        <sz val="14"/>
        <rFont val="Times New Roman"/>
        <family val="1"/>
      </rPr>
      <t>CS</t>
    </r>
  </si>
  <si>
    <r>
      <t xml:space="preserve">RM * </t>
    </r>
    <r>
      <rPr>
        <sz val="14"/>
        <rFont val="Times New Roman"/>
        <family val="1"/>
      </rPr>
      <t xml:space="preserve">=   VALOR EMLEADO PARA CALCULAR   </t>
    </r>
    <r>
      <rPr>
        <b/>
        <sz val="14"/>
        <rFont val="Times New Roman"/>
        <family val="1"/>
      </rPr>
      <t>CS</t>
    </r>
  </si>
  <si>
    <t>100 MVAr</t>
  </si>
  <si>
    <t>RM: Por Capacitores ET  B. Blanca:</t>
  </si>
  <si>
    <t>SISTEMA DE TRANSPORTE DE ENERGÍA ELÉCTRICA EN ALTA TENSION</t>
  </si>
  <si>
    <t>INDISPONIBILIDADES FORZADAS DE LÍNEAS - TASA DE FALLA</t>
  </si>
  <si>
    <t>Correspondiente al mes de enero de 2011 (provisoria)</t>
  </si>
  <si>
    <t>CLASE</t>
  </si>
  <si>
    <t xml:space="preserve">Longitud Total </t>
  </si>
  <si>
    <t xml:space="preserve">Indisponibilidades Forzadas </t>
  </si>
  <si>
    <t xml:space="preserve">TASA DE FALLA </t>
  </si>
  <si>
    <t xml:space="preserve"> Valores Provisorios</t>
  </si>
  <si>
    <t>TASA DE FALLA</t>
  </si>
  <si>
    <t>Salidas X Año / 100Km</t>
  </si>
  <si>
    <t>Valores remuneratorios según  "Acuerdo Instrumental del Acta Acuerdo  UNIREN  -  TRANSENER S.A."   (Dec. PEN Nº 1462/05)  ,</t>
  </si>
  <si>
    <t>TOTAL DE PENALIZACIONES A APLICAR</t>
  </si>
  <si>
    <t>Nota ENRE N° 102539</t>
  </si>
  <si>
    <t xml:space="preserve">"Acuerdo Instrumental del Acta Acuerdo UNIREN - TRANSBA" (Dec PEN Nº 1460/05)  y  Res ENRE N°523/09 </t>
  </si>
  <si>
    <t>ANEXO II al Memorándum D.T.E.E. N°  1088 / 2012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</si>
</sst>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&quot;$&quot;\ #,##0.0;[Red]&quot;$&quot;\ \-#,##0.0"/>
    <numFmt numFmtId="226" formatCode="0.000000"/>
    <numFmt numFmtId="227" formatCode="0.00000000"/>
  </numFmts>
  <fonts count="1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sz val="11"/>
      <color indexed="13"/>
      <name val="Times New Roman"/>
      <family val="1"/>
    </font>
    <font>
      <sz val="11"/>
      <color indexed="8"/>
      <name val="Times New Roman"/>
      <family val="1"/>
    </font>
    <font>
      <sz val="14"/>
      <name val="MS Sans Serif"/>
      <family val="0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sz val="10"/>
      <color indexed="10"/>
      <name val="Times New Roman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6"/>
      <name val="MS Sans Serif"/>
      <family val="2"/>
    </font>
    <font>
      <sz val="11"/>
      <color indexed="58"/>
      <name val="MS Sans Serif"/>
      <family val="2"/>
    </font>
    <font>
      <sz val="11"/>
      <color indexed="9"/>
      <name val="MS Sans Serif"/>
      <family val="2"/>
    </font>
    <font>
      <sz val="10"/>
      <color indexed="9"/>
      <name val="MS Sans Serif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sz val="11"/>
      <color indexed="8"/>
      <name val="MS Sans Serif"/>
      <family val="2"/>
    </font>
    <font>
      <sz val="11"/>
      <color indexed="62"/>
      <name val="MS Sans Serif"/>
      <family val="2"/>
    </font>
    <font>
      <b/>
      <sz val="10"/>
      <color indexed="62"/>
      <name val="Times New Roman"/>
      <family val="0"/>
    </font>
    <font>
      <b/>
      <sz val="16"/>
      <name val="Times New Roman"/>
      <family val="1"/>
    </font>
    <font>
      <sz val="16"/>
      <name val="MS Sans Serif"/>
      <family val="0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7"/>
      <name val="MS Sans Serif"/>
      <family val="2"/>
    </font>
    <font>
      <sz val="10"/>
      <color indexed="47"/>
      <name val="Times New Roman"/>
      <family val="1"/>
    </font>
    <font>
      <sz val="10"/>
      <color indexed="14"/>
      <name val="Times New Roman"/>
      <family val="1"/>
    </font>
    <font>
      <i/>
      <sz val="10"/>
      <name val="Times New Roman"/>
      <family val="1"/>
    </font>
    <font>
      <sz val="11"/>
      <color indexed="50"/>
      <name val="MS Sans Serif"/>
      <family val="2"/>
    </font>
    <font>
      <sz val="10"/>
      <color indexed="50"/>
      <name val="Times New Roman"/>
      <family val="1"/>
    </font>
    <font>
      <b/>
      <sz val="10"/>
      <color indexed="50"/>
      <name val="Times New Roman"/>
      <family val="0"/>
    </font>
    <font>
      <sz val="10"/>
      <color indexed="13"/>
      <name val="Times New Roman"/>
      <family val="1"/>
    </font>
    <font>
      <sz val="11"/>
      <color indexed="60"/>
      <name val="MS Sans Serif"/>
      <family val="2"/>
    </font>
    <font>
      <sz val="11"/>
      <color indexed="11"/>
      <name val="MS Sans Serif"/>
      <family val="2"/>
    </font>
    <font>
      <sz val="10"/>
      <color indexed="60"/>
      <name val="Times New Roman"/>
      <family val="1"/>
    </font>
    <font>
      <sz val="10"/>
      <color indexed="11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1"/>
      <name val="Times New Roman"/>
      <family val="1"/>
    </font>
    <font>
      <b/>
      <i/>
      <sz val="14"/>
      <name val="Times New Roman"/>
      <family val="1"/>
    </font>
    <font>
      <sz val="11"/>
      <color indexed="61"/>
      <name val="MS Sans Serif"/>
      <family val="2"/>
    </font>
    <font>
      <sz val="11"/>
      <color indexed="54"/>
      <name val="MS Sans Serif"/>
      <family val="2"/>
    </font>
    <font>
      <b/>
      <sz val="10"/>
      <color indexed="61"/>
      <name val="Times New Roman"/>
      <family val="0"/>
    </font>
    <font>
      <b/>
      <sz val="10"/>
      <color indexed="54"/>
      <name val="Times New Roman"/>
      <family val="0"/>
    </font>
    <font>
      <b/>
      <sz val="10"/>
      <color indexed="56"/>
      <name val="Times New Roman"/>
      <family val="1"/>
    </font>
    <font>
      <b/>
      <sz val="10"/>
      <color indexed="58"/>
      <name val="Times New Roman"/>
      <family val="1"/>
    </font>
    <font>
      <b/>
      <sz val="12"/>
      <color indexed="8"/>
      <name val="Times New Roman"/>
      <family val="1"/>
    </font>
    <font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2"/>
      <name val="MS Sans Serif"/>
      <family val="0"/>
    </font>
    <font>
      <sz val="11"/>
      <color indexed="27"/>
      <name val="MS Sans Serif"/>
      <family val="2"/>
    </font>
    <font>
      <sz val="10"/>
      <color indexed="27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i/>
      <u val="single"/>
      <sz val="12"/>
      <name val="Arial"/>
      <family val="0"/>
    </font>
    <font>
      <b/>
      <i/>
      <u val="single"/>
      <sz val="12"/>
      <name val="Times New Roman"/>
      <family val="1"/>
    </font>
    <font>
      <sz val="11"/>
      <color indexed="34"/>
      <name val="MS Sans Serif"/>
      <family val="2"/>
    </font>
    <font>
      <sz val="10"/>
      <color indexed="34"/>
      <name val="MS Sans Serif"/>
      <family val="2"/>
    </font>
    <font>
      <b/>
      <sz val="12"/>
      <color indexed="48"/>
      <name val="Times New Roman"/>
      <family val="0"/>
    </font>
    <font>
      <b/>
      <sz val="12"/>
      <color indexed="9"/>
      <name val="Times New Roman"/>
      <family val="0"/>
    </font>
    <font>
      <b/>
      <sz val="10"/>
      <color indexed="34"/>
      <name val="Times New Roman"/>
      <family val="1"/>
    </font>
    <font>
      <sz val="12"/>
      <color indexed="10"/>
      <name val="Times New Roman"/>
      <family val="1"/>
    </font>
    <font>
      <b/>
      <sz val="12"/>
      <color indexed="34"/>
      <name val="Times New Roman"/>
      <family val="0"/>
    </font>
    <font>
      <b/>
      <sz val="10"/>
      <color indexed="48"/>
      <name val="Times New Roman"/>
      <family val="0"/>
    </font>
    <font>
      <b/>
      <u val="single"/>
      <sz val="12"/>
      <color indexed="8"/>
      <name val="Times New Roman"/>
      <family val="1"/>
    </font>
    <font>
      <sz val="12"/>
      <color indexed="14"/>
      <name val="Times New Roman"/>
      <family val="1"/>
    </font>
    <font>
      <b/>
      <sz val="14"/>
      <color indexed="8"/>
      <name val="Times New Roman"/>
      <family val="0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sz val="10"/>
      <color indexed="62"/>
      <name val="MS Sans Serif"/>
      <family val="2"/>
    </font>
    <font>
      <sz val="10"/>
      <color indexed="26"/>
      <name val="Times New Roman"/>
      <family val="1"/>
    </font>
    <font>
      <sz val="10"/>
      <color indexed="62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8"/>
      <color indexed="10"/>
      <name val="MS Sans Serif"/>
      <family val="2"/>
    </font>
    <font>
      <sz val="8"/>
      <name val="MS Sans Serif"/>
      <family val="2"/>
    </font>
    <font>
      <sz val="8"/>
      <color indexed="50"/>
      <name val="MS Sans Serif"/>
      <family val="2"/>
    </font>
    <font>
      <sz val="8"/>
      <color indexed="56"/>
      <name val="MS Sans Serif"/>
      <family val="2"/>
    </font>
    <font>
      <sz val="8"/>
      <color indexed="18"/>
      <name val="MS Sans Serif"/>
      <family val="2"/>
    </font>
    <font>
      <b/>
      <sz val="12"/>
      <name val="MS Sans Serif"/>
      <family val="2"/>
    </font>
    <font>
      <b/>
      <i/>
      <sz val="11"/>
      <name val="Times New Roman"/>
      <family val="1"/>
    </font>
    <font>
      <b/>
      <u val="single"/>
      <sz val="18"/>
      <name val="Times New Roman"/>
      <family val="1"/>
    </font>
    <font>
      <sz val="18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7" fillId="2" borderId="0" applyNumberFormat="0" applyBorder="0" applyAlignment="0" applyProtection="0"/>
    <xf numFmtId="0" fontId="137" fillId="3" borderId="0" applyNumberFormat="0" applyBorder="0" applyAlignment="0" applyProtection="0"/>
    <xf numFmtId="0" fontId="137" fillId="4" borderId="0" applyNumberFormat="0" applyBorder="0" applyAlignment="0" applyProtection="0"/>
    <xf numFmtId="0" fontId="137" fillId="5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8" fillId="14" borderId="0" applyNumberFormat="0" applyBorder="0" applyAlignment="0" applyProtection="0"/>
    <xf numFmtId="0" fontId="138" fillId="15" borderId="0" applyNumberFormat="0" applyBorder="0" applyAlignment="0" applyProtection="0"/>
    <xf numFmtId="0" fontId="138" fillId="16" borderId="0" applyNumberFormat="0" applyBorder="0" applyAlignment="0" applyProtection="0"/>
    <xf numFmtId="0" fontId="138" fillId="17" borderId="0" applyNumberFormat="0" applyBorder="0" applyAlignment="0" applyProtection="0"/>
    <xf numFmtId="0" fontId="138" fillId="18" borderId="0" applyNumberFormat="0" applyBorder="0" applyAlignment="0" applyProtection="0"/>
    <xf numFmtId="0" fontId="138" fillId="19" borderId="0" applyNumberFormat="0" applyBorder="0" applyAlignment="0" applyProtection="0"/>
    <xf numFmtId="0" fontId="139" fillId="20" borderId="0" applyNumberFormat="0" applyBorder="0" applyAlignment="0" applyProtection="0"/>
    <xf numFmtId="0" fontId="140" fillId="21" borderId="1" applyNumberFormat="0" applyAlignment="0" applyProtection="0"/>
    <xf numFmtId="0" fontId="141" fillId="22" borderId="2" applyNumberFormat="0" applyAlignment="0" applyProtection="0"/>
    <xf numFmtId="0" fontId="142" fillId="0" borderId="3" applyNumberFormat="0" applyFill="0" applyAlignment="0" applyProtection="0"/>
    <xf numFmtId="0" fontId="143" fillId="0" borderId="0" applyNumberFormat="0" applyFill="0" applyBorder="0" applyAlignment="0" applyProtection="0"/>
    <xf numFmtId="0" fontId="138" fillId="23" borderId="0" applyNumberFormat="0" applyBorder="0" applyAlignment="0" applyProtection="0"/>
    <xf numFmtId="0" fontId="138" fillId="24" borderId="0" applyNumberFormat="0" applyBorder="0" applyAlignment="0" applyProtection="0"/>
    <xf numFmtId="0" fontId="138" fillId="25" borderId="0" applyNumberFormat="0" applyBorder="0" applyAlignment="0" applyProtection="0"/>
    <xf numFmtId="0" fontId="138" fillId="26" borderId="0" applyNumberFormat="0" applyBorder="0" applyAlignment="0" applyProtection="0"/>
    <xf numFmtId="0" fontId="138" fillId="27" borderId="0" applyNumberFormat="0" applyBorder="0" applyAlignment="0" applyProtection="0"/>
    <xf numFmtId="0" fontId="138" fillId="28" borderId="0" applyNumberFormat="0" applyBorder="0" applyAlignment="0" applyProtection="0"/>
    <xf numFmtId="0" fontId="144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5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47" fillId="21" borderId="5" applyNumberFormat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6" applyNumberFormat="0" applyFill="0" applyAlignment="0" applyProtection="0"/>
    <xf numFmtId="0" fontId="152" fillId="0" borderId="7" applyNumberFormat="0" applyFill="0" applyAlignment="0" applyProtection="0"/>
    <xf numFmtId="0" fontId="143" fillId="0" borderId="8" applyNumberFormat="0" applyFill="0" applyAlignment="0" applyProtection="0"/>
    <xf numFmtId="0" fontId="153" fillId="0" borderId="9" applyNumberFormat="0" applyFill="0" applyAlignment="0" applyProtection="0"/>
  </cellStyleXfs>
  <cellXfs count="9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168" fontId="7" fillId="0" borderId="11" xfId="0" applyNumberFormat="1" applyFont="1" applyBorder="1" applyAlignment="1" applyProtection="1" quotePrefix="1">
      <alignment horizontal="center"/>
      <protection/>
    </xf>
    <xf numFmtId="168" fontId="7" fillId="0" borderId="12" xfId="0" applyNumberFormat="1" applyFont="1" applyBorder="1" applyAlignment="1" applyProtection="1">
      <alignment horizontal="center"/>
      <protection/>
    </xf>
    <xf numFmtId="0" fontId="7" fillId="0" borderId="11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168" fontId="7" fillId="0" borderId="11" xfId="0" applyNumberFormat="1" applyFont="1" applyFill="1" applyBorder="1" applyAlignment="1" applyProtection="1">
      <alignment horizontal="center"/>
      <protection/>
    </xf>
    <xf numFmtId="3" fontId="7" fillId="0" borderId="11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4" fontId="10" fillId="0" borderId="13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4" fillId="0" borderId="0" xfId="0" applyFont="1" applyFill="1" applyBorder="1" applyAlignment="1" applyProtection="1">
      <alignment horizontal="centerContinuous"/>
      <protection/>
    </xf>
    <xf numFmtId="0" fontId="1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 applyProtection="1">
      <alignment horizontal="left"/>
      <protection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3" fillId="0" borderId="0" xfId="0" applyFont="1" applyAlignment="1">
      <alignment/>
    </xf>
    <xf numFmtId="0" fontId="24" fillId="0" borderId="16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3" fillId="0" borderId="0" xfId="0" applyNumberFormat="1" applyFont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3" fillId="0" borderId="10" xfId="0" applyFont="1" applyBorder="1" applyAlignment="1">
      <alignment horizontal="centerContinuous"/>
    </xf>
    <xf numFmtId="0" fontId="23" fillId="0" borderId="0" xfId="0" applyFont="1" applyBorder="1" applyAlignment="1">
      <alignment/>
    </xf>
    <xf numFmtId="0" fontId="23" fillId="0" borderId="16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7" fontId="25" fillId="0" borderId="0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17" xfId="0" applyFont="1" applyBorder="1" applyAlignment="1">
      <alignment horizontal="center"/>
    </xf>
    <xf numFmtId="7" fontId="25" fillId="0" borderId="18" xfId="0" applyNumberFormat="1" applyFont="1" applyBorder="1" applyAlignment="1">
      <alignment horizontal="center"/>
    </xf>
    <xf numFmtId="0" fontId="22" fillId="0" borderId="19" xfId="0" applyFont="1" applyBorder="1" applyAlignment="1">
      <alignment/>
    </xf>
    <xf numFmtId="0" fontId="22" fillId="0" borderId="20" xfId="0" applyNumberFormat="1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0" xfId="0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7" fontId="22" fillId="0" borderId="0" xfId="0" applyNumberFormat="1" applyFont="1" applyBorder="1" applyAlignment="1">
      <alignment/>
    </xf>
    <xf numFmtId="168" fontId="22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2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Continuous"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Border="1" applyAlignment="1" applyProtection="1">
      <alignment horizontal="center" vertical="center"/>
      <protection/>
    </xf>
    <xf numFmtId="0" fontId="27" fillId="0" borderId="23" xfId="0" applyFont="1" applyBorder="1" applyAlignment="1" applyProtection="1">
      <alignment horizontal="center" vertical="center" wrapText="1"/>
      <protection/>
    </xf>
    <xf numFmtId="0" fontId="27" fillId="0" borderId="24" xfId="0" applyFont="1" applyBorder="1" applyAlignment="1" applyProtection="1">
      <alignment horizontal="center" vertical="center" wrapText="1"/>
      <protection/>
    </xf>
    <xf numFmtId="0" fontId="27" fillId="0" borderId="17" xfId="0" applyFont="1" applyBorder="1" applyAlignment="1" applyProtection="1">
      <alignment horizontal="center" vertical="center" wrapText="1"/>
      <protection/>
    </xf>
    <xf numFmtId="0" fontId="27" fillId="0" borderId="18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22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22" fontId="7" fillId="0" borderId="0" xfId="0" applyNumberFormat="1" applyFont="1" applyFill="1" applyBorder="1" applyAlignment="1">
      <alignment/>
    </xf>
    <xf numFmtId="7" fontId="13" fillId="0" borderId="23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16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0" xfId="0" applyFont="1" applyFill="1" applyBorder="1" applyAlignment="1" applyProtection="1">
      <alignment/>
      <protection/>
    </xf>
    <xf numFmtId="0" fontId="23" fillId="0" borderId="0" xfId="0" applyFont="1" applyFill="1" applyAlignment="1">
      <alignment/>
    </xf>
    <xf numFmtId="0" fontId="0" fillId="0" borderId="17" xfId="0" applyFont="1" applyFill="1" applyBorder="1" applyAlignment="1" applyProtection="1" quotePrefix="1">
      <alignment horizontal="left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>
      <alignment horizontal="centerContinuous"/>
    </xf>
    <xf numFmtId="0" fontId="11" fillId="0" borderId="0" xfId="0" applyFont="1" applyFill="1" applyAlignment="1">
      <alignment/>
    </xf>
    <xf numFmtId="0" fontId="18" fillId="0" borderId="0" xfId="0" applyFont="1" applyFill="1" applyAlignment="1">
      <alignment horizontal="centerContinuous"/>
    </xf>
    <xf numFmtId="22" fontId="7" fillId="0" borderId="0" xfId="0" applyNumberFormat="1" applyFont="1" applyBorder="1" applyAlignment="1">
      <alignment/>
    </xf>
    <xf numFmtId="0" fontId="0" fillId="0" borderId="17" xfId="0" applyFont="1" applyBorder="1" applyAlignment="1" applyProtection="1">
      <alignment horizontal="left"/>
      <protection/>
    </xf>
    <xf numFmtId="0" fontId="0" fillId="0" borderId="23" xfId="0" applyFont="1" applyBorder="1" applyAlignment="1">
      <alignment horizont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 quotePrefix="1">
      <alignment horizontal="center" vertical="center" wrapText="1"/>
      <protection/>
    </xf>
    <xf numFmtId="0" fontId="27" fillId="0" borderId="23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 applyProtection="1">
      <alignment horizontal="center" vertical="center"/>
      <protection/>
    </xf>
    <xf numFmtId="0" fontId="27" fillId="0" borderId="23" xfId="0" applyFont="1" applyFill="1" applyBorder="1" applyAlignment="1">
      <alignment horizontal="center" vertical="center"/>
    </xf>
    <xf numFmtId="0" fontId="18" fillId="0" borderId="0" xfId="0" applyFont="1" applyAlignment="1">
      <alignment horizontal="centerContinuous"/>
    </xf>
    <xf numFmtId="7" fontId="25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32" fillId="0" borderId="25" xfId="0" applyFont="1" applyBorder="1" applyAlignment="1">
      <alignment horizontal="center"/>
    </xf>
    <xf numFmtId="0" fontId="34" fillId="0" borderId="0" xfId="0" applyFont="1" applyBorder="1" applyAlignment="1" applyProtection="1">
      <alignment horizontal="left"/>
      <protection/>
    </xf>
    <xf numFmtId="0" fontId="35" fillId="33" borderId="23" xfId="0" applyFont="1" applyFill="1" applyBorder="1" applyAlignment="1" applyProtection="1">
      <alignment horizontal="center" vertical="center"/>
      <protection/>
    </xf>
    <xf numFmtId="168" fontId="36" fillId="33" borderId="11" xfId="0" applyNumberFormat="1" applyFont="1" applyFill="1" applyBorder="1" applyAlignment="1" applyProtection="1">
      <alignment horizontal="center"/>
      <protection/>
    </xf>
    <xf numFmtId="168" fontId="36" fillId="33" borderId="12" xfId="0" applyNumberFormat="1" applyFont="1" applyFill="1" applyBorder="1" applyAlignment="1" applyProtection="1">
      <alignment horizontal="center"/>
      <protection/>
    </xf>
    <xf numFmtId="0" fontId="27" fillId="0" borderId="23" xfId="0" applyFont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/>
    </xf>
    <xf numFmtId="0" fontId="42" fillId="34" borderId="23" xfId="0" applyFont="1" applyFill="1" applyBorder="1" applyAlignment="1">
      <alignment horizontal="center" vertical="center" wrapText="1"/>
    </xf>
    <xf numFmtId="0" fontId="42" fillId="35" borderId="23" xfId="0" applyFont="1" applyFill="1" applyBorder="1" applyAlignment="1" applyProtection="1">
      <alignment horizontal="center" vertical="center"/>
      <protection/>
    </xf>
    <xf numFmtId="0" fontId="46" fillId="34" borderId="23" xfId="0" applyFont="1" applyFill="1" applyBorder="1" applyAlignment="1">
      <alignment horizontal="center" vertical="center" wrapText="1"/>
    </xf>
    <xf numFmtId="0" fontId="42" fillId="36" borderId="2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4" fillId="0" borderId="0" xfId="0" applyFont="1" applyAlignment="1">
      <alignment horizontal="right" vertical="top"/>
    </xf>
    <xf numFmtId="0" fontId="54" fillId="0" borderId="0" xfId="0" applyFont="1" applyFill="1" applyAlignment="1">
      <alignment horizontal="right" vertical="top"/>
    </xf>
    <xf numFmtId="0" fontId="7" fillId="0" borderId="11" xfId="0" applyFont="1" applyBorder="1" applyAlignment="1" applyProtection="1">
      <alignment horizontal="center"/>
      <protection locked="0"/>
    </xf>
    <xf numFmtId="0" fontId="12" fillId="0" borderId="27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22" fontId="7" fillId="0" borderId="11" xfId="0" applyNumberFormat="1" applyFont="1" applyBorder="1" applyAlignment="1" applyProtection="1">
      <alignment horizontal="center"/>
      <protection locked="0"/>
    </xf>
    <xf numFmtId="168" fontId="7" fillId="0" borderId="12" xfId="0" applyNumberFormat="1" applyFont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22" fontId="7" fillId="0" borderId="11" xfId="0" applyNumberFormat="1" applyFont="1" applyFill="1" applyBorder="1" applyAlignment="1" applyProtection="1">
      <alignment horizontal="center"/>
      <protection locked="0"/>
    </xf>
    <xf numFmtId="168" fontId="7" fillId="0" borderId="11" xfId="0" applyNumberFormat="1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168" fontId="7" fillId="0" borderId="29" xfId="0" applyNumberFormat="1" applyFont="1" applyFill="1" applyBorder="1" applyAlignment="1" applyProtection="1">
      <alignment horizontal="center"/>
      <protection locked="0"/>
    </xf>
    <xf numFmtId="168" fontId="44" fillId="34" borderId="12" xfId="0" applyNumberFormat="1" applyFont="1" applyFill="1" applyBorder="1" applyAlignment="1" applyProtection="1" quotePrefix="1">
      <alignment horizontal="center"/>
      <protection locked="0"/>
    </xf>
    <xf numFmtId="168" fontId="7" fillId="0" borderId="12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center"/>
    </xf>
    <xf numFmtId="181" fontId="25" fillId="0" borderId="0" xfId="0" applyNumberFormat="1" applyFont="1" applyBorder="1" applyAlignment="1">
      <alignment horizontal="right"/>
    </xf>
    <xf numFmtId="182" fontId="25" fillId="0" borderId="0" xfId="0" applyNumberFormat="1" applyFont="1" applyBorder="1" applyAlignment="1">
      <alignment/>
    </xf>
    <xf numFmtId="182" fontId="25" fillId="0" borderId="0" xfId="0" applyNumberFormat="1" applyFont="1" applyBorder="1" applyAlignment="1">
      <alignment horizontal="right"/>
    </xf>
    <xf numFmtId="181" fontId="25" fillId="0" borderId="0" xfId="0" applyNumberFormat="1" applyFont="1" applyBorder="1" applyAlignment="1">
      <alignment horizontal="left"/>
    </xf>
    <xf numFmtId="182" fontId="23" fillId="0" borderId="0" xfId="0" applyNumberFormat="1" applyFont="1" applyBorder="1" applyAlignment="1">
      <alignment/>
    </xf>
    <xf numFmtId="0" fontId="62" fillId="0" borderId="0" xfId="0" applyNumberFormat="1" applyFont="1" applyBorder="1" applyAlignment="1">
      <alignment horizontal="left"/>
    </xf>
    <xf numFmtId="0" fontId="52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/>
    </xf>
    <xf numFmtId="164" fontId="27" fillId="0" borderId="18" xfId="0" applyNumberFormat="1" applyFont="1" applyBorder="1" applyAlignment="1" applyProtection="1">
      <alignment horizontal="center" vertical="center" wrapText="1"/>
      <protection/>
    </xf>
    <xf numFmtId="0" fontId="27" fillId="0" borderId="17" xfId="0" applyFont="1" applyBorder="1" applyAlignment="1" applyProtection="1">
      <alignment horizontal="center" vertical="center"/>
      <protection/>
    </xf>
    <xf numFmtId="0" fontId="63" fillId="37" borderId="17" xfId="0" applyFont="1" applyFill="1" applyBorder="1" applyAlignment="1" applyProtection="1">
      <alignment horizontal="centerContinuous" vertical="center" wrapText="1"/>
      <protection/>
    </xf>
    <xf numFmtId="0" fontId="7" fillId="0" borderId="26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164" fontId="7" fillId="0" borderId="11" xfId="0" applyNumberFormat="1" applyFont="1" applyFill="1" applyBorder="1" applyAlignment="1" applyProtection="1">
      <alignment horizontal="center"/>
      <protection locked="0"/>
    </xf>
    <xf numFmtId="22" fontId="7" fillId="0" borderId="13" xfId="0" applyNumberFormat="1" applyFont="1" applyBorder="1" applyAlignment="1" applyProtection="1">
      <alignment horizontal="center"/>
      <protection locked="0"/>
    </xf>
    <xf numFmtId="22" fontId="7" fillId="0" borderId="30" xfId="0" applyNumberFormat="1" applyFont="1" applyBorder="1" applyAlignment="1" applyProtection="1">
      <alignment horizontal="center"/>
      <protection locked="0"/>
    </xf>
    <xf numFmtId="4" fontId="7" fillId="38" borderId="11" xfId="0" applyNumberFormat="1" applyFont="1" applyFill="1" applyBorder="1" applyAlignment="1" applyProtection="1" quotePrefix="1">
      <alignment horizontal="center"/>
      <protection/>
    </xf>
    <xf numFmtId="164" fontId="7" fillId="38" borderId="11" xfId="0" applyNumberFormat="1" applyFont="1" applyFill="1" applyBorder="1" applyAlignment="1" applyProtection="1" quotePrefix="1">
      <alignment horizontal="center"/>
      <protection/>
    </xf>
    <xf numFmtId="168" fontId="65" fillId="37" borderId="31" xfId="0" applyNumberFormat="1" applyFont="1" applyFill="1" applyBorder="1" applyAlignment="1" applyProtection="1" quotePrefix="1">
      <alignment horizontal="center"/>
      <protection/>
    </xf>
    <xf numFmtId="173" fontId="7" fillId="0" borderId="12" xfId="0" applyNumberFormat="1" applyFont="1" applyBorder="1" applyAlignment="1" applyProtection="1" quotePrefix="1">
      <alignment horizontal="center"/>
      <protection locked="0"/>
    </xf>
    <xf numFmtId="168" fontId="7" fillId="0" borderId="0" xfId="0" applyNumberFormat="1" applyFont="1" applyBorder="1" applyAlignment="1" applyProtection="1">
      <alignment horizontal="center"/>
      <protection/>
    </xf>
    <xf numFmtId="168" fontId="7" fillId="0" borderId="0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7" fillId="0" borderId="14" xfId="0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23" fillId="0" borderId="10" xfId="0" applyFont="1" applyFill="1" applyBorder="1" applyAlignment="1">
      <alignment/>
    </xf>
    <xf numFmtId="0" fontId="24" fillId="0" borderId="0" xfId="0" applyFont="1" applyAlignment="1">
      <alignment horizontal="centerContinuous"/>
    </xf>
    <xf numFmtId="0" fontId="26" fillId="0" borderId="0" xfId="0" applyFont="1" applyBorder="1" applyAlignment="1">
      <alignment horizontal="left"/>
    </xf>
    <xf numFmtId="0" fontId="0" fillId="0" borderId="18" xfId="0" applyBorder="1" applyAlignment="1">
      <alignment horizontal="centerContinuous"/>
    </xf>
    <xf numFmtId="0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Border="1" applyAlignment="1">
      <alignment horizontal="centerContinuous"/>
    </xf>
    <xf numFmtId="0" fontId="7" fillId="0" borderId="0" xfId="0" applyFont="1" applyBorder="1" applyAlignment="1" applyProtection="1">
      <alignment horizontal="center"/>
      <protection/>
    </xf>
    <xf numFmtId="0" fontId="27" fillId="0" borderId="23" xfId="55" applyFont="1" applyBorder="1" applyAlignment="1">
      <alignment horizontal="center" vertical="center"/>
      <protection/>
    </xf>
    <xf numFmtId="168" fontId="27" fillId="0" borderId="23" xfId="0" applyNumberFormat="1" applyFont="1" applyBorder="1" applyAlignment="1" applyProtection="1">
      <alignment horizontal="center" vertical="center"/>
      <protection/>
    </xf>
    <xf numFmtId="168" fontId="35" fillId="33" borderId="23" xfId="0" applyNumberFormat="1" applyFont="1" applyFill="1" applyBorder="1" applyAlignment="1" applyProtection="1">
      <alignment horizontal="center" vertical="center"/>
      <protection/>
    </xf>
    <xf numFmtId="0" fontId="38" fillId="33" borderId="17" xfId="0" applyFont="1" applyFill="1" applyBorder="1" applyAlignment="1" applyProtection="1">
      <alignment horizontal="centerContinuous" vertical="center" wrapText="1"/>
      <protection/>
    </xf>
    <xf numFmtId="0" fontId="39" fillId="33" borderId="24" xfId="0" applyFont="1" applyFill="1" applyBorder="1" applyAlignment="1">
      <alignment horizontal="centerContinuous"/>
    </xf>
    <xf numFmtId="0" fontId="38" fillId="33" borderId="18" xfId="0" applyFont="1" applyFill="1" applyBorder="1" applyAlignment="1">
      <alignment horizontal="centerContinuous" vertical="center"/>
    </xf>
    <xf numFmtId="0" fontId="67" fillId="39" borderId="23" xfId="0" applyFont="1" applyFill="1" applyBorder="1" applyAlignment="1">
      <alignment horizontal="center" vertical="center" wrapText="1"/>
    </xf>
    <xf numFmtId="0" fontId="68" fillId="40" borderId="2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22" fontId="7" fillId="0" borderId="13" xfId="0" applyNumberFormat="1" applyFont="1" applyBorder="1" applyAlignment="1">
      <alignment horizontal="center"/>
    </xf>
    <xf numFmtId="4" fontId="69" fillId="39" borderId="11" xfId="0" applyNumberFormat="1" applyFont="1" applyFill="1" applyBorder="1" applyAlignment="1" applyProtection="1">
      <alignment horizontal="center"/>
      <protection/>
    </xf>
    <xf numFmtId="4" fontId="70" fillId="40" borderId="11" xfId="0" applyNumberFormat="1" applyFont="1" applyFill="1" applyBorder="1" applyAlignment="1" applyProtection="1">
      <alignment horizontal="center"/>
      <protection/>
    </xf>
    <xf numFmtId="0" fontId="10" fillId="0" borderId="13" xfId="0" applyFont="1" applyBorder="1" applyAlignment="1">
      <alignment/>
    </xf>
    <xf numFmtId="0" fontId="36" fillId="33" borderId="11" xfId="0" applyFont="1" applyFill="1" applyBorder="1" applyAlignment="1" applyProtection="1">
      <alignment horizontal="center"/>
      <protection/>
    </xf>
    <xf numFmtId="22" fontId="7" fillId="0" borderId="32" xfId="0" applyNumberFormat="1" applyFont="1" applyBorder="1" applyAlignment="1" applyProtection="1">
      <alignment horizontal="center"/>
      <protection locked="0"/>
    </xf>
    <xf numFmtId="168" fontId="7" fillId="0" borderId="13" xfId="0" applyNumberFormat="1" applyFont="1" applyBorder="1" applyAlignment="1" applyProtection="1">
      <alignment horizontal="center"/>
      <protection locked="0"/>
    </xf>
    <xf numFmtId="168" fontId="7" fillId="0" borderId="11" xfId="0" applyNumberFormat="1" applyFont="1" applyBorder="1" applyAlignment="1" applyProtection="1">
      <alignment horizontal="center"/>
      <protection/>
    </xf>
    <xf numFmtId="168" fontId="37" fillId="33" borderId="31" xfId="0" applyNumberFormat="1" applyFont="1" applyFill="1" applyBorder="1" applyAlignment="1" applyProtection="1" quotePrefix="1">
      <alignment horizontal="center"/>
      <protection locked="0"/>
    </xf>
    <xf numFmtId="168" fontId="37" fillId="33" borderId="33" xfId="0" applyNumberFormat="1" applyFont="1" applyFill="1" applyBorder="1" applyAlignment="1" applyProtection="1" quotePrefix="1">
      <alignment horizontal="center"/>
      <protection locked="0"/>
    </xf>
    <xf numFmtId="4" fontId="37" fillId="33" borderId="13" xfId="0" applyNumberFormat="1" applyFont="1" applyFill="1" applyBorder="1" applyAlignment="1" applyProtection="1">
      <alignment horizontal="center"/>
      <protection locked="0"/>
    </xf>
    <xf numFmtId="4" fontId="71" fillId="39" borderId="11" xfId="0" applyNumberFormat="1" applyFont="1" applyFill="1" applyBorder="1" applyAlignment="1" applyProtection="1">
      <alignment horizontal="center"/>
      <protection locked="0"/>
    </xf>
    <xf numFmtId="4" fontId="72" fillId="40" borderId="11" xfId="0" applyNumberFormat="1" applyFont="1" applyFill="1" applyBorder="1" applyAlignment="1" applyProtection="1">
      <alignment horizontal="center"/>
      <protection locked="0"/>
    </xf>
    <xf numFmtId="4" fontId="7" fillId="0" borderId="10" xfId="0" applyNumberFormat="1" applyFont="1" applyFill="1" applyBorder="1" applyAlignment="1">
      <alignment horizontal="center"/>
    </xf>
    <xf numFmtId="164" fontId="9" fillId="0" borderId="12" xfId="0" applyNumberFormat="1" applyFont="1" applyBorder="1" applyAlignment="1" applyProtection="1">
      <alignment horizontal="center"/>
      <protection locked="0"/>
    </xf>
    <xf numFmtId="165" fontId="7" fillId="0" borderId="12" xfId="0" applyNumberFormat="1" applyFont="1" applyBorder="1" applyAlignment="1" applyProtection="1">
      <alignment horizontal="center"/>
      <protection locked="0"/>
    </xf>
    <xf numFmtId="168" fontId="37" fillId="33" borderId="34" xfId="0" applyNumberFormat="1" applyFont="1" applyFill="1" applyBorder="1" applyAlignment="1" applyProtection="1" quotePrefix="1">
      <alignment horizontal="center"/>
      <protection locked="0"/>
    </xf>
    <xf numFmtId="168" fontId="37" fillId="33" borderId="35" xfId="0" applyNumberFormat="1" applyFont="1" applyFill="1" applyBorder="1" applyAlignment="1" applyProtection="1" quotePrefix="1">
      <alignment horizontal="center"/>
      <protection locked="0"/>
    </xf>
    <xf numFmtId="4" fontId="37" fillId="33" borderId="36" xfId="0" applyNumberFormat="1" applyFont="1" applyFill="1" applyBorder="1" applyAlignment="1" applyProtection="1">
      <alignment horizontal="center"/>
      <protection locked="0"/>
    </xf>
    <xf numFmtId="4" fontId="71" fillId="39" borderId="12" xfId="0" applyNumberFormat="1" applyFont="1" applyFill="1" applyBorder="1" applyAlignment="1" applyProtection="1">
      <alignment horizontal="center"/>
      <protection locked="0"/>
    </xf>
    <xf numFmtId="4" fontId="72" fillId="40" borderId="12" xfId="0" applyNumberFormat="1" applyFont="1" applyFill="1" applyBorder="1" applyAlignment="1" applyProtection="1">
      <alignment horizontal="center"/>
      <protection locked="0"/>
    </xf>
    <xf numFmtId="2" fontId="10" fillId="0" borderId="37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 applyProtection="1">
      <alignment horizontal="center"/>
      <protection/>
    </xf>
    <xf numFmtId="165" fontId="7" fillId="0" borderId="0" xfId="0" applyNumberFormat="1" applyFont="1" applyBorder="1" applyAlignment="1" applyProtection="1">
      <alignment horizontal="center"/>
      <protection/>
    </xf>
    <xf numFmtId="173" fontId="7" fillId="0" borderId="0" xfId="0" applyNumberFormat="1" applyFont="1" applyBorder="1" applyAlignment="1" applyProtection="1" quotePrefix="1">
      <alignment horizontal="center"/>
      <protection/>
    </xf>
    <xf numFmtId="2" fontId="71" fillId="39" borderId="23" xfId="0" applyNumberFormat="1" applyFont="1" applyFill="1" applyBorder="1" applyAlignment="1" applyProtection="1">
      <alignment horizontal="center"/>
      <protection/>
    </xf>
    <xf numFmtId="2" fontId="72" fillId="40" borderId="23" xfId="0" applyNumberFormat="1" applyFont="1" applyFill="1" applyBorder="1" applyAlignment="1" applyProtection="1">
      <alignment horizontal="center"/>
      <protection/>
    </xf>
    <xf numFmtId="2" fontId="61" fillId="0" borderId="38" xfId="0" applyNumberFormat="1" applyFont="1" applyBorder="1" applyAlignment="1" applyProtection="1">
      <alignment horizontal="center"/>
      <protection/>
    </xf>
    <xf numFmtId="7" fontId="13" fillId="0" borderId="23" xfId="0" applyNumberFormat="1" applyFont="1" applyFill="1" applyBorder="1" applyAlignment="1" applyProtection="1">
      <alignment horizontal="right"/>
      <protection/>
    </xf>
    <xf numFmtId="0" fontId="16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centerContinuous"/>
    </xf>
    <xf numFmtId="0" fontId="73" fillId="0" borderId="10" xfId="0" applyFont="1" applyFill="1" applyBorder="1" applyAlignment="1">
      <alignment horizontal="centerContinuous"/>
    </xf>
    <xf numFmtId="0" fontId="7" fillId="0" borderId="17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>
      <alignment horizontal="center"/>
    </xf>
    <xf numFmtId="0" fontId="42" fillId="36" borderId="23" xfId="0" applyFont="1" applyFill="1" applyBorder="1" applyAlignment="1" applyProtection="1">
      <alignment horizontal="center" vertical="center"/>
      <protection/>
    </xf>
    <xf numFmtId="0" fontId="74" fillId="39" borderId="23" xfId="0" applyFont="1" applyFill="1" applyBorder="1" applyAlignment="1">
      <alignment horizontal="center" vertical="center" wrapText="1"/>
    </xf>
    <xf numFmtId="0" fontId="75" fillId="37" borderId="23" xfId="0" applyFont="1" applyFill="1" applyBorder="1" applyAlignment="1">
      <alignment horizontal="center" vertical="center" wrapText="1"/>
    </xf>
    <xf numFmtId="0" fontId="40" fillId="41" borderId="17" xfId="0" applyFont="1" applyFill="1" applyBorder="1" applyAlignment="1" applyProtection="1">
      <alignment horizontal="centerContinuous" vertical="center" wrapText="1"/>
      <protection/>
    </xf>
    <xf numFmtId="0" fontId="40" fillId="41" borderId="18" xfId="0" applyFont="1" applyFill="1" applyBorder="1" applyAlignment="1">
      <alignment horizontal="centerContinuous" vertical="center"/>
    </xf>
    <xf numFmtId="0" fontId="46" fillId="42" borderId="23" xfId="0" applyFont="1" applyFill="1" applyBorder="1" applyAlignment="1">
      <alignment horizontal="center" vertical="center" wrapText="1"/>
    </xf>
    <xf numFmtId="0" fontId="41" fillId="39" borderId="23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/>
    </xf>
    <xf numFmtId="164" fontId="7" fillId="0" borderId="39" xfId="0" applyNumberFormat="1" applyFont="1" applyFill="1" applyBorder="1" applyAlignment="1" applyProtection="1">
      <alignment horizontal="center"/>
      <protection/>
    </xf>
    <xf numFmtId="0" fontId="36" fillId="33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45" fillId="36" borderId="39" xfId="0" applyFont="1" applyFill="1" applyBorder="1" applyAlignment="1">
      <alignment horizontal="center"/>
    </xf>
    <xf numFmtId="0" fontId="76" fillId="39" borderId="39" xfId="0" applyFont="1" applyFill="1" applyBorder="1" applyAlignment="1">
      <alignment horizontal="center"/>
    </xf>
    <xf numFmtId="0" fontId="77" fillId="37" borderId="39" xfId="0" applyFont="1" applyFill="1" applyBorder="1" applyAlignment="1">
      <alignment horizontal="center"/>
    </xf>
    <xf numFmtId="0" fontId="37" fillId="33" borderId="41" xfId="0" applyFont="1" applyFill="1" applyBorder="1" applyAlignment="1">
      <alignment horizontal="center"/>
    </xf>
    <xf numFmtId="0" fontId="37" fillId="33" borderId="42" xfId="0" applyFont="1" applyFill="1" applyBorder="1" applyAlignment="1">
      <alignment horizontal="center"/>
    </xf>
    <xf numFmtId="0" fontId="78" fillId="41" borderId="43" xfId="0" applyFont="1" applyFill="1" applyBorder="1" applyAlignment="1">
      <alignment horizontal="center"/>
    </xf>
    <xf numFmtId="0" fontId="78" fillId="41" borderId="44" xfId="0" applyFont="1" applyFill="1" applyBorder="1" applyAlignment="1">
      <alignment horizontal="center"/>
    </xf>
    <xf numFmtId="0" fontId="47" fillId="42" borderId="39" xfId="0" applyFont="1" applyFill="1" applyBorder="1" applyAlignment="1">
      <alignment horizontal="center"/>
    </xf>
    <xf numFmtId="0" fontId="79" fillId="39" borderId="39" xfId="0" applyFont="1" applyFill="1" applyBorder="1" applyAlignment="1">
      <alignment horizontal="center"/>
    </xf>
    <xf numFmtId="7" fontId="10" fillId="0" borderId="40" xfId="0" applyNumberFormat="1" applyFont="1" applyFill="1" applyBorder="1" applyAlignment="1">
      <alignment/>
    </xf>
    <xf numFmtId="0" fontId="7" fillId="0" borderId="28" xfId="0" applyFont="1" applyFill="1" applyBorder="1" applyAlignment="1">
      <alignment horizontal="center"/>
    </xf>
    <xf numFmtId="164" fontId="7" fillId="0" borderId="28" xfId="0" applyNumberFormat="1" applyFont="1" applyFill="1" applyBorder="1" applyAlignment="1" applyProtection="1">
      <alignment horizontal="center"/>
      <protection/>
    </xf>
    <xf numFmtId="0" fontId="36" fillId="33" borderId="28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45" fillId="36" borderId="28" xfId="0" applyFont="1" applyFill="1" applyBorder="1" applyAlignment="1">
      <alignment horizontal="center"/>
    </xf>
    <xf numFmtId="0" fontId="76" fillId="39" borderId="28" xfId="0" applyFont="1" applyFill="1" applyBorder="1" applyAlignment="1">
      <alignment horizontal="center"/>
    </xf>
    <xf numFmtId="0" fontId="77" fillId="37" borderId="28" xfId="0" applyFont="1" applyFill="1" applyBorder="1" applyAlignment="1">
      <alignment horizontal="center"/>
    </xf>
    <xf numFmtId="0" fontId="37" fillId="33" borderId="46" xfId="0" applyFont="1" applyFill="1" applyBorder="1" applyAlignment="1">
      <alignment horizontal="center"/>
    </xf>
    <xf numFmtId="0" fontId="37" fillId="33" borderId="47" xfId="0" applyFont="1" applyFill="1" applyBorder="1" applyAlignment="1">
      <alignment horizontal="center"/>
    </xf>
    <xf numFmtId="0" fontId="78" fillId="41" borderId="46" xfId="0" applyFont="1" applyFill="1" applyBorder="1" applyAlignment="1">
      <alignment horizontal="center"/>
    </xf>
    <xf numFmtId="0" fontId="78" fillId="41" borderId="47" xfId="0" applyFont="1" applyFill="1" applyBorder="1" applyAlignment="1">
      <alignment horizontal="center"/>
    </xf>
    <xf numFmtId="0" fontId="47" fillId="42" borderId="28" xfId="0" applyFont="1" applyFill="1" applyBorder="1" applyAlignment="1">
      <alignment horizontal="center"/>
    </xf>
    <xf numFmtId="0" fontId="79" fillId="39" borderId="28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7" fillId="0" borderId="32" xfId="0" applyFont="1" applyBorder="1" applyAlignment="1" applyProtection="1">
      <alignment horizontal="center"/>
      <protection locked="0"/>
    </xf>
    <xf numFmtId="164" fontId="7" fillId="0" borderId="28" xfId="0" applyNumberFormat="1" applyFont="1" applyBorder="1" applyAlignment="1" applyProtection="1">
      <alignment horizontal="center"/>
      <protection locked="0"/>
    </xf>
    <xf numFmtId="1" fontId="7" fillId="0" borderId="47" xfId="0" applyNumberFormat="1" applyFont="1" applyBorder="1" applyAlignment="1" applyProtection="1" quotePrefix="1">
      <alignment horizontal="center"/>
      <protection locked="0"/>
    </xf>
    <xf numFmtId="174" fontId="36" fillId="33" borderId="11" xfId="0" applyNumberFormat="1" applyFont="1" applyFill="1" applyBorder="1" applyAlignment="1" applyProtection="1">
      <alignment horizontal="center"/>
      <protection/>
    </xf>
    <xf numFmtId="4" fontId="7" fillId="0" borderId="11" xfId="0" applyNumberFormat="1" applyFont="1" applyFill="1" applyBorder="1" applyAlignment="1" applyProtection="1">
      <alignment horizontal="center"/>
      <protection/>
    </xf>
    <xf numFmtId="164" fontId="45" fillId="36" borderId="11" xfId="0" applyNumberFormat="1" applyFont="1" applyFill="1" applyBorder="1" applyAlignment="1" applyProtection="1">
      <alignment horizontal="center"/>
      <protection/>
    </xf>
    <xf numFmtId="2" fontId="76" fillId="39" borderId="11" xfId="0" applyNumberFormat="1" applyFont="1" applyFill="1" applyBorder="1" applyAlignment="1">
      <alignment horizontal="center"/>
    </xf>
    <xf numFmtId="2" fontId="77" fillId="37" borderId="11" xfId="0" applyNumberFormat="1" applyFont="1" applyFill="1" applyBorder="1" applyAlignment="1">
      <alignment horizontal="center"/>
    </xf>
    <xf numFmtId="168" fontId="37" fillId="33" borderId="46" xfId="0" applyNumberFormat="1" applyFont="1" applyFill="1" applyBorder="1" applyAlignment="1" applyProtection="1" quotePrefix="1">
      <alignment horizontal="center"/>
      <protection/>
    </xf>
    <xf numFmtId="168" fontId="37" fillId="33" borderId="47" xfId="0" applyNumberFormat="1" applyFont="1" applyFill="1" applyBorder="1" applyAlignment="1" applyProtection="1" quotePrefix="1">
      <alignment horizontal="center"/>
      <protection/>
    </xf>
    <xf numFmtId="168" fontId="78" fillId="41" borderId="46" xfId="0" applyNumberFormat="1" applyFont="1" applyFill="1" applyBorder="1" applyAlignment="1" applyProtection="1" quotePrefix="1">
      <alignment horizontal="center"/>
      <protection/>
    </xf>
    <xf numFmtId="168" fontId="78" fillId="41" borderId="47" xfId="0" applyNumberFormat="1" applyFont="1" applyFill="1" applyBorder="1" applyAlignment="1" applyProtection="1" quotePrefix="1">
      <alignment horizontal="center"/>
      <protection/>
    </xf>
    <xf numFmtId="168" fontId="47" fillId="42" borderId="11" xfId="0" applyNumberFormat="1" applyFont="1" applyFill="1" applyBorder="1" applyAlignment="1" applyProtection="1" quotePrefix="1">
      <alignment horizontal="center"/>
      <protection/>
    </xf>
    <xf numFmtId="168" fontId="79" fillId="39" borderId="28" xfId="0" applyNumberFormat="1" applyFont="1" applyFill="1" applyBorder="1" applyAlignment="1" applyProtection="1" quotePrefix="1">
      <alignment horizontal="center"/>
      <protection/>
    </xf>
    <xf numFmtId="168" fontId="7" fillId="0" borderId="13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right"/>
    </xf>
    <xf numFmtId="0" fontId="7" fillId="0" borderId="45" xfId="0" applyFont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 quotePrefix="1">
      <alignment horizontal="center"/>
      <protection locked="0"/>
    </xf>
    <xf numFmtId="164" fontId="9" fillId="0" borderId="48" xfId="0" applyNumberFormat="1" applyFont="1" applyFill="1" applyBorder="1" applyAlignment="1" applyProtection="1">
      <alignment horizontal="center"/>
      <protection locked="0"/>
    </xf>
    <xf numFmtId="38" fontId="7" fillId="0" borderId="12" xfId="0" applyNumberFormat="1" applyFont="1" applyFill="1" applyBorder="1" applyAlignment="1" applyProtection="1">
      <alignment horizontal="center"/>
      <protection locked="0"/>
    </xf>
    <xf numFmtId="38" fontId="7" fillId="0" borderId="12" xfId="0" applyNumberFormat="1" applyFont="1" applyFill="1" applyBorder="1" applyAlignment="1" applyProtection="1">
      <alignment horizontal="center"/>
      <protection/>
    </xf>
    <xf numFmtId="164" fontId="7" fillId="0" borderId="12" xfId="0" applyNumberFormat="1" applyFont="1" applyFill="1" applyBorder="1" applyAlignment="1" applyProtection="1" quotePrefix="1">
      <alignment horizontal="center"/>
      <protection/>
    </xf>
    <xf numFmtId="164" fontId="45" fillId="36" borderId="12" xfId="0" applyNumberFormat="1" applyFont="1" applyFill="1" applyBorder="1" applyAlignment="1" applyProtection="1">
      <alignment horizontal="center"/>
      <protection/>
    </xf>
    <xf numFmtId="2" fontId="76" fillId="39" borderId="12" xfId="0" applyNumberFormat="1" applyFont="1" applyFill="1" applyBorder="1" applyAlignment="1">
      <alignment horizontal="center"/>
    </xf>
    <xf numFmtId="2" fontId="77" fillId="37" borderId="12" xfId="0" applyNumberFormat="1" applyFont="1" applyFill="1" applyBorder="1" applyAlignment="1">
      <alignment horizontal="center"/>
    </xf>
    <xf numFmtId="168" fontId="37" fillId="33" borderId="49" xfId="0" applyNumberFormat="1" applyFont="1" applyFill="1" applyBorder="1" applyAlignment="1" applyProtection="1" quotePrefix="1">
      <alignment horizontal="center"/>
      <protection/>
    </xf>
    <xf numFmtId="168" fontId="37" fillId="33" borderId="50" xfId="0" applyNumberFormat="1" applyFont="1" applyFill="1" applyBorder="1" applyAlignment="1" applyProtection="1" quotePrefix="1">
      <alignment horizontal="center"/>
      <protection/>
    </xf>
    <xf numFmtId="168" fontId="78" fillId="41" borderId="34" xfId="0" applyNumberFormat="1" applyFont="1" applyFill="1" applyBorder="1" applyAlignment="1" applyProtection="1" quotePrefix="1">
      <alignment horizontal="center"/>
      <protection/>
    </xf>
    <xf numFmtId="168" fontId="78" fillId="41" borderId="36" xfId="0" applyNumberFormat="1" applyFont="1" applyFill="1" applyBorder="1" applyAlignment="1" applyProtection="1" quotePrefix="1">
      <alignment horizontal="center"/>
      <protection/>
    </xf>
    <xf numFmtId="168" fontId="47" fillId="42" borderId="12" xfId="0" applyNumberFormat="1" applyFont="1" applyFill="1" applyBorder="1" applyAlignment="1" applyProtection="1" quotePrefix="1">
      <alignment horizontal="center"/>
      <protection/>
    </xf>
    <xf numFmtId="168" fontId="79" fillId="39" borderId="12" xfId="0" applyNumberFormat="1" applyFont="1" applyFill="1" applyBorder="1" applyAlignment="1" applyProtection="1" quotePrefix="1">
      <alignment horizontal="center"/>
      <protection/>
    </xf>
    <xf numFmtId="168" fontId="66" fillId="0" borderId="29" xfId="0" applyNumberFormat="1" applyFont="1" applyFill="1" applyBorder="1" applyAlignment="1">
      <alignment horizontal="center"/>
    </xf>
    <xf numFmtId="168" fontId="28" fillId="0" borderId="51" xfId="0" applyNumberFormat="1" applyFont="1" applyFill="1" applyBorder="1" applyAlignment="1">
      <alignment horizontal="center"/>
    </xf>
    <xf numFmtId="4" fontId="76" fillId="39" borderId="23" xfId="0" applyNumberFormat="1" applyFont="1" applyFill="1" applyBorder="1" applyAlignment="1">
      <alignment horizontal="center"/>
    </xf>
    <xf numFmtId="4" fontId="77" fillId="37" borderId="23" xfId="0" applyNumberFormat="1" applyFont="1" applyFill="1" applyBorder="1" applyAlignment="1">
      <alignment horizontal="center"/>
    </xf>
    <xf numFmtId="4" fontId="37" fillId="33" borderId="52" xfId="0" applyNumberFormat="1" applyFont="1" applyFill="1" applyBorder="1" applyAlignment="1">
      <alignment horizontal="center"/>
    </xf>
    <xf numFmtId="4" fontId="37" fillId="33" borderId="18" xfId="0" applyNumberFormat="1" applyFont="1" applyFill="1" applyBorder="1" applyAlignment="1">
      <alignment horizontal="center"/>
    </xf>
    <xf numFmtId="4" fontId="78" fillId="41" borderId="52" xfId="0" applyNumberFormat="1" applyFont="1" applyFill="1" applyBorder="1" applyAlignment="1">
      <alignment horizontal="center"/>
    </xf>
    <xf numFmtId="4" fontId="78" fillId="41" borderId="53" xfId="0" applyNumberFormat="1" applyFont="1" applyFill="1" applyBorder="1" applyAlignment="1">
      <alignment horizontal="center"/>
    </xf>
    <xf numFmtId="4" fontId="47" fillId="42" borderId="23" xfId="0" applyNumberFormat="1" applyFont="1" applyFill="1" applyBorder="1" applyAlignment="1">
      <alignment horizontal="center"/>
    </xf>
    <xf numFmtId="4" fontId="79" fillId="39" borderId="23" xfId="0" applyNumberFormat="1" applyFont="1" applyFill="1" applyBorder="1" applyAlignment="1">
      <alignment horizontal="center"/>
    </xf>
    <xf numFmtId="7" fontId="80" fillId="0" borderId="23" xfId="0" applyNumberFormat="1" applyFont="1" applyFill="1" applyBorder="1" applyAlignment="1">
      <alignment horizontal="right"/>
    </xf>
    <xf numFmtId="0" fontId="36" fillId="33" borderId="54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10" xfId="0" applyFont="1" applyBorder="1" applyAlignment="1">
      <alignment horizontal="centerContinuous"/>
    </xf>
    <xf numFmtId="0" fontId="26" fillId="0" borderId="16" xfId="0" applyFont="1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6" fillId="0" borderId="0" xfId="0" applyFont="1" applyBorder="1" applyAlignment="1" applyProtection="1">
      <alignment horizontal="centerContinuous"/>
      <protection/>
    </xf>
    <xf numFmtId="0" fontId="26" fillId="0" borderId="1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17" xfId="0" applyFont="1" applyBorder="1" applyAlignment="1" applyProtection="1">
      <alignment horizontal="left" vertical="center"/>
      <protection/>
    </xf>
    <xf numFmtId="174" fontId="0" fillId="0" borderId="18" xfId="0" applyNumberFormat="1" applyFont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174" fontId="0" fillId="0" borderId="18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27" fillId="0" borderId="18" xfId="0" applyFont="1" applyBorder="1" applyAlignment="1" applyProtection="1">
      <alignment horizontal="center" vertical="center"/>
      <protection/>
    </xf>
    <xf numFmtId="0" fontId="27" fillId="0" borderId="24" xfId="0" applyFont="1" applyBorder="1" applyAlignment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  <protection/>
    </xf>
    <xf numFmtId="0" fontId="40" fillId="41" borderId="23" xfId="0" applyFont="1" applyFill="1" applyBorder="1" applyAlignment="1">
      <alignment horizontal="center" vertical="center" wrapText="1"/>
    </xf>
    <xf numFmtId="0" fontId="63" fillId="37" borderId="18" xfId="0" applyFont="1" applyFill="1" applyBorder="1" applyAlignment="1">
      <alignment horizontal="centerContinuous" vertical="center"/>
    </xf>
    <xf numFmtId="0" fontId="12" fillId="0" borderId="11" xfId="0" applyFont="1" applyBorder="1" applyAlignment="1" applyProtection="1">
      <alignment horizontal="center"/>
      <protection/>
    </xf>
    <xf numFmtId="0" fontId="45" fillId="35" borderId="26" xfId="0" applyFont="1" applyFill="1" applyBorder="1" applyAlignment="1" applyProtection="1">
      <alignment horizontal="center"/>
      <protection/>
    </xf>
    <xf numFmtId="0" fontId="78" fillId="41" borderId="26" xfId="0" applyFont="1" applyFill="1" applyBorder="1" applyAlignment="1" applyProtection="1">
      <alignment horizontal="center"/>
      <protection/>
    </xf>
    <xf numFmtId="168" fontId="65" fillId="37" borderId="41" xfId="0" applyNumberFormat="1" applyFont="1" applyFill="1" applyBorder="1" applyAlignment="1" applyProtection="1" quotePrefix="1">
      <alignment horizontal="center"/>
      <protection/>
    </xf>
    <xf numFmtId="168" fontId="65" fillId="37" borderId="42" xfId="0" applyNumberFormat="1" applyFont="1" applyFill="1" applyBorder="1" applyAlignment="1" applyProtection="1" quotePrefix="1">
      <alignment horizontal="center"/>
      <protection/>
    </xf>
    <xf numFmtId="168" fontId="44" fillId="34" borderId="26" xfId="0" applyNumberFormat="1" applyFont="1" applyFill="1" applyBorder="1" applyAlignment="1" applyProtection="1" quotePrefix="1">
      <alignment horizontal="center"/>
      <protection/>
    </xf>
    <xf numFmtId="7" fontId="81" fillId="0" borderId="11" xfId="0" applyNumberFormat="1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36" fillId="33" borderId="30" xfId="0" applyFont="1" applyFill="1" applyBorder="1" applyAlignment="1" applyProtection="1">
      <alignment horizontal="center"/>
      <protection/>
    </xf>
    <xf numFmtId="0" fontId="45" fillId="35" borderId="11" xfId="0" applyFont="1" applyFill="1" applyBorder="1" applyAlignment="1" applyProtection="1">
      <alignment horizontal="center"/>
      <protection/>
    </xf>
    <xf numFmtId="0" fontId="78" fillId="41" borderId="11" xfId="0" applyFont="1" applyFill="1" applyBorder="1" applyAlignment="1" applyProtection="1">
      <alignment horizontal="center"/>
      <protection/>
    </xf>
    <xf numFmtId="168" fontId="65" fillId="37" borderId="55" xfId="0" applyNumberFormat="1" applyFont="1" applyFill="1" applyBorder="1" applyAlignment="1" applyProtection="1" quotePrefix="1">
      <alignment horizontal="center"/>
      <protection/>
    </xf>
    <xf numFmtId="168" fontId="44" fillId="34" borderId="11" xfId="0" applyNumberFormat="1" applyFont="1" applyFill="1" applyBorder="1" applyAlignment="1" applyProtection="1" quotePrefix="1">
      <alignment horizontal="center"/>
      <protection/>
    </xf>
    <xf numFmtId="168" fontId="29" fillId="0" borderId="11" xfId="0" applyNumberFormat="1" applyFont="1" applyFill="1" applyBorder="1" applyAlignment="1">
      <alignment horizontal="center"/>
    </xf>
    <xf numFmtId="0" fontId="12" fillId="0" borderId="30" xfId="0" applyFont="1" applyBorder="1" applyAlignment="1" applyProtection="1">
      <alignment horizontal="center"/>
      <protection locked="0"/>
    </xf>
    <xf numFmtId="164" fontId="9" fillId="0" borderId="11" xfId="0" applyNumberFormat="1" applyFont="1" applyBorder="1" applyAlignment="1" applyProtection="1" quotePrefix="1">
      <alignment horizontal="center"/>
      <protection locked="0"/>
    </xf>
    <xf numFmtId="22" fontId="7" fillId="0" borderId="31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Fill="1" applyBorder="1" applyAlignment="1" applyProtection="1" quotePrefix="1">
      <alignment horizontal="center"/>
      <protection/>
    </xf>
    <xf numFmtId="164" fontId="7" fillId="0" borderId="11" xfId="0" applyNumberFormat="1" applyFont="1" applyFill="1" applyBorder="1" applyAlignment="1" applyProtection="1" quotePrefix="1">
      <alignment horizontal="center"/>
      <protection/>
    </xf>
    <xf numFmtId="4" fontId="29" fillId="0" borderId="11" xfId="0" applyNumberFormat="1" applyFont="1" applyFill="1" applyBorder="1" applyAlignment="1">
      <alignment horizontal="right"/>
    </xf>
    <xf numFmtId="168" fontId="7" fillId="0" borderId="29" xfId="0" applyNumberFormat="1" applyFont="1" applyBorder="1" applyAlignment="1" applyProtection="1">
      <alignment horizontal="center"/>
      <protection locked="0"/>
    </xf>
    <xf numFmtId="168" fontId="7" fillId="0" borderId="29" xfId="0" applyNumberFormat="1" applyFont="1" applyBorder="1" applyAlignment="1" applyProtection="1">
      <alignment horizontal="center"/>
      <protection/>
    </xf>
    <xf numFmtId="164" fontId="45" fillId="35" borderId="12" xfId="0" applyNumberFormat="1" applyFont="1" applyFill="1" applyBorder="1" applyAlignment="1" applyProtection="1">
      <alignment horizontal="center"/>
      <protection locked="0"/>
    </xf>
    <xf numFmtId="2" fontId="78" fillId="41" borderId="12" xfId="0" applyNumberFormat="1" applyFont="1" applyFill="1" applyBorder="1" applyAlignment="1" applyProtection="1">
      <alignment horizontal="center"/>
      <protection locked="0"/>
    </xf>
    <xf numFmtId="168" fontId="65" fillId="37" borderId="34" xfId="0" applyNumberFormat="1" applyFont="1" applyFill="1" applyBorder="1" applyAlignment="1" applyProtection="1" quotePrefix="1">
      <alignment horizontal="center"/>
      <protection locked="0"/>
    </xf>
    <xf numFmtId="168" fontId="65" fillId="37" borderId="36" xfId="0" applyNumberFormat="1" applyFont="1" applyFill="1" applyBorder="1" applyAlignment="1" applyProtection="1" quotePrefix="1">
      <alignment horizontal="center"/>
      <protection locked="0"/>
    </xf>
    <xf numFmtId="7" fontId="28" fillId="0" borderId="37" xfId="0" applyNumberFormat="1" applyFont="1" applyFill="1" applyBorder="1" applyAlignment="1">
      <alignment horizontal="right"/>
    </xf>
    <xf numFmtId="4" fontId="78" fillId="41" borderId="23" xfId="0" applyNumberFormat="1" applyFont="1" applyFill="1" applyBorder="1" applyAlignment="1">
      <alignment horizontal="center"/>
    </xf>
    <xf numFmtId="4" fontId="65" fillId="37" borderId="52" xfId="0" applyNumberFormat="1" applyFont="1" applyFill="1" applyBorder="1" applyAlignment="1">
      <alignment horizontal="center"/>
    </xf>
    <xf numFmtId="4" fontId="65" fillId="37" borderId="53" xfId="0" applyNumberFormat="1" applyFont="1" applyFill="1" applyBorder="1" applyAlignment="1">
      <alignment horizontal="center"/>
    </xf>
    <xf numFmtId="4" fontId="44" fillId="34" borderId="23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174" fontId="0" fillId="0" borderId="18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20" fillId="0" borderId="10" xfId="0" applyFont="1" applyBorder="1" applyAlignment="1">
      <alignment horizontal="centerContinuous"/>
    </xf>
    <xf numFmtId="0" fontId="11" fillId="0" borderId="0" xfId="0" applyFont="1" applyAlignment="1">
      <alignment/>
    </xf>
    <xf numFmtId="0" fontId="24" fillId="0" borderId="0" xfId="0" applyFont="1" applyBorder="1" applyAlignment="1">
      <alignment horizontal="centerContinuous"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10" xfId="0" applyFont="1" applyBorder="1" applyAlignment="1">
      <alignment horizontal="centerContinuous"/>
    </xf>
    <xf numFmtId="0" fontId="0" fillId="0" borderId="25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 quotePrefix="1">
      <alignment horizontal="left"/>
      <protection/>
    </xf>
    <xf numFmtId="0" fontId="0" fillId="0" borderId="24" xfId="0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0" fontId="27" fillId="0" borderId="23" xfId="0" applyFont="1" applyBorder="1" applyAlignment="1" applyProtection="1" quotePrefix="1">
      <alignment horizontal="center" vertical="center" wrapText="1"/>
      <protection/>
    </xf>
    <xf numFmtId="0" fontId="48" fillId="39" borderId="23" xfId="0" applyFont="1" applyFill="1" applyBorder="1" applyAlignment="1">
      <alignment horizontal="center" vertical="center" wrapText="1"/>
    </xf>
    <xf numFmtId="0" fontId="46" fillId="43" borderId="17" xfId="0" applyFont="1" applyFill="1" applyBorder="1" applyAlignment="1" applyProtection="1">
      <alignment horizontal="centerContinuous" vertical="center" wrapText="1"/>
      <protection/>
    </xf>
    <xf numFmtId="0" fontId="46" fillId="43" borderId="18" xfId="0" applyFont="1" applyFill="1" applyBorder="1" applyAlignment="1">
      <alignment horizontal="centerContinuous" vertical="center"/>
    </xf>
    <xf numFmtId="0" fontId="49" fillId="37" borderId="23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36" fillId="33" borderId="0" xfId="0" applyFont="1" applyFill="1" applyBorder="1" applyAlignment="1">
      <alignment horizontal="center"/>
    </xf>
    <xf numFmtId="0" fontId="82" fillId="39" borderId="39" xfId="0" applyFont="1" applyFill="1" applyBorder="1" applyAlignment="1">
      <alignment horizontal="center"/>
    </xf>
    <xf numFmtId="0" fontId="47" fillId="43" borderId="41" xfId="0" applyFont="1" applyFill="1" applyBorder="1" applyAlignment="1">
      <alignment horizontal="center"/>
    </xf>
    <xf numFmtId="0" fontId="47" fillId="43" borderId="42" xfId="0" applyFont="1" applyFill="1" applyBorder="1" applyAlignment="1">
      <alignment horizontal="center"/>
    </xf>
    <xf numFmtId="0" fontId="50" fillId="37" borderId="39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7" fontId="29" fillId="0" borderId="39" xfId="0" applyNumberFormat="1" applyFont="1" applyFill="1" applyBorder="1" applyAlignment="1">
      <alignment horizontal="center"/>
    </xf>
    <xf numFmtId="0" fontId="12" fillId="0" borderId="32" xfId="0" applyFont="1" applyBorder="1" applyAlignment="1" applyProtection="1">
      <alignment horizontal="center"/>
      <protection/>
    </xf>
    <xf numFmtId="0" fontId="12" fillId="0" borderId="58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center"/>
      <protection/>
    </xf>
    <xf numFmtId="168" fontId="36" fillId="33" borderId="28" xfId="0" applyNumberFormat="1" applyFont="1" applyFill="1" applyBorder="1" applyAlignment="1" applyProtection="1">
      <alignment horizontal="center"/>
      <protection/>
    </xf>
    <xf numFmtId="22" fontId="7" fillId="0" borderId="46" xfId="0" applyNumberFormat="1" applyFont="1" applyBorder="1" applyAlignment="1">
      <alignment horizontal="center"/>
    </xf>
    <xf numFmtId="22" fontId="7" fillId="0" borderId="58" xfId="0" applyNumberFormat="1" applyFont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 quotePrefix="1">
      <alignment horizontal="center"/>
      <protection/>
    </xf>
    <xf numFmtId="164" fontId="7" fillId="0" borderId="28" xfId="0" applyNumberFormat="1" applyFont="1" applyFill="1" applyBorder="1" applyAlignment="1" applyProtection="1" quotePrefix="1">
      <alignment horizontal="center"/>
      <protection/>
    </xf>
    <xf numFmtId="168" fontId="7" fillId="0" borderId="45" xfId="0" applyNumberFormat="1" applyFont="1" applyBorder="1" applyAlignment="1" applyProtection="1">
      <alignment horizontal="center"/>
      <protection/>
    </xf>
    <xf numFmtId="168" fontId="7" fillId="0" borderId="28" xfId="0" applyNumberFormat="1" applyFont="1" applyBorder="1" applyAlignment="1" applyProtection="1">
      <alignment horizontal="center"/>
      <protection/>
    </xf>
    <xf numFmtId="164" fontId="36" fillId="33" borderId="32" xfId="0" applyNumberFormat="1" applyFont="1" applyFill="1" applyBorder="1" applyAlignment="1" applyProtection="1">
      <alignment horizontal="center"/>
      <protection/>
    </xf>
    <xf numFmtId="2" fontId="82" fillId="39" borderId="28" xfId="0" applyNumberFormat="1" applyFont="1" applyFill="1" applyBorder="1" applyAlignment="1">
      <alignment horizontal="center"/>
    </xf>
    <xf numFmtId="168" fontId="47" fillId="43" borderId="46" xfId="0" applyNumberFormat="1" applyFont="1" applyFill="1" applyBorder="1" applyAlignment="1" applyProtection="1" quotePrefix="1">
      <alignment horizontal="center"/>
      <protection/>
    </xf>
    <xf numFmtId="168" fontId="47" fillId="43" borderId="47" xfId="0" applyNumberFormat="1" applyFont="1" applyFill="1" applyBorder="1" applyAlignment="1" applyProtection="1" quotePrefix="1">
      <alignment horizontal="center"/>
      <protection/>
    </xf>
    <xf numFmtId="168" fontId="50" fillId="37" borderId="28" xfId="0" applyNumberFormat="1" applyFont="1" applyFill="1" applyBorder="1" applyAlignment="1" applyProtection="1" quotePrefix="1">
      <alignment horizontal="center"/>
      <protection/>
    </xf>
    <xf numFmtId="168" fontId="29" fillId="0" borderId="28" xfId="0" applyNumberFormat="1" applyFont="1" applyFill="1" applyBorder="1" applyAlignment="1">
      <alignment horizontal="center"/>
    </xf>
    <xf numFmtId="0" fontId="12" fillId="0" borderId="59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2" fontId="7" fillId="0" borderId="60" xfId="0" applyNumberFormat="1" applyFont="1" applyFill="1" applyBorder="1" applyAlignment="1" applyProtection="1" quotePrefix="1">
      <alignment horizontal="center"/>
      <protection/>
    </xf>
    <xf numFmtId="0" fontId="12" fillId="0" borderId="12" xfId="0" applyFont="1" applyBorder="1" applyAlignment="1" applyProtection="1">
      <alignment horizontal="center"/>
      <protection locked="0"/>
    </xf>
    <xf numFmtId="164" fontId="36" fillId="33" borderId="61" xfId="0" applyNumberFormat="1" applyFont="1" applyFill="1" applyBorder="1" applyAlignment="1" applyProtection="1">
      <alignment horizontal="center"/>
      <protection locked="0"/>
    </xf>
    <xf numFmtId="2" fontId="82" fillId="39" borderId="12" xfId="0" applyNumberFormat="1" applyFont="1" applyFill="1" applyBorder="1" applyAlignment="1" applyProtection="1">
      <alignment horizontal="center"/>
      <protection locked="0"/>
    </xf>
    <xf numFmtId="168" fontId="47" fillId="43" borderId="49" xfId="0" applyNumberFormat="1" applyFont="1" applyFill="1" applyBorder="1" applyAlignment="1" applyProtection="1" quotePrefix="1">
      <alignment horizontal="center"/>
      <protection locked="0"/>
    </xf>
    <xf numFmtId="168" fontId="47" fillId="43" borderId="50" xfId="0" applyNumberFormat="1" applyFont="1" applyFill="1" applyBorder="1" applyAlignment="1" applyProtection="1" quotePrefix="1">
      <alignment horizontal="center"/>
      <protection locked="0"/>
    </xf>
    <xf numFmtId="168" fontId="50" fillId="37" borderId="12" xfId="0" applyNumberFormat="1" applyFont="1" applyFill="1" applyBorder="1" applyAlignment="1" applyProtection="1" quotePrefix="1">
      <alignment horizontal="center"/>
      <protection locked="0"/>
    </xf>
    <xf numFmtId="168" fontId="29" fillId="0" borderId="37" xfId="0" applyNumberFormat="1" applyFont="1" applyFill="1" applyBorder="1" applyAlignment="1">
      <alignment horizontal="center"/>
    </xf>
    <xf numFmtId="4" fontId="82" fillId="39" borderId="23" xfId="0" applyNumberFormat="1" applyFont="1" applyFill="1" applyBorder="1" applyAlignment="1">
      <alignment horizontal="center"/>
    </xf>
    <xf numFmtId="4" fontId="47" fillId="43" borderId="52" xfId="0" applyNumberFormat="1" applyFont="1" applyFill="1" applyBorder="1" applyAlignment="1">
      <alignment horizontal="center"/>
    </xf>
    <xf numFmtId="4" fontId="47" fillId="43" borderId="18" xfId="0" applyNumberFormat="1" applyFont="1" applyFill="1" applyBorder="1" applyAlignment="1">
      <alignment horizontal="center"/>
    </xf>
    <xf numFmtId="4" fontId="50" fillId="37" borderId="23" xfId="0" applyNumberFormat="1" applyFont="1" applyFill="1" applyBorder="1" applyAlignment="1">
      <alignment horizontal="center"/>
    </xf>
    <xf numFmtId="0" fontId="7" fillId="0" borderId="62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83" fillId="0" borderId="0" xfId="0" applyFont="1" applyAlignment="1">
      <alignment/>
    </xf>
    <xf numFmtId="22" fontId="7" fillId="0" borderId="32" xfId="0" applyNumberFormat="1" applyFont="1" applyBorder="1" applyAlignment="1">
      <alignment horizontal="center"/>
    </xf>
    <xf numFmtId="0" fontId="86" fillId="0" borderId="0" xfId="0" applyFont="1" applyFill="1" applyAlignment="1">
      <alignment/>
    </xf>
    <xf numFmtId="0" fontId="87" fillId="0" borderId="0" xfId="0" applyFont="1" applyAlignment="1">
      <alignment horizontal="centerContinuous"/>
    </xf>
    <xf numFmtId="0" fontId="86" fillId="0" borderId="0" xfId="0" applyFont="1" applyAlignment="1">
      <alignment horizontal="centerContinuous"/>
    </xf>
    <xf numFmtId="0" fontId="86" fillId="0" borderId="0" xfId="0" applyFont="1" applyAlignment="1">
      <alignment/>
    </xf>
    <xf numFmtId="0" fontId="23" fillId="0" borderId="0" xfId="0" applyFont="1" applyAlignment="1">
      <alignment/>
    </xf>
    <xf numFmtId="0" fontId="88" fillId="0" borderId="0" xfId="0" applyFont="1" applyBorder="1" applyAlignment="1" quotePrefix="1">
      <alignment horizontal="left"/>
    </xf>
    <xf numFmtId="0" fontId="22" fillId="0" borderId="16" xfId="0" applyFont="1" applyBorder="1" applyAlignment="1">
      <alignment/>
    </xf>
    <xf numFmtId="0" fontId="22" fillId="0" borderId="0" xfId="0" applyFont="1" applyBorder="1" applyAlignment="1">
      <alignment horizontal="right"/>
    </xf>
    <xf numFmtId="7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89" fillId="0" borderId="0" xfId="0" applyFont="1" applyBorder="1" applyAlignment="1" quotePrefix="1">
      <alignment horizontal="left"/>
    </xf>
    <xf numFmtId="0" fontId="22" fillId="0" borderId="10" xfId="0" applyFont="1" applyFill="1" applyBorder="1" applyAlignment="1">
      <alignment/>
    </xf>
    <xf numFmtId="0" fontId="22" fillId="0" borderId="0" xfId="0" applyFont="1" applyBorder="1" applyAlignment="1" applyProtection="1">
      <alignment horizontal="left"/>
      <protection/>
    </xf>
    <xf numFmtId="174" fontId="22" fillId="0" borderId="0" xfId="0" applyNumberFormat="1" applyFont="1" applyBorder="1" applyAlignment="1">
      <alignment horizontal="center"/>
    </xf>
    <xf numFmtId="168" fontId="22" fillId="0" borderId="0" xfId="0" applyNumberFormat="1" applyFont="1" applyBorder="1" applyAlignment="1" applyProtection="1">
      <alignment horizontal="left"/>
      <protection/>
    </xf>
    <xf numFmtId="0" fontId="22" fillId="0" borderId="0" xfId="0" applyFont="1" applyAlignment="1">
      <alignment horizontal="right"/>
    </xf>
    <xf numFmtId="10" fontId="22" fillId="0" borderId="0" xfId="0" applyNumberFormat="1" applyFont="1" applyBorder="1" applyAlignment="1" applyProtection="1">
      <alignment horizontal="right"/>
      <protection/>
    </xf>
    <xf numFmtId="0" fontId="22" fillId="0" borderId="0" xfId="0" applyFont="1" applyBorder="1" applyAlignment="1">
      <alignment horizontal="left"/>
    </xf>
    <xf numFmtId="7" fontId="22" fillId="0" borderId="0" xfId="0" applyNumberFormat="1" applyFont="1" applyBorder="1" applyAlignment="1">
      <alignment horizontal="centerContinuous"/>
    </xf>
    <xf numFmtId="0" fontId="22" fillId="0" borderId="0" xfId="0" applyFont="1" applyBorder="1" applyAlignment="1" applyProtection="1">
      <alignment horizontal="center"/>
      <protection/>
    </xf>
    <xf numFmtId="168" fontId="13" fillId="0" borderId="17" xfId="0" applyNumberFormat="1" applyFont="1" applyBorder="1" applyAlignment="1" applyProtection="1">
      <alignment horizontal="center"/>
      <protection/>
    </xf>
    <xf numFmtId="183" fontId="22" fillId="0" borderId="18" xfId="0" applyNumberFormat="1" applyFont="1" applyBorder="1" applyAlignment="1" applyProtection="1">
      <alignment horizontal="centerContinuous"/>
      <protection/>
    </xf>
    <xf numFmtId="0" fontId="48" fillId="44" borderId="23" xfId="0" applyFont="1" applyFill="1" applyBorder="1" applyAlignment="1">
      <alignment horizontal="center" vertical="center" wrapText="1"/>
    </xf>
    <xf numFmtId="0" fontId="90" fillId="34" borderId="17" xfId="0" applyFont="1" applyFill="1" applyBorder="1" applyAlignment="1" applyProtection="1">
      <alignment horizontal="centerContinuous" vertical="center" wrapText="1"/>
      <protection/>
    </xf>
    <xf numFmtId="0" fontId="91" fillId="34" borderId="24" xfId="0" applyFont="1" applyFill="1" applyBorder="1" applyAlignment="1">
      <alignment horizontal="centerContinuous"/>
    </xf>
    <xf numFmtId="0" fontId="90" fillId="34" borderId="18" xfId="0" applyFont="1" applyFill="1" applyBorder="1" applyAlignment="1">
      <alignment horizontal="centerContinuous" vertical="center"/>
    </xf>
    <xf numFmtId="0" fontId="42" fillId="45" borderId="17" xfId="0" applyFont="1" applyFill="1" applyBorder="1" applyAlignment="1">
      <alignment horizontal="centerContinuous" vertical="center" wrapText="1"/>
    </xf>
    <xf numFmtId="0" fontId="43" fillId="45" borderId="24" xfId="0" applyFont="1" applyFill="1" applyBorder="1" applyAlignment="1">
      <alignment horizontal="centerContinuous"/>
    </xf>
    <xf numFmtId="0" fontId="42" fillId="45" borderId="18" xfId="0" applyFont="1" applyFill="1" applyBorder="1" applyAlignment="1">
      <alignment horizontal="centerContinuous" vertical="center"/>
    </xf>
    <xf numFmtId="0" fontId="42" fillId="39" borderId="23" xfId="0" applyFont="1" applyFill="1" applyBorder="1" applyAlignment="1">
      <alignment horizontal="centerContinuous" vertical="center" wrapText="1"/>
    </xf>
    <xf numFmtId="0" fontId="42" fillId="46" borderId="23" xfId="0" applyFont="1" applyFill="1" applyBorder="1" applyAlignment="1">
      <alignment horizontal="centerContinuous" vertical="center" wrapText="1"/>
    </xf>
    <xf numFmtId="0" fontId="22" fillId="0" borderId="11" xfId="0" applyFont="1" applyBorder="1" applyAlignment="1">
      <alignment/>
    </xf>
    <xf numFmtId="164" fontId="22" fillId="0" borderId="13" xfId="0" applyNumberFormat="1" applyFont="1" applyBorder="1" applyAlignment="1" applyProtection="1">
      <alignment/>
      <protection/>
    </xf>
    <xf numFmtId="164" fontId="22" fillId="0" borderId="11" xfId="0" applyNumberFormat="1" applyFont="1" applyBorder="1" applyAlignment="1" applyProtection="1">
      <alignment horizontal="center"/>
      <protection/>
    </xf>
    <xf numFmtId="164" fontId="22" fillId="0" borderId="26" xfId="0" applyNumberFormat="1" applyFont="1" applyBorder="1" applyAlignment="1" applyProtection="1">
      <alignment horizontal="center"/>
      <protection/>
    </xf>
    <xf numFmtId="164" fontId="92" fillId="33" borderId="26" xfId="0" applyNumberFormat="1" applyFont="1" applyFill="1" applyBorder="1" applyAlignment="1" applyProtection="1">
      <alignment horizontal="center"/>
      <protection/>
    </xf>
    <xf numFmtId="0" fontId="93" fillId="35" borderId="26" xfId="0" applyFont="1" applyFill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63" xfId="0" applyFont="1" applyBorder="1" applyAlignment="1">
      <alignment horizontal="center"/>
    </xf>
    <xf numFmtId="0" fontId="44" fillId="36" borderId="26" xfId="0" applyFont="1" applyFill="1" applyBorder="1" applyAlignment="1">
      <alignment horizontal="center"/>
    </xf>
    <xf numFmtId="0" fontId="82" fillId="44" borderId="26" xfId="0" applyFont="1" applyFill="1" applyBorder="1" applyAlignment="1">
      <alignment horizontal="center"/>
    </xf>
    <xf numFmtId="168" fontId="94" fillId="34" borderId="41" xfId="0" applyNumberFormat="1" applyFont="1" applyFill="1" applyBorder="1" applyAlignment="1" applyProtection="1" quotePrefix="1">
      <alignment horizontal="center"/>
      <protection/>
    </xf>
    <xf numFmtId="168" fontId="94" fillId="34" borderId="64" xfId="0" applyNumberFormat="1" applyFont="1" applyFill="1" applyBorder="1" applyAlignment="1" applyProtection="1" quotePrefix="1">
      <alignment horizontal="center"/>
      <protection/>
    </xf>
    <xf numFmtId="4" fontId="94" fillId="34" borderId="65" xfId="0" applyNumberFormat="1" applyFont="1" applyFill="1" applyBorder="1" applyAlignment="1" applyProtection="1">
      <alignment horizontal="center"/>
      <protection/>
    </xf>
    <xf numFmtId="168" fontId="44" fillId="45" borderId="41" xfId="0" applyNumberFormat="1" applyFont="1" applyFill="1" applyBorder="1" applyAlignment="1" applyProtection="1" quotePrefix="1">
      <alignment horizontal="center"/>
      <protection/>
    </xf>
    <xf numFmtId="168" fontId="44" fillId="45" borderId="64" xfId="0" applyNumberFormat="1" applyFont="1" applyFill="1" applyBorder="1" applyAlignment="1" applyProtection="1" quotePrefix="1">
      <alignment horizontal="center"/>
      <protection/>
    </xf>
    <xf numFmtId="4" fontId="44" fillId="45" borderId="65" xfId="0" applyNumberFormat="1" applyFont="1" applyFill="1" applyBorder="1" applyAlignment="1" applyProtection="1">
      <alignment horizontal="center"/>
      <protection/>
    </xf>
    <xf numFmtId="4" fontId="44" fillId="39" borderId="26" xfId="0" applyNumberFormat="1" applyFont="1" applyFill="1" applyBorder="1" applyAlignment="1" applyProtection="1">
      <alignment horizontal="center"/>
      <protection/>
    </xf>
    <xf numFmtId="4" fontId="44" fillId="46" borderId="26" xfId="0" applyNumberFormat="1" applyFont="1" applyFill="1" applyBorder="1" applyAlignment="1" applyProtection="1">
      <alignment horizontal="center"/>
      <protection/>
    </xf>
    <xf numFmtId="0" fontId="7" fillId="0" borderId="65" xfId="0" applyFont="1" applyBorder="1" applyAlignment="1">
      <alignment horizontal="left"/>
    </xf>
    <xf numFmtId="0" fontId="10" fillId="0" borderId="65" xfId="0" applyFont="1" applyBorder="1" applyAlignment="1">
      <alignment horizontal="center"/>
    </xf>
    <xf numFmtId="164" fontId="7" fillId="0" borderId="11" xfId="0" applyNumberFormat="1" applyFont="1" applyBorder="1" applyAlignment="1" applyProtection="1">
      <alignment horizontal="center"/>
      <protection/>
    </xf>
    <xf numFmtId="0" fontId="92" fillId="33" borderId="11" xfId="0" applyFont="1" applyFill="1" applyBorder="1" applyAlignment="1" applyProtection="1">
      <alignment horizontal="center"/>
      <protection/>
    </xf>
    <xf numFmtId="168" fontId="93" fillId="35" borderId="11" xfId="0" applyNumberFormat="1" applyFont="1" applyFill="1" applyBorder="1" applyAlignment="1" applyProtection="1">
      <alignment horizontal="center"/>
      <protection/>
    </xf>
    <xf numFmtId="22" fontId="7" fillId="0" borderId="11" xfId="0" applyNumberFormat="1" applyFont="1" applyBorder="1" applyAlignment="1">
      <alignment horizontal="center"/>
    </xf>
    <xf numFmtId="4" fontId="7" fillId="0" borderId="11" xfId="0" applyNumberFormat="1" applyFont="1" applyFill="1" applyBorder="1" applyAlignment="1" applyProtection="1" quotePrefix="1">
      <alignment horizontal="center"/>
      <protection/>
    </xf>
    <xf numFmtId="168" fontId="7" fillId="0" borderId="13" xfId="0" applyNumberFormat="1" applyFont="1" applyBorder="1" applyAlignment="1" applyProtection="1">
      <alignment horizontal="center"/>
      <protection/>
    </xf>
    <xf numFmtId="173" fontId="7" fillId="0" borderId="13" xfId="0" applyNumberFormat="1" applyFont="1" applyBorder="1" applyAlignment="1" applyProtection="1" quotePrefix="1">
      <alignment horizontal="center"/>
      <protection/>
    </xf>
    <xf numFmtId="2" fontId="44" fillId="36" borderId="11" xfId="0" applyNumberFormat="1" applyFont="1" applyFill="1" applyBorder="1" applyAlignment="1" applyProtection="1">
      <alignment horizontal="center"/>
      <protection/>
    </xf>
    <xf numFmtId="2" fontId="82" fillId="44" borderId="11" xfId="0" applyNumberFormat="1" applyFont="1" applyFill="1" applyBorder="1" applyAlignment="1" applyProtection="1">
      <alignment horizontal="center"/>
      <protection/>
    </xf>
    <xf numFmtId="168" fontId="94" fillId="34" borderId="31" xfId="0" applyNumberFormat="1" applyFont="1" applyFill="1" applyBorder="1" applyAlignment="1" applyProtection="1" quotePrefix="1">
      <alignment horizontal="center"/>
      <protection/>
    </xf>
    <xf numFmtId="168" fontId="94" fillId="34" borderId="33" xfId="0" applyNumberFormat="1" applyFont="1" applyFill="1" applyBorder="1" applyAlignment="1" applyProtection="1" quotePrefix="1">
      <alignment horizontal="center"/>
      <protection/>
    </xf>
    <xf numFmtId="4" fontId="94" fillId="34" borderId="13" xfId="0" applyNumberFormat="1" applyFont="1" applyFill="1" applyBorder="1" applyAlignment="1" applyProtection="1">
      <alignment horizontal="center"/>
      <protection/>
    </xf>
    <xf numFmtId="168" fontId="44" fillId="45" borderId="31" xfId="0" applyNumberFormat="1" applyFont="1" applyFill="1" applyBorder="1" applyAlignment="1" applyProtection="1" quotePrefix="1">
      <alignment horizontal="center"/>
      <protection/>
    </xf>
    <xf numFmtId="168" fontId="44" fillId="45" borderId="33" xfId="0" applyNumberFormat="1" applyFont="1" applyFill="1" applyBorder="1" applyAlignment="1" applyProtection="1" quotePrefix="1">
      <alignment horizontal="center"/>
      <protection/>
    </xf>
    <xf numFmtId="4" fontId="44" fillId="45" borderId="13" xfId="0" applyNumberFormat="1" applyFont="1" applyFill="1" applyBorder="1" applyAlignment="1" applyProtection="1">
      <alignment horizontal="center"/>
      <protection/>
    </xf>
    <xf numFmtId="4" fontId="44" fillId="39" borderId="11" xfId="0" applyNumberFormat="1" applyFont="1" applyFill="1" applyBorder="1" applyAlignment="1" applyProtection="1">
      <alignment horizontal="center"/>
      <protection/>
    </xf>
    <xf numFmtId="4" fontId="44" fillId="46" borderId="11" xfId="0" applyNumberFormat="1" applyFont="1" applyFill="1" applyBorder="1" applyAlignment="1" applyProtection="1">
      <alignment horizontal="center"/>
      <protection/>
    </xf>
    <xf numFmtId="4" fontId="7" fillId="0" borderId="13" xfId="0" applyNumberFormat="1" applyFont="1" applyBorder="1" applyAlignment="1" applyProtection="1">
      <alignment horizontal="center"/>
      <protection/>
    </xf>
    <xf numFmtId="164" fontId="95" fillId="0" borderId="0" xfId="0" applyNumberFormat="1" applyFont="1" applyBorder="1" applyAlignment="1" applyProtection="1">
      <alignment horizontal="center"/>
      <protection/>
    </xf>
    <xf numFmtId="165" fontId="22" fillId="0" borderId="0" xfId="0" applyNumberFormat="1" applyFont="1" applyBorder="1" applyAlignment="1" applyProtection="1">
      <alignment horizontal="center"/>
      <protection/>
    </xf>
    <xf numFmtId="168" fontId="22" fillId="0" borderId="0" xfId="0" applyNumberFormat="1" applyFont="1" applyBorder="1" applyAlignment="1" applyProtection="1">
      <alignment horizontal="center"/>
      <protection/>
    </xf>
    <xf numFmtId="173" fontId="22" fillId="0" borderId="0" xfId="0" applyNumberFormat="1" applyFont="1" applyBorder="1" applyAlignment="1" applyProtection="1" quotePrefix="1">
      <alignment horizontal="center"/>
      <protection/>
    </xf>
    <xf numFmtId="2" fontId="93" fillId="36" borderId="23" xfId="0" applyNumberFormat="1" applyFont="1" applyFill="1" applyBorder="1" applyAlignment="1" applyProtection="1">
      <alignment horizontal="center"/>
      <protection/>
    </xf>
    <xf numFmtId="2" fontId="80" fillId="44" borderId="23" xfId="0" applyNumberFormat="1" applyFont="1" applyFill="1" applyBorder="1" applyAlignment="1" applyProtection="1">
      <alignment horizontal="center"/>
      <protection/>
    </xf>
    <xf numFmtId="2" fontId="96" fillId="34" borderId="23" xfId="0" applyNumberFormat="1" applyFont="1" applyFill="1" applyBorder="1" applyAlignment="1" applyProtection="1">
      <alignment horizontal="center"/>
      <protection/>
    </xf>
    <xf numFmtId="2" fontId="93" fillId="45" borderId="23" xfId="0" applyNumberFormat="1" applyFont="1" applyFill="1" applyBorder="1" applyAlignment="1" applyProtection="1">
      <alignment horizontal="center"/>
      <protection/>
    </xf>
    <xf numFmtId="2" fontId="93" fillId="39" borderId="23" xfId="0" applyNumberFormat="1" applyFont="1" applyFill="1" applyBorder="1" applyAlignment="1" applyProtection="1">
      <alignment horizontal="center"/>
      <protection/>
    </xf>
    <xf numFmtId="2" fontId="93" fillId="46" borderId="23" xfId="0" applyNumberFormat="1" applyFont="1" applyFill="1" applyBorder="1" applyAlignment="1" applyProtection="1">
      <alignment horizontal="center"/>
      <protection/>
    </xf>
    <xf numFmtId="2" fontId="22" fillId="0" borderId="40" xfId="0" applyNumberFormat="1" applyFont="1" applyBorder="1" applyAlignment="1" applyProtection="1">
      <alignment horizontal="center"/>
      <protection/>
    </xf>
    <xf numFmtId="7" fontId="10" fillId="0" borderId="23" xfId="0" applyNumberFormat="1" applyFont="1" applyBorder="1" applyAlignment="1" applyProtection="1">
      <alignment horizontal="right"/>
      <protection/>
    </xf>
    <xf numFmtId="2" fontId="22" fillId="0" borderId="0" xfId="0" applyNumberFormat="1" applyFont="1" applyBorder="1" applyAlignment="1" applyProtection="1">
      <alignment horizontal="center"/>
      <protection/>
    </xf>
    <xf numFmtId="7" fontId="22" fillId="0" borderId="0" xfId="0" applyNumberFormat="1" applyFont="1" applyBorder="1" applyAlignment="1" applyProtection="1">
      <alignment horizontal="center"/>
      <protection/>
    </xf>
    <xf numFmtId="0" fontId="27" fillId="0" borderId="17" xfId="0" applyFont="1" applyFill="1" applyBorder="1" applyAlignment="1" applyProtection="1">
      <alignment horizontal="centerContinuous" vertical="center"/>
      <protection/>
    </xf>
    <xf numFmtId="0" fontId="42" fillId="47" borderId="23" xfId="0" applyFont="1" applyFill="1" applyBorder="1" applyAlignment="1">
      <alignment horizontal="center" vertical="center" wrapText="1"/>
    </xf>
    <xf numFmtId="0" fontId="42" fillId="48" borderId="17" xfId="0" applyFont="1" applyFill="1" applyBorder="1" applyAlignment="1" applyProtection="1">
      <alignment horizontal="centerContinuous" vertical="center" wrapText="1"/>
      <protection/>
    </xf>
    <xf numFmtId="0" fontId="42" fillId="48" borderId="18" xfId="0" applyFont="1" applyFill="1" applyBorder="1" applyAlignment="1">
      <alignment horizontal="centerContinuous" vertical="center"/>
    </xf>
    <xf numFmtId="0" fontId="42" fillId="34" borderId="23" xfId="0" applyFont="1" applyFill="1" applyBorder="1" applyAlignment="1">
      <alignment horizontal="centerContinuous" vertical="center" wrapText="1"/>
    </xf>
    <xf numFmtId="164" fontId="7" fillId="0" borderId="11" xfId="0" applyNumberFormat="1" applyFont="1" applyFill="1" applyBorder="1" applyAlignment="1" applyProtection="1">
      <alignment horizontal="center"/>
      <protection/>
    </xf>
    <xf numFmtId="0" fontId="97" fillId="33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45" fillId="47" borderId="26" xfId="0" applyFont="1" applyFill="1" applyBorder="1" applyAlignment="1">
      <alignment horizontal="center"/>
    </xf>
    <xf numFmtId="0" fontId="45" fillId="48" borderId="41" xfId="0" applyFont="1" applyFill="1" applyBorder="1" applyAlignment="1">
      <alignment horizontal="center"/>
    </xf>
    <xf numFmtId="0" fontId="45" fillId="48" borderId="42" xfId="0" applyFont="1" applyFill="1" applyBorder="1" applyAlignment="1">
      <alignment horizontal="left"/>
    </xf>
    <xf numFmtId="0" fontId="45" fillId="34" borderId="26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center"/>
    </xf>
    <xf numFmtId="0" fontId="7" fillId="0" borderId="28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164" fontId="7" fillId="0" borderId="28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 quotePrefix="1">
      <alignment horizontal="center"/>
      <protection/>
    </xf>
    <xf numFmtId="168" fontId="97" fillId="33" borderId="11" xfId="0" applyNumberFormat="1" applyFont="1" applyFill="1" applyBorder="1" applyAlignment="1" applyProtection="1">
      <alignment horizontal="center"/>
      <protection/>
    </xf>
    <xf numFmtId="22" fontId="7" fillId="0" borderId="11" xfId="0" applyNumberFormat="1" applyFont="1" applyFill="1" applyBorder="1" applyAlignment="1" applyProtection="1">
      <alignment horizontal="center"/>
      <protection/>
    </xf>
    <xf numFmtId="164" fontId="36" fillId="33" borderId="11" xfId="0" applyNumberFormat="1" applyFont="1" applyFill="1" applyBorder="1" applyAlignment="1" applyProtection="1">
      <alignment horizontal="center"/>
      <protection/>
    </xf>
    <xf numFmtId="2" fontId="44" fillId="47" borderId="11" xfId="0" applyNumberFormat="1" applyFont="1" applyFill="1" applyBorder="1" applyAlignment="1">
      <alignment horizontal="center"/>
    </xf>
    <xf numFmtId="168" fontId="44" fillId="48" borderId="46" xfId="0" applyNumberFormat="1" applyFont="1" applyFill="1" applyBorder="1" applyAlignment="1" applyProtection="1" quotePrefix="1">
      <alignment horizontal="center"/>
      <protection/>
    </xf>
    <xf numFmtId="168" fontId="44" fillId="48" borderId="47" xfId="0" applyNumberFormat="1" applyFont="1" applyFill="1" applyBorder="1" applyAlignment="1" applyProtection="1" quotePrefix="1">
      <alignment horizontal="center"/>
      <protection/>
    </xf>
    <xf numFmtId="0" fontId="7" fillId="0" borderId="12" xfId="0" applyFont="1" applyFill="1" applyBorder="1" applyAlignment="1">
      <alignment horizontal="center"/>
    </xf>
    <xf numFmtId="0" fontId="7" fillId="0" borderId="48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164" fontId="7" fillId="0" borderId="48" xfId="0" applyNumberFormat="1" applyFont="1" applyBorder="1" applyAlignment="1" applyProtection="1">
      <alignment horizontal="center"/>
      <protection/>
    </xf>
    <xf numFmtId="1" fontId="7" fillId="0" borderId="50" xfId="0" applyNumberFormat="1" applyFont="1" applyBorder="1" applyAlignment="1" applyProtection="1" quotePrefix="1">
      <alignment horizontal="center"/>
      <protection/>
    </xf>
    <xf numFmtId="168" fontId="97" fillId="33" borderId="12" xfId="0" applyNumberFormat="1" applyFont="1" applyFill="1" applyBorder="1" applyAlignment="1" applyProtection="1">
      <alignment horizontal="center"/>
      <protection/>
    </xf>
    <xf numFmtId="22" fontId="7" fillId="0" borderId="12" xfId="0" applyNumberFormat="1" applyFont="1" applyFill="1" applyBorder="1" applyAlignment="1">
      <alignment horizontal="center"/>
    </xf>
    <xf numFmtId="22" fontId="7" fillId="0" borderId="12" xfId="0" applyNumberFormat="1" applyFont="1" applyFill="1" applyBorder="1" applyAlignment="1" applyProtection="1">
      <alignment horizontal="center"/>
      <protection/>
    </xf>
    <xf numFmtId="4" fontId="7" fillId="0" borderId="12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center"/>
      <protection/>
    </xf>
    <xf numFmtId="168" fontId="7" fillId="0" borderId="12" xfId="0" applyNumberFormat="1" applyFont="1" applyFill="1" applyBorder="1" applyAlignment="1" applyProtection="1">
      <alignment horizontal="center"/>
      <protection/>
    </xf>
    <xf numFmtId="164" fontId="36" fillId="33" borderId="12" xfId="0" applyNumberFormat="1" applyFont="1" applyFill="1" applyBorder="1" applyAlignment="1" applyProtection="1">
      <alignment horizontal="center"/>
      <protection/>
    </xf>
    <xf numFmtId="2" fontId="45" fillId="47" borderId="12" xfId="0" applyNumberFormat="1" applyFont="1" applyFill="1" applyBorder="1" applyAlignment="1">
      <alignment horizontal="center"/>
    </xf>
    <xf numFmtId="168" fontId="45" fillId="48" borderId="49" xfId="0" applyNumberFormat="1" applyFont="1" applyFill="1" applyBorder="1" applyAlignment="1" applyProtection="1" quotePrefix="1">
      <alignment horizontal="center"/>
      <protection/>
    </xf>
    <xf numFmtId="168" fontId="45" fillId="48" borderId="50" xfId="0" applyNumberFormat="1" applyFont="1" applyFill="1" applyBorder="1" applyAlignment="1" applyProtection="1" quotePrefix="1">
      <alignment horizontal="center"/>
      <protection/>
    </xf>
    <xf numFmtId="168" fontId="45" fillId="34" borderId="12" xfId="0" applyNumberFormat="1" applyFont="1" applyFill="1" applyBorder="1" applyAlignment="1" applyProtection="1" quotePrefix="1">
      <alignment horizontal="center"/>
      <protection/>
    </xf>
    <xf numFmtId="168" fontId="7" fillId="0" borderId="29" xfId="0" applyNumberFormat="1" applyFont="1" applyFill="1" applyBorder="1" applyAlignment="1">
      <alignment horizontal="center"/>
    </xf>
    <xf numFmtId="4" fontId="29" fillId="0" borderId="29" xfId="0" applyNumberFormat="1" applyFont="1" applyFill="1" applyBorder="1" applyAlignment="1">
      <alignment horizontal="right"/>
    </xf>
    <xf numFmtId="1" fontId="7" fillId="0" borderId="0" xfId="0" applyNumberFormat="1" applyFont="1" applyBorder="1" applyAlignment="1" applyProtection="1" quotePrefix="1">
      <alignment horizontal="center"/>
      <protection/>
    </xf>
    <xf numFmtId="168" fontId="7" fillId="0" borderId="0" xfId="0" applyNumberFormat="1" applyFont="1" applyFill="1" applyBorder="1" applyAlignment="1" applyProtection="1">
      <alignment horizontal="center"/>
      <protection/>
    </xf>
    <xf numFmtId="22" fontId="7" fillId="0" borderId="0" xfId="0" applyNumberFormat="1" applyFont="1" applyFill="1" applyBorder="1" applyAlignment="1">
      <alignment horizontal="center"/>
    </xf>
    <xf numFmtId="22" fontId="7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 quotePrefix="1">
      <alignment horizontal="center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2" fontId="61" fillId="0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 applyProtection="1" quotePrefix="1">
      <alignment horizontal="center"/>
      <protection/>
    </xf>
    <xf numFmtId="4" fontId="29" fillId="0" borderId="23" xfId="0" applyNumberFormat="1" applyFont="1" applyFill="1" applyBorder="1" applyAlignment="1">
      <alignment horizontal="right"/>
    </xf>
    <xf numFmtId="168" fontId="7" fillId="0" borderId="0" xfId="0" applyNumberFormat="1" applyFont="1" applyBorder="1" applyAlignment="1" applyProtection="1" quotePrefix="1">
      <alignment horizontal="centerContinuous"/>
      <protection/>
    </xf>
    <xf numFmtId="168" fontId="7" fillId="0" borderId="0" xfId="0" applyNumberFormat="1" applyFont="1" applyBorder="1" applyAlignment="1" applyProtection="1">
      <alignment horizontal="centerContinuous"/>
      <protection/>
    </xf>
    <xf numFmtId="4" fontId="29" fillId="0" borderId="0" xfId="0" applyNumberFormat="1" applyFont="1" applyFill="1" applyBorder="1" applyAlignment="1">
      <alignment horizontal="right"/>
    </xf>
    <xf numFmtId="2" fontId="53" fillId="0" borderId="0" xfId="0" applyNumberFormat="1" applyFont="1" applyBorder="1" applyAlignment="1" applyProtection="1">
      <alignment horizontal="left"/>
      <protection/>
    </xf>
    <xf numFmtId="168" fontId="53" fillId="0" borderId="0" xfId="0" applyNumberFormat="1" applyFont="1" applyBorder="1" applyAlignment="1" applyProtection="1">
      <alignment horizontal="center"/>
      <protection/>
    </xf>
    <xf numFmtId="0" fontId="53" fillId="0" borderId="0" xfId="0" applyFont="1" applyBorder="1" applyAlignment="1" applyProtection="1">
      <alignment horizontal="center"/>
      <protection/>
    </xf>
    <xf numFmtId="165" fontId="53" fillId="0" borderId="0" xfId="0" applyNumberFormat="1" applyFont="1" applyBorder="1" applyAlignment="1" applyProtection="1">
      <alignment horizontal="center"/>
      <protection/>
    </xf>
    <xf numFmtId="173" fontId="53" fillId="0" borderId="0" xfId="0" applyNumberFormat="1" applyFont="1" applyBorder="1" applyAlignment="1" applyProtection="1" quotePrefix="1">
      <alignment horizontal="center"/>
      <protection/>
    </xf>
    <xf numFmtId="0" fontId="53" fillId="0" borderId="0" xfId="0" applyFont="1" applyAlignment="1">
      <alignment/>
    </xf>
    <xf numFmtId="2" fontId="53" fillId="0" borderId="0" xfId="0" applyNumberFormat="1" applyFont="1" applyBorder="1" applyAlignment="1" applyProtection="1">
      <alignment horizontal="center"/>
      <protection/>
    </xf>
    <xf numFmtId="168" fontId="53" fillId="0" borderId="0" xfId="0" applyNumberFormat="1" applyFont="1" applyBorder="1" applyAlignment="1" applyProtection="1" quotePrefix="1">
      <alignment horizontal="center"/>
      <protection/>
    </xf>
    <xf numFmtId="4" fontId="22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98" fillId="0" borderId="0" xfId="0" applyNumberFormat="1" applyFont="1" applyBorder="1" applyAlignment="1" applyProtection="1">
      <alignment horizontal="left"/>
      <protection/>
    </xf>
    <xf numFmtId="0" fontId="22" fillId="0" borderId="0" xfId="0" applyFont="1" applyAlignment="1">
      <alignment horizontal="center"/>
    </xf>
    <xf numFmtId="173" fontId="13" fillId="0" borderId="0" xfId="0" applyNumberFormat="1" applyFont="1" applyBorder="1" applyAlignment="1" applyProtection="1">
      <alignment horizontal="left"/>
      <protection/>
    </xf>
    <xf numFmtId="168" fontId="13" fillId="0" borderId="0" xfId="0" applyNumberFormat="1" applyFont="1" applyBorder="1" applyAlignment="1" applyProtection="1">
      <alignment horizontal="left"/>
      <protection/>
    </xf>
    <xf numFmtId="2" fontId="99" fillId="0" borderId="0" xfId="0" applyNumberFormat="1" applyFont="1" applyBorder="1" applyAlignment="1" applyProtection="1">
      <alignment horizontal="center"/>
      <protection/>
    </xf>
    <xf numFmtId="168" fontId="95" fillId="0" borderId="0" xfId="0" applyNumberFormat="1" applyFont="1" applyBorder="1" applyAlignment="1" applyProtection="1" quotePrefix="1">
      <alignment horizontal="center"/>
      <protection/>
    </xf>
    <xf numFmtId="4" fontId="95" fillId="0" borderId="0" xfId="0" applyNumberFormat="1" applyFont="1" applyBorder="1" applyAlignment="1" applyProtection="1">
      <alignment horizontal="center"/>
      <protection/>
    </xf>
    <xf numFmtId="7" fontId="13" fillId="0" borderId="0" xfId="0" applyNumberFormat="1" applyFont="1" applyBorder="1" applyAlignment="1">
      <alignment horizontal="centerContinuous"/>
    </xf>
    <xf numFmtId="1" fontId="22" fillId="0" borderId="0" xfId="0" applyNumberFormat="1" applyFont="1" applyBorder="1" applyAlignment="1" applyProtection="1">
      <alignment horizontal="center"/>
      <protection/>
    </xf>
    <xf numFmtId="183" fontId="22" fillId="0" borderId="0" xfId="0" applyNumberFormat="1" applyFont="1" applyBorder="1" applyAlignment="1" applyProtection="1">
      <alignment horizontal="centerContinuous"/>
      <protection/>
    </xf>
    <xf numFmtId="183" fontId="53" fillId="0" borderId="0" xfId="0" applyNumberFormat="1" applyFont="1" applyBorder="1" applyAlignment="1" applyProtection="1">
      <alignment horizontal="centerContinuous"/>
      <protection/>
    </xf>
    <xf numFmtId="168" fontId="53" fillId="0" borderId="0" xfId="0" applyNumberFormat="1" applyFont="1" applyBorder="1" applyAlignment="1" applyProtection="1" quotePrefix="1">
      <alignment horizontal="left"/>
      <protection/>
    </xf>
    <xf numFmtId="168" fontId="22" fillId="0" borderId="0" xfId="0" applyNumberFormat="1" applyFont="1" applyBorder="1" applyAlignment="1">
      <alignment/>
    </xf>
    <xf numFmtId="0" fontId="22" fillId="0" borderId="0" xfId="0" applyFont="1" applyAlignment="1">
      <alignment horizontal="centerContinuous"/>
    </xf>
    <xf numFmtId="168" fontId="22" fillId="0" borderId="0" xfId="0" applyNumberFormat="1" applyFont="1" applyBorder="1" applyAlignment="1" applyProtection="1">
      <alignment horizontal="centerContinuous"/>
      <protection/>
    </xf>
    <xf numFmtId="7" fontId="22" fillId="0" borderId="0" xfId="0" applyNumberFormat="1" applyFont="1" applyBorder="1" applyAlignment="1">
      <alignment horizontal="right"/>
    </xf>
    <xf numFmtId="168" fontId="6" fillId="0" borderId="0" xfId="0" applyNumberFormat="1" applyFont="1" applyBorder="1" applyAlignment="1" applyProtection="1">
      <alignment horizontal="left"/>
      <protection/>
    </xf>
    <xf numFmtId="10" fontId="22" fillId="0" borderId="0" xfId="0" applyNumberFormat="1" applyFont="1" applyBorder="1" applyAlignment="1" applyProtection="1">
      <alignment horizontal="center"/>
      <protection/>
    </xf>
    <xf numFmtId="7" fontId="22" fillId="0" borderId="0" xfId="0" applyNumberFormat="1" applyFont="1" applyAlignment="1">
      <alignment horizontal="right"/>
    </xf>
    <xf numFmtId="0" fontId="22" fillId="0" borderId="0" xfId="0" applyFont="1" applyAlignment="1" quotePrefix="1">
      <alignment/>
    </xf>
    <xf numFmtId="168" fontId="22" fillId="0" borderId="0" xfId="0" applyNumberFormat="1" applyFont="1" applyBorder="1" applyAlignment="1" applyProtection="1" quotePrefix="1">
      <alignment horizontal="center"/>
      <protection/>
    </xf>
    <xf numFmtId="7" fontId="22" fillId="0" borderId="0" xfId="0" applyNumberFormat="1" applyFont="1" applyBorder="1" applyAlignment="1" applyProtection="1">
      <alignment horizontal="left"/>
      <protection/>
    </xf>
    <xf numFmtId="0" fontId="83" fillId="0" borderId="0" xfId="0" applyFont="1" applyAlignment="1" quotePrefix="1">
      <alignment/>
    </xf>
    <xf numFmtId="0" fontId="30" fillId="0" borderId="0" xfId="0" applyFont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68" fontId="23" fillId="0" borderId="0" xfId="0" applyNumberFormat="1" applyFont="1" applyBorder="1" applyAlignment="1" applyProtection="1">
      <alignment horizontal="left" vertical="center"/>
      <protection/>
    </xf>
    <xf numFmtId="0" fontId="30" fillId="0" borderId="0" xfId="0" applyFont="1" applyAlignment="1" quotePrefix="1">
      <alignment vertical="center"/>
    </xf>
    <xf numFmtId="0" fontId="23" fillId="0" borderId="0" xfId="0" applyFont="1" applyBorder="1" applyAlignment="1" applyProtection="1">
      <alignment horizontal="center" vertical="center"/>
      <protection/>
    </xf>
    <xf numFmtId="165" fontId="23" fillId="0" borderId="0" xfId="0" applyNumberFormat="1" applyFont="1" applyBorder="1" applyAlignment="1" applyProtection="1">
      <alignment horizontal="center" vertical="center"/>
      <protection/>
    </xf>
    <xf numFmtId="4" fontId="25" fillId="0" borderId="17" xfId="0" applyNumberFormat="1" applyFont="1" applyBorder="1" applyAlignment="1" applyProtection="1">
      <alignment horizontal="center" vertical="center"/>
      <protection/>
    </xf>
    <xf numFmtId="7" fontId="100" fillId="0" borderId="18" xfId="0" applyNumberFormat="1" applyFont="1" applyFill="1" applyBorder="1" applyAlignment="1">
      <alignment horizontal="center" vertical="center"/>
    </xf>
    <xf numFmtId="168" fontId="23" fillId="0" borderId="0" xfId="0" applyNumberFormat="1" applyFont="1" applyBorder="1" applyAlignment="1" applyProtection="1">
      <alignment horizontal="center" vertical="center"/>
      <protection/>
    </xf>
    <xf numFmtId="173" fontId="23" fillId="0" borderId="0" xfId="0" applyNumberFormat="1" applyFont="1" applyBorder="1" applyAlignment="1" applyProtection="1" quotePrefix="1">
      <alignment horizontal="center" vertical="center"/>
      <protection/>
    </xf>
    <xf numFmtId="2" fontId="101" fillId="0" borderId="0" xfId="0" applyNumberFormat="1" applyFont="1" applyBorder="1" applyAlignment="1" applyProtection="1">
      <alignment horizontal="center" vertical="center"/>
      <protection/>
    </xf>
    <xf numFmtId="168" fontId="102" fillId="0" borderId="0" xfId="0" applyNumberFormat="1" applyFont="1" applyBorder="1" applyAlignment="1" applyProtection="1" quotePrefix="1">
      <alignment horizontal="center" vertical="center"/>
      <protection/>
    </xf>
    <xf numFmtId="4" fontId="23" fillId="0" borderId="10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/>
      <protection/>
    </xf>
    <xf numFmtId="183" fontId="22" fillId="0" borderId="0" xfId="0" applyNumberFormat="1" applyFont="1" applyBorder="1" applyAlignment="1">
      <alignment/>
    </xf>
    <xf numFmtId="4" fontId="53" fillId="0" borderId="0" xfId="0" applyNumberFormat="1" applyFont="1" applyBorder="1" applyAlignment="1" applyProtection="1">
      <alignment horizontal="center"/>
      <protection/>
    </xf>
    <xf numFmtId="1" fontId="22" fillId="0" borderId="0" xfId="0" applyNumberFormat="1" applyFont="1" applyBorder="1" applyAlignment="1" applyProtection="1">
      <alignment horizontal="centerContinuous"/>
      <protection/>
    </xf>
    <xf numFmtId="0" fontId="54" fillId="0" borderId="0" xfId="0" applyFont="1" applyAlignment="1">
      <alignment horizontal="right" vertical="top"/>
    </xf>
    <xf numFmtId="1" fontId="0" fillId="0" borderId="67" xfId="0" applyNumberFormat="1" applyBorder="1" applyAlignment="1">
      <alignment horizontal="center"/>
    </xf>
    <xf numFmtId="0" fontId="10" fillId="0" borderId="68" xfId="0" applyFont="1" applyBorder="1" applyAlignment="1">
      <alignment horizontal="centerContinuous"/>
    </xf>
    <xf numFmtId="0" fontId="10" fillId="0" borderId="69" xfId="0" applyFont="1" applyBorder="1" applyAlignment="1">
      <alignment horizontal="centerContinuous"/>
    </xf>
    <xf numFmtId="174" fontId="10" fillId="0" borderId="70" xfId="0" applyNumberFormat="1" applyFont="1" applyBorder="1" applyAlignment="1">
      <alignment horizontal="center"/>
    </xf>
    <xf numFmtId="1" fontId="10" fillId="0" borderId="70" xfId="0" applyNumberFormat="1" applyFont="1" applyBorder="1" applyAlignment="1">
      <alignment horizontal="center"/>
    </xf>
    <xf numFmtId="0" fontId="10" fillId="0" borderId="71" xfId="0" applyFont="1" applyBorder="1" applyAlignment="1">
      <alignment horizontal="centerContinuous"/>
    </xf>
    <xf numFmtId="0" fontId="10" fillId="0" borderId="72" xfId="0" applyFont="1" applyBorder="1" applyAlignment="1">
      <alignment horizontal="centerContinuous"/>
    </xf>
    <xf numFmtId="174" fontId="10" fillId="0" borderId="73" xfId="0" applyNumberFormat="1" applyFont="1" applyBorder="1" applyAlignment="1">
      <alignment horizontal="center"/>
    </xf>
    <xf numFmtId="1" fontId="10" fillId="0" borderId="73" xfId="0" applyNumberFormat="1" applyFont="1" applyBorder="1" applyAlignment="1">
      <alignment horizontal="center"/>
    </xf>
    <xf numFmtId="0" fontId="10" fillId="0" borderId="74" xfId="0" applyFont="1" applyBorder="1" applyAlignment="1">
      <alignment horizontal="centerContinuous"/>
    </xf>
    <xf numFmtId="0" fontId="10" fillId="0" borderId="75" xfId="0" applyFont="1" applyBorder="1" applyAlignment="1">
      <alignment horizontal="centerContinuous"/>
    </xf>
    <xf numFmtId="174" fontId="10" fillId="0" borderId="76" xfId="0" applyNumberFormat="1" applyFont="1" applyFill="1" applyBorder="1" applyAlignment="1">
      <alignment horizontal="center"/>
    </xf>
    <xf numFmtId="1" fontId="10" fillId="0" borderId="76" xfId="0" applyNumberFormat="1" applyFont="1" applyFill="1" applyBorder="1" applyAlignment="1">
      <alignment horizontal="center"/>
    </xf>
    <xf numFmtId="183" fontId="13" fillId="0" borderId="18" xfId="0" applyNumberFormat="1" applyFont="1" applyBorder="1" applyAlignment="1" applyProtection="1">
      <alignment horizontal="centerContinuous"/>
      <protection/>
    </xf>
    <xf numFmtId="2" fontId="93" fillId="0" borderId="61" xfId="0" applyNumberFormat="1" applyFont="1" applyFill="1" applyBorder="1" applyAlignment="1" applyProtection="1">
      <alignment horizontal="center"/>
      <protection/>
    </xf>
    <xf numFmtId="2" fontId="80" fillId="0" borderId="61" xfId="0" applyNumberFormat="1" applyFont="1" applyFill="1" applyBorder="1" applyAlignment="1" applyProtection="1">
      <alignment horizontal="center"/>
      <protection/>
    </xf>
    <xf numFmtId="2" fontId="96" fillId="0" borderId="61" xfId="0" applyNumberFormat="1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>
      <alignment horizontal="centerContinuous"/>
    </xf>
    <xf numFmtId="168" fontId="7" fillId="0" borderId="11" xfId="0" applyNumberFormat="1" applyFont="1" applyBorder="1" applyAlignment="1" applyProtection="1">
      <alignment horizontal="centerContinuous"/>
      <protection/>
    </xf>
    <xf numFmtId="168" fontId="7" fillId="0" borderId="12" xfId="0" applyNumberFormat="1" applyFont="1" applyBorder="1" applyAlignment="1" applyProtection="1">
      <alignment horizontal="centerContinuous"/>
      <protection/>
    </xf>
    <xf numFmtId="0" fontId="12" fillId="0" borderId="65" xfId="0" applyFont="1" applyBorder="1" applyAlignment="1" applyProtection="1">
      <alignment horizontal="center"/>
      <protection/>
    </xf>
    <xf numFmtId="164" fontId="9" fillId="0" borderId="11" xfId="0" applyNumberFormat="1" applyFont="1" applyBorder="1" applyAlignment="1" applyProtection="1" quotePrefix="1">
      <alignment horizontal="center"/>
      <protection/>
    </xf>
    <xf numFmtId="22" fontId="7" fillId="0" borderId="31" xfId="0" applyNumberFormat="1" applyFont="1" applyBorder="1" applyAlignment="1">
      <alignment horizontal="center"/>
    </xf>
    <xf numFmtId="22" fontId="7" fillId="0" borderId="11" xfId="0" applyNumberFormat="1" applyFont="1" applyBorder="1" applyAlignment="1" applyProtection="1">
      <alignment horizontal="center"/>
      <protection/>
    </xf>
    <xf numFmtId="164" fontId="45" fillId="35" borderId="11" xfId="0" applyNumberFormat="1" applyFont="1" applyFill="1" applyBorder="1" applyAlignment="1" applyProtection="1">
      <alignment horizontal="center"/>
      <protection/>
    </xf>
    <xf numFmtId="2" fontId="78" fillId="41" borderId="11" xfId="0" applyNumberFormat="1" applyFont="1" applyFill="1" applyBorder="1" applyAlignment="1">
      <alignment horizontal="center"/>
    </xf>
    <xf numFmtId="168" fontId="7" fillId="0" borderId="11" xfId="0" applyNumberFormat="1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12" fillId="0" borderId="77" xfId="0" applyFont="1" applyBorder="1" applyAlignment="1" applyProtection="1">
      <alignment horizontal="center"/>
      <protection/>
    </xf>
    <xf numFmtId="164" fontId="9" fillId="0" borderId="48" xfId="0" applyNumberFormat="1" applyFont="1" applyBorder="1" applyAlignment="1" applyProtection="1" quotePrefix="1">
      <alignment horizontal="center"/>
      <protection/>
    </xf>
    <xf numFmtId="168" fontId="36" fillId="33" borderId="48" xfId="0" applyNumberFormat="1" applyFont="1" applyFill="1" applyBorder="1" applyAlignment="1" applyProtection="1">
      <alignment horizontal="center"/>
      <protection/>
    </xf>
    <xf numFmtId="22" fontId="7" fillId="0" borderId="49" xfId="0" applyNumberFormat="1" applyFont="1" applyBorder="1" applyAlignment="1">
      <alignment horizontal="center"/>
    </xf>
    <xf numFmtId="22" fontId="7" fillId="0" borderId="48" xfId="0" applyNumberFormat="1" applyFont="1" applyBorder="1" applyAlignment="1" applyProtection="1">
      <alignment horizontal="center"/>
      <protection/>
    </xf>
    <xf numFmtId="2" fontId="7" fillId="0" borderId="48" xfId="0" applyNumberFormat="1" applyFont="1" applyFill="1" applyBorder="1" applyAlignment="1" applyProtection="1" quotePrefix="1">
      <alignment horizontal="center"/>
      <protection/>
    </xf>
    <xf numFmtId="164" fontId="7" fillId="0" borderId="48" xfId="0" applyNumberFormat="1" applyFont="1" applyFill="1" applyBorder="1" applyAlignment="1" applyProtection="1" quotePrefix="1">
      <alignment horizontal="center"/>
      <protection/>
    </xf>
    <xf numFmtId="168" fontId="7" fillId="0" borderId="78" xfId="0" applyNumberFormat="1" applyFont="1" applyBorder="1" applyAlignment="1" applyProtection="1">
      <alignment horizontal="center"/>
      <protection/>
    </xf>
    <xf numFmtId="164" fontId="45" fillId="35" borderId="48" xfId="0" applyNumberFormat="1" applyFont="1" applyFill="1" applyBorder="1" applyAlignment="1" applyProtection="1">
      <alignment horizontal="center"/>
      <protection/>
    </xf>
    <xf numFmtId="2" fontId="78" fillId="41" borderId="48" xfId="0" applyNumberFormat="1" applyFont="1" applyFill="1" applyBorder="1" applyAlignment="1">
      <alignment horizontal="center"/>
    </xf>
    <xf numFmtId="168" fontId="65" fillId="37" borderId="49" xfId="0" applyNumberFormat="1" applyFont="1" applyFill="1" applyBorder="1" applyAlignment="1" applyProtection="1" quotePrefix="1">
      <alignment horizontal="center"/>
      <protection/>
    </xf>
    <xf numFmtId="168" fontId="65" fillId="37" borderId="50" xfId="0" applyNumberFormat="1" applyFont="1" applyFill="1" applyBorder="1" applyAlignment="1" applyProtection="1" quotePrefix="1">
      <alignment horizontal="center"/>
      <protection/>
    </xf>
    <xf numFmtId="168" fontId="44" fillId="34" borderId="48" xfId="0" applyNumberFormat="1" applyFont="1" applyFill="1" applyBorder="1" applyAlignment="1" applyProtection="1" quotePrefix="1">
      <alignment horizontal="center"/>
      <protection/>
    </xf>
    <xf numFmtId="168" fontId="7" fillId="0" borderId="48" xfId="0" applyNumberFormat="1" applyFont="1" applyBorder="1" applyAlignment="1">
      <alignment horizontal="center"/>
    </xf>
    <xf numFmtId="4" fontId="29" fillId="0" borderId="48" xfId="0" applyNumberFormat="1" applyFont="1" applyFill="1" applyBorder="1" applyAlignment="1">
      <alignment horizontal="right"/>
    </xf>
    <xf numFmtId="164" fontId="10" fillId="0" borderId="0" xfId="0" applyNumberFormat="1" applyFont="1" applyBorder="1" applyAlignment="1" applyProtection="1" quotePrefix="1">
      <alignment horizontal="center"/>
      <protection/>
    </xf>
    <xf numFmtId="0" fontId="10" fillId="0" borderId="0" xfId="0" applyFont="1" applyFill="1" applyBorder="1" applyAlignment="1">
      <alignment horizontal="centerContinuous"/>
    </xf>
    <xf numFmtId="164" fontId="27" fillId="0" borderId="23" xfId="0" applyNumberFormat="1" applyFont="1" applyBorder="1" applyAlignment="1" applyProtection="1">
      <alignment horizontal="center" vertical="center" wrapText="1"/>
      <protection/>
    </xf>
    <xf numFmtId="168" fontId="84" fillId="49" borderId="23" xfId="0" applyNumberFormat="1" applyFont="1" applyFill="1" applyBorder="1" applyAlignment="1" applyProtection="1">
      <alignment horizontal="center" vertical="center"/>
      <protection/>
    </xf>
    <xf numFmtId="0" fontId="59" fillId="35" borderId="23" xfId="0" applyFont="1" applyFill="1" applyBorder="1" applyAlignment="1" applyProtection="1">
      <alignment horizontal="center" vertical="center"/>
      <protection/>
    </xf>
    <xf numFmtId="0" fontId="63" fillId="37" borderId="23" xfId="0" applyFont="1" applyFill="1" applyBorder="1" applyAlignment="1">
      <alignment horizontal="center" vertical="center" wrapText="1"/>
    </xf>
    <xf numFmtId="0" fontId="49" fillId="50" borderId="17" xfId="0" applyFont="1" applyFill="1" applyBorder="1" applyAlignment="1">
      <alignment horizontal="centerContinuous" vertical="center" wrapText="1"/>
    </xf>
    <xf numFmtId="0" fontId="103" fillId="50" borderId="24" xfId="0" applyFont="1" applyFill="1" applyBorder="1" applyAlignment="1">
      <alignment horizontal="centerContinuous"/>
    </xf>
    <xf numFmtId="0" fontId="49" fillId="50" borderId="18" xfId="0" applyFont="1" applyFill="1" applyBorder="1" applyAlignment="1">
      <alignment horizontal="centerContinuous" vertical="center"/>
    </xf>
    <xf numFmtId="7" fontId="10" fillId="0" borderId="26" xfId="0" applyNumberFormat="1" applyFont="1" applyBorder="1" applyAlignment="1">
      <alignment/>
    </xf>
    <xf numFmtId="0" fontId="85" fillId="49" borderId="11" xfId="0" applyFont="1" applyFill="1" applyBorder="1" applyAlignment="1">
      <alignment/>
    </xf>
    <xf numFmtId="0" fontId="60" fillId="35" borderId="11" xfId="0" applyFont="1" applyFill="1" applyBorder="1" applyAlignment="1">
      <alignment/>
    </xf>
    <xf numFmtId="0" fontId="104" fillId="34" borderId="11" xfId="0" applyFont="1" applyFill="1" applyBorder="1" applyAlignment="1">
      <alignment/>
    </xf>
    <xf numFmtId="0" fontId="64" fillId="37" borderId="13" xfId="0" applyFont="1" applyFill="1" applyBorder="1" applyAlignment="1">
      <alignment/>
    </xf>
    <xf numFmtId="168" fontId="9" fillId="33" borderId="31" xfId="0" applyNumberFormat="1" applyFont="1" applyFill="1" applyBorder="1" applyAlignment="1" applyProtection="1" quotePrefix="1">
      <alignment horizontal="center"/>
      <protection/>
    </xf>
    <xf numFmtId="168" fontId="9" fillId="33" borderId="33" xfId="0" applyNumberFormat="1" applyFont="1" applyFill="1" applyBorder="1" applyAlignment="1" applyProtection="1" quotePrefix="1">
      <alignment horizontal="center"/>
      <protection/>
    </xf>
    <xf numFmtId="4" fontId="9" fillId="33" borderId="13" xfId="0" applyNumberFormat="1" applyFont="1" applyFill="1" applyBorder="1" applyAlignment="1" applyProtection="1">
      <alignment horizontal="center"/>
      <protection/>
    </xf>
    <xf numFmtId="168" fontId="105" fillId="50" borderId="31" xfId="0" applyNumberFormat="1" applyFont="1" applyFill="1" applyBorder="1" applyAlignment="1" applyProtection="1" quotePrefix="1">
      <alignment horizontal="center"/>
      <protection/>
    </xf>
    <xf numFmtId="168" fontId="105" fillId="50" borderId="33" xfId="0" applyNumberFormat="1" applyFont="1" applyFill="1" applyBorder="1" applyAlignment="1" applyProtection="1" quotePrefix="1">
      <alignment horizontal="center"/>
      <protection/>
    </xf>
    <xf numFmtId="4" fontId="105" fillId="50" borderId="13" xfId="0" applyNumberFormat="1" applyFont="1" applyFill="1" applyBorder="1" applyAlignment="1" applyProtection="1">
      <alignment horizontal="center"/>
      <protection/>
    </xf>
    <xf numFmtId="0" fontId="85" fillId="49" borderId="11" xfId="0" applyFont="1" applyFill="1" applyBorder="1" applyAlignment="1" applyProtection="1">
      <alignment horizontal="center"/>
      <protection/>
    </xf>
    <xf numFmtId="174" fontId="60" fillId="35" borderId="11" xfId="0" applyNumberFormat="1" applyFont="1" applyFill="1" applyBorder="1" applyAlignment="1" applyProtection="1">
      <alignment horizontal="center"/>
      <protection/>
    </xf>
    <xf numFmtId="22" fontId="7" fillId="0" borderId="13" xfId="0" applyNumberFormat="1" applyFont="1" applyFill="1" applyBorder="1" applyAlignment="1" applyProtection="1">
      <alignment horizontal="center"/>
      <protection locked="0"/>
    </xf>
    <xf numFmtId="22" fontId="7" fillId="0" borderId="32" xfId="0" applyNumberFormat="1" applyFont="1" applyFill="1" applyBorder="1" applyAlignment="1" applyProtection="1">
      <alignment horizontal="center"/>
      <protection locked="0"/>
    </xf>
    <xf numFmtId="2" fontId="47" fillId="34" borderId="11" xfId="0" applyNumberFormat="1" applyFont="1" applyFill="1" applyBorder="1" applyAlignment="1" applyProtection="1">
      <alignment horizontal="center"/>
      <protection locked="0"/>
    </xf>
    <xf numFmtId="2" fontId="65" fillId="37" borderId="13" xfId="0" applyNumberFormat="1" applyFont="1" applyFill="1" applyBorder="1" applyAlignment="1" applyProtection="1">
      <alignment horizontal="center"/>
      <protection locked="0"/>
    </xf>
    <xf numFmtId="168" fontId="50" fillId="50" borderId="31" xfId="0" applyNumberFormat="1" applyFont="1" applyFill="1" applyBorder="1" applyAlignment="1" applyProtection="1" quotePrefix="1">
      <alignment horizontal="center"/>
      <protection locked="0"/>
    </xf>
    <xf numFmtId="168" fontId="50" fillId="50" borderId="33" xfId="0" applyNumberFormat="1" applyFont="1" applyFill="1" applyBorder="1" applyAlignment="1" applyProtection="1" quotePrefix="1">
      <alignment horizontal="center"/>
      <protection locked="0"/>
    </xf>
    <xf numFmtId="4" fontId="50" fillId="50" borderId="13" xfId="0" applyNumberFormat="1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 horizontal="center"/>
    </xf>
    <xf numFmtId="0" fontId="7" fillId="0" borderId="11" xfId="58" applyFont="1" applyFill="1" applyBorder="1" applyAlignment="1" applyProtection="1">
      <alignment horizontal="center"/>
      <protection locked="0"/>
    </xf>
    <xf numFmtId="164" fontId="7" fillId="0" borderId="11" xfId="58" applyNumberFormat="1" applyFont="1" applyFill="1" applyBorder="1" applyAlignment="1" applyProtection="1">
      <alignment horizontal="center"/>
      <protection locked="0"/>
    </xf>
    <xf numFmtId="22" fontId="7" fillId="0" borderId="13" xfId="58" applyNumberFormat="1" applyFont="1" applyFill="1" applyBorder="1" applyAlignment="1" applyProtection="1">
      <alignment horizontal="center"/>
      <protection locked="0"/>
    </xf>
    <xf numFmtId="22" fontId="7" fillId="0" borderId="30" xfId="58" applyNumberFormat="1" applyFont="1" applyFill="1" applyBorder="1" applyAlignment="1" applyProtection="1">
      <alignment horizontal="center"/>
      <protection locked="0"/>
    </xf>
    <xf numFmtId="0" fontId="85" fillId="49" borderId="12" xfId="0" applyFont="1" applyFill="1" applyBorder="1" applyAlignment="1" applyProtection="1">
      <alignment horizontal="center"/>
      <protection/>
    </xf>
    <xf numFmtId="174" fontId="60" fillId="35" borderId="12" xfId="0" applyNumberFormat="1" applyFont="1" applyFill="1" applyBorder="1" applyAlignment="1" applyProtection="1">
      <alignment horizontal="center"/>
      <protection/>
    </xf>
    <xf numFmtId="2" fontId="104" fillId="34" borderId="12" xfId="0" applyNumberFormat="1" applyFont="1" applyFill="1" applyBorder="1" applyAlignment="1" applyProtection="1">
      <alignment horizontal="center"/>
      <protection locked="0"/>
    </xf>
    <xf numFmtId="2" fontId="65" fillId="37" borderId="12" xfId="0" applyNumberFormat="1" applyFont="1" applyFill="1" applyBorder="1" applyAlignment="1" applyProtection="1">
      <alignment horizontal="center"/>
      <protection locked="0"/>
    </xf>
    <xf numFmtId="168" fontId="50" fillId="50" borderId="34" xfId="0" applyNumberFormat="1" applyFont="1" applyFill="1" applyBorder="1" applyAlignment="1" applyProtection="1" quotePrefix="1">
      <alignment horizontal="center"/>
      <protection locked="0"/>
    </xf>
    <xf numFmtId="168" fontId="50" fillId="50" borderId="35" xfId="0" applyNumberFormat="1" applyFont="1" applyFill="1" applyBorder="1" applyAlignment="1" applyProtection="1" quotePrefix="1">
      <alignment horizontal="center"/>
      <protection locked="0"/>
    </xf>
    <xf numFmtId="4" fontId="50" fillId="50" borderId="36" xfId="0" applyNumberFormat="1" applyFont="1" applyFill="1" applyBorder="1" applyAlignment="1" applyProtection="1">
      <alignment horizontal="center"/>
      <protection locked="0"/>
    </xf>
    <xf numFmtId="4" fontId="9" fillId="0" borderId="12" xfId="0" applyNumberFormat="1" applyFont="1" applyBorder="1" applyAlignment="1" applyProtection="1">
      <alignment horizontal="center"/>
      <protection locked="0"/>
    </xf>
    <xf numFmtId="2" fontId="47" fillId="34" borderId="23" xfId="0" applyNumberFormat="1" applyFont="1" applyFill="1" applyBorder="1" applyAlignment="1" applyProtection="1">
      <alignment horizontal="center"/>
      <protection/>
    </xf>
    <xf numFmtId="2" fontId="65" fillId="37" borderId="23" xfId="0" applyNumberFormat="1" applyFont="1" applyFill="1" applyBorder="1" applyAlignment="1" applyProtection="1">
      <alignment horizontal="center"/>
      <protection/>
    </xf>
    <xf numFmtId="2" fontId="37" fillId="33" borderId="23" xfId="0" applyNumberFormat="1" applyFont="1" applyFill="1" applyBorder="1" applyAlignment="1" applyProtection="1">
      <alignment horizontal="center"/>
      <protection/>
    </xf>
    <xf numFmtId="2" fontId="50" fillId="50" borderId="23" xfId="0" applyNumberFormat="1" applyFont="1" applyFill="1" applyBorder="1" applyAlignment="1" applyProtection="1">
      <alignment horizontal="center"/>
      <protection/>
    </xf>
    <xf numFmtId="0" fontId="22" fillId="0" borderId="22" xfId="0" applyFont="1" applyBorder="1" applyAlignment="1">
      <alignment/>
    </xf>
    <xf numFmtId="182" fontId="22" fillId="0" borderId="14" xfId="0" applyNumberFormat="1" applyFont="1" applyBorder="1" applyAlignment="1">
      <alignment/>
    </xf>
    <xf numFmtId="182" fontId="24" fillId="0" borderId="0" xfId="0" applyNumberFormat="1" applyFont="1" applyBorder="1" applyAlignment="1">
      <alignment horizontal="centerContinuous"/>
    </xf>
    <xf numFmtId="182" fontId="7" fillId="0" borderId="0" xfId="0" applyNumberFormat="1" applyFont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85" fillId="0" borderId="26" xfId="0" applyFont="1" applyFill="1" applyBorder="1" applyAlignment="1">
      <alignment/>
    </xf>
    <xf numFmtId="0" fontId="60" fillId="0" borderId="26" xfId="0" applyFont="1" applyFill="1" applyBorder="1" applyAlignment="1">
      <alignment/>
    </xf>
    <xf numFmtId="0" fontId="104" fillId="0" borderId="26" xfId="0" applyFont="1" applyFill="1" applyBorder="1" applyAlignment="1">
      <alignment/>
    </xf>
    <xf numFmtId="0" fontId="64" fillId="0" borderId="26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79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105" fillId="0" borderId="41" xfId="0" applyFont="1" applyFill="1" applyBorder="1" applyAlignment="1">
      <alignment/>
    </xf>
    <xf numFmtId="0" fontId="105" fillId="0" borderId="79" xfId="0" applyFont="1" applyFill="1" applyBorder="1" applyAlignment="1">
      <alignment/>
    </xf>
    <xf numFmtId="0" fontId="105" fillId="0" borderId="42" xfId="0" applyFont="1" applyFill="1" applyBorder="1" applyAlignment="1">
      <alignment/>
    </xf>
    <xf numFmtId="0" fontId="69" fillId="0" borderId="26" xfId="0" applyFont="1" applyFill="1" applyBorder="1" applyAlignment="1">
      <alignment/>
    </xf>
    <xf numFmtId="0" fontId="70" fillId="0" borderId="26" xfId="0" applyFont="1" applyFill="1" applyBorder="1" applyAlignment="1">
      <alignment/>
    </xf>
    <xf numFmtId="22" fontId="7" fillId="0" borderId="26" xfId="0" applyNumberFormat="1" applyFont="1" applyFill="1" applyBorder="1" applyAlignment="1">
      <alignment/>
    </xf>
    <xf numFmtId="22" fontId="7" fillId="0" borderId="12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 quotePrefix="1">
      <alignment/>
    </xf>
    <xf numFmtId="170" fontId="7" fillId="0" borderId="12" xfId="0" applyNumberFormat="1" applyFont="1" applyBorder="1" applyAlignment="1" applyProtection="1">
      <alignment horizontal="center"/>
      <protection locked="0"/>
    </xf>
    <xf numFmtId="174" fontId="4" fillId="0" borderId="17" xfId="0" applyNumberFormat="1" applyFont="1" applyBorder="1" applyAlignment="1">
      <alignment horizontal="centerContinuous"/>
    </xf>
    <xf numFmtId="170" fontId="7" fillId="0" borderId="26" xfId="0" applyNumberFormat="1" applyFont="1" applyFill="1" applyBorder="1" applyAlignment="1">
      <alignment/>
    </xf>
    <xf numFmtId="170" fontId="7" fillId="0" borderId="11" xfId="0" applyNumberFormat="1" applyFont="1" applyBorder="1" applyAlignment="1">
      <alignment/>
    </xf>
    <xf numFmtId="170" fontId="7" fillId="0" borderId="11" xfId="0" applyNumberFormat="1" applyFont="1" applyFill="1" applyBorder="1" applyAlignment="1" applyProtection="1">
      <alignment horizontal="center"/>
      <protection locked="0"/>
    </xf>
    <xf numFmtId="170" fontId="7" fillId="0" borderId="11" xfId="58" applyNumberFormat="1" applyFont="1" applyFill="1" applyBorder="1" applyAlignment="1" applyProtection="1">
      <alignment horizontal="center"/>
      <protection locked="0"/>
    </xf>
    <xf numFmtId="170" fontId="7" fillId="0" borderId="11" xfId="0" applyNumberFormat="1" applyFont="1" applyBorder="1" applyAlignment="1" applyProtection="1">
      <alignment horizontal="center"/>
      <protection locked="0"/>
    </xf>
    <xf numFmtId="0" fontId="7" fillId="0" borderId="11" xfId="53" applyFont="1" applyBorder="1" applyAlignment="1" applyProtection="1">
      <alignment horizontal="center"/>
      <protection locked="0"/>
    </xf>
    <xf numFmtId="164" fontId="0" fillId="0" borderId="23" xfId="0" applyNumberFormat="1" applyFont="1" applyFill="1" applyBorder="1" applyAlignment="1" applyProtection="1">
      <alignment horizontal="center"/>
      <protection/>
    </xf>
    <xf numFmtId="164" fontId="0" fillId="0" borderId="23" xfId="0" applyNumberFormat="1" applyFont="1" applyBorder="1" applyAlignment="1" applyProtection="1">
      <alignment horizontal="center"/>
      <protection/>
    </xf>
    <xf numFmtId="0" fontId="7" fillId="38" borderId="28" xfId="0" applyFont="1" applyFill="1" applyBorder="1" applyAlignment="1">
      <alignment horizontal="center"/>
    </xf>
    <xf numFmtId="0" fontId="106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108" fillId="0" borderId="0" xfId="0" applyFont="1" applyAlignment="1">
      <alignment/>
    </xf>
    <xf numFmtId="0" fontId="20" fillId="0" borderId="0" xfId="0" applyFont="1" applyBorder="1" applyAlignment="1">
      <alignment vertical="top"/>
    </xf>
    <xf numFmtId="0" fontId="20" fillId="0" borderId="0" xfId="0" applyFont="1" applyAlignment="1">
      <alignment vertical="top"/>
    </xf>
    <xf numFmtId="0" fontId="20" fillId="0" borderId="16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20" fillId="0" borderId="0" xfId="0" applyFont="1" applyFill="1" applyAlignment="1">
      <alignment vertical="center"/>
    </xf>
    <xf numFmtId="0" fontId="20" fillId="0" borderId="16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top"/>
    </xf>
    <xf numFmtId="0" fontId="51" fillId="0" borderId="0" xfId="0" applyFont="1" applyFill="1" applyAlignment="1">
      <alignment vertical="top"/>
    </xf>
    <xf numFmtId="0" fontId="20" fillId="0" borderId="0" xfId="0" applyFont="1" applyFill="1" applyAlignment="1">
      <alignment vertical="top"/>
    </xf>
    <xf numFmtId="0" fontId="20" fillId="0" borderId="0" xfId="0" applyFont="1" applyFill="1" applyBorder="1" applyAlignment="1" applyProtection="1">
      <alignment vertical="top"/>
      <protection/>
    </xf>
    <xf numFmtId="0" fontId="20" fillId="0" borderId="10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 applyProtection="1">
      <alignment vertical="top"/>
      <protection/>
    </xf>
    <xf numFmtId="0" fontId="26" fillId="0" borderId="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4" fontId="29" fillId="0" borderId="12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7" fillId="0" borderId="48" xfId="0" applyFont="1" applyFill="1" applyBorder="1" applyAlignment="1" applyProtection="1">
      <alignment horizontal="center"/>
      <protection locked="0"/>
    </xf>
    <xf numFmtId="173" fontId="7" fillId="0" borderId="11" xfId="0" applyNumberFormat="1" applyFont="1" applyBorder="1" applyAlignment="1" applyProtection="1" quotePrefix="1">
      <alignment horizontal="center"/>
      <protection/>
    </xf>
    <xf numFmtId="4" fontId="9" fillId="0" borderId="11" xfId="0" applyNumberFormat="1" applyFont="1" applyBorder="1" applyAlignment="1" applyProtection="1">
      <alignment horizontal="center"/>
      <protection/>
    </xf>
    <xf numFmtId="0" fontId="7" fillId="0" borderId="54" xfId="0" applyFont="1" applyFill="1" applyBorder="1" applyAlignment="1" applyProtection="1">
      <alignment horizontal="center"/>
      <protection locked="0"/>
    </xf>
    <xf numFmtId="2" fontId="77" fillId="37" borderId="11" xfId="0" applyNumberFormat="1" applyFont="1" applyFill="1" applyBorder="1" applyAlignment="1" applyProtection="1">
      <alignment horizontal="center"/>
      <protection/>
    </xf>
    <xf numFmtId="2" fontId="78" fillId="41" borderId="11" xfId="0" applyNumberFormat="1" applyFont="1" applyFill="1" applyBorder="1" applyAlignment="1" applyProtection="1">
      <alignment horizontal="center"/>
      <protection/>
    </xf>
    <xf numFmtId="164" fontId="36" fillId="33" borderId="59" xfId="0" applyNumberFormat="1" applyFont="1" applyFill="1" applyBorder="1" applyAlignment="1" applyProtection="1">
      <alignment horizontal="center"/>
      <protection/>
    </xf>
    <xf numFmtId="2" fontId="82" fillId="39" borderId="11" xfId="0" applyNumberFormat="1" applyFont="1" applyFill="1" applyBorder="1" applyAlignment="1" applyProtection="1">
      <alignment horizontal="center"/>
      <protection/>
    </xf>
    <xf numFmtId="0" fontId="12" fillId="0" borderId="63" xfId="0" applyFont="1" applyBorder="1" applyAlignment="1" applyProtection="1">
      <alignment horizontal="center"/>
      <protection/>
    </xf>
    <xf numFmtId="0" fontId="109" fillId="0" borderId="72" xfId="0" applyFont="1" applyBorder="1" applyAlignment="1">
      <alignment/>
    </xf>
    <xf numFmtId="0" fontId="109" fillId="0" borderId="72" xfId="0" applyFont="1" applyFill="1" applyBorder="1" applyAlignment="1">
      <alignment/>
    </xf>
    <xf numFmtId="0" fontId="110" fillId="0" borderId="0" xfId="0" applyFont="1" applyFill="1" applyAlignment="1">
      <alignment/>
    </xf>
    <xf numFmtId="0" fontId="109" fillId="0" borderId="80" xfId="0" applyFont="1" applyBorder="1" applyAlignment="1">
      <alignment/>
    </xf>
    <xf numFmtId="0" fontId="109" fillId="0" borderId="80" xfId="0" applyFont="1" applyFill="1" applyBorder="1" applyAlignment="1">
      <alignment/>
    </xf>
    <xf numFmtId="0" fontId="111" fillId="0" borderId="72" xfId="0" applyFont="1" applyBorder="1" applyAlignment="1">
      <alignment/>
    </xf>
    <xf numFmtId="0" fontId="111" fillId="0" borderId="80" xfId="0" applyFont="1" applyBorder="1" applyAlignment="1">
      <alignment/>
    </xf>
    <xf numFmtId="0" fontId="111" fillId="0" borderId="72" xfId="0" applyFont="1" applyFill="1" applyBorder="1" applyAlignment="1">
      <alignment/>
    </xf>
    <xf numFmtId="0" fontId="111" fillId="0" borderId="80" xfId="0" applyFont="1" applyFill="1" applyBorder="1" applyAlignment="1">
      <alignment/>
    </xf>
    <xf numFmtId="0" fontId="112" fillId="0" borderId="72" xfId="0" applyFont="1" applyFill="1" applyBorder="1" applyAlignment="1">
      <alignment/>
    </xf>
    <xf numFmtId="0" fontId="112" fillId="0" borderId="80" xfId="0" applyFont="1" applyFill="1" applyBorder="1" applyAlignment="1">
      <alignment/>
    </xf>
    <xf numFmtId="0" fontId="112" fillId="51" borderId="72" xfId="0" applyFont="1" applyFill="1" applyBorder="1" applyAlignment="1">
      <alignment/>
    </xf>
    <xf numFmtId="0" fontId="110" fillId="33" borderId="72" xfId="0" applyFont="1" applyFill="1" applyBorder="1" applyAlignment="1">
      <alignment/>
    </xf>
    <xf numFmtId="0" fontId="110" fillId="0" borderId="0" xfId="0" applyFont="1" applyAlignment="1">
      <alignment/>
    </xf>
    <xf numFmtId="0" fontId="110" fillId="0" borderId="72" xfId="0" applyFont="1" applyBorder="1" applyAlignment="1">
      <alignment/>
    </xf>
    <xf numFmtId="0" fontId="110" fillId="0" borderId="72" xfId="0" applyFont="1" applyBorder="1" applyAlignment="1" quotePrefix="1">
      <alignment/>
    </xf>
    <xf numFmtId="0" fontId="113" fillId="0" borderId="0" xfId="54" applyFont="1" applyFill="1" applyAlignment="1">
      <alignment/>
      <protection/>
    </xf>
    <xf numFmtId="0" fontId="110" fillId="33" borderId="72" xfId="0" applyFont="1" applyFill="1" applyBorder="1" applyAlignment="1">
      <alignment horizontal="center"/>
    </xf>
    <xf numFmtId="0" fontId="110" fillId="52" borderId="0" xfId="0" applyFont="1" applyFill="1" applyAlignment="1">
      <alignment/>
    </xf>
    <xf numFmtId="0" fontId="110" fillId="52" borderId="0" xfId="0" applyNumberFormat="1" applyFont="1" applyFill="1" applyAlignment="1">
      <alignment/>
    </xf>
    <xf numFmtId="0" fontId="110" fillId="0" borderId="72" xfId="0" applyFont="1" applyFill="1" applyBorder="1" applyAlignment="1">
      <alignment horizontal="center"/>
    </xf>
    <xf numFmtId="0" fontId="110" fillId="52" borderId="0" xfId="54" applyFont="1" applyFill="1" applyAlignment="1">
      <alignment/>
      <protection/>
    </xf>
    <xf numFmtId="0" fontId="0" fillId="0" borderId="0" xfId="0" applyAlignment="1" quotePrefix="1">
      <alignment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182" fontId="25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7" fontId="25" fillId="0" borderId="0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182" fontId="23" fillId="0" borderId="0" xfId="0" applyNumberFormat="1" applyFont="1" applyBorder="1" applyAlignment="1">
      <alignment/>
    </xf>
    <xf numFmtId="182" fontId="2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83" fillId="0" borderId="0" xfId="0" applyFont="1" applyBorder="1" applyAlignment="1">
      <alignment/>
    </xf>
    <xf numFmtId="0" fontId="7" fillId="0" borderId="48" xfId="0" applyFont="1" applyFill="1" applyBorder="1" applyAlignment="1">
      <alignment horizontal="center"/>
    </xf>
    <xf numFmtId="22" fontId="7" fillId="0" borderId="34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Fill="1" applyBorder="1" applyAlignment="1" applyProtection="1" quotePrefix="1">
      <alignment horizontal="center"/>
      <protection/>
    </xf>
    <xf numFmtId="0" fontId="109" fillId="0" borderId="0" xfId="0" applyFont="1" applyFill="1" applyAlignment="1">
      <alignment/>
    </xf>
    <xf numFmtId="164" fontId="7" fillId="0" borderId="78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 locked="0"/>
    </xf>
    <xf numFmtId="164" fontId="9" fillId="0" borderId="11" xfId="0" applyNumberFormat="1" applyFont="1" applyBorder="1" applyAlignment="1" applyProtection="1">
      <alignment horizontal="center"/>
      <protection locked="0"/>
    </xf>
    <xf numFmtId="173" fontId="7" fillId="0" borderId="13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7" fillId="0" borderId="48" xfId="53" applyFont="1" applyBorder="1" applyAlignment="1" applyProtection="1">
      <alignment horizontal="center"/>
      <protection locked="0"/>
    </xf>
    <xf numFmtId="165" fontId="7" fillId="0" borderId="48" xfId="0" applyNumberFormat="1" applyFont="1" applyBorder="1" applyAlignment="1" applyProtection="1">
      <alignment horizontal="center"/>
      <protection/>
    </xf>
    <xf numFmtId="0" fontId="92" fillId="33" borderId="48" xfId="0" applyFont="1" applyFill="1" applyBorder="1" applyAlignment="1" applyProtection="1">
      <alignment horizontal="center"/>
      <protection/>
    </xf>
    <xf numFmtId="168" fontId="93" fillId="35" borderId="48" xfId="0" applyNumberFormat="1" applyFont="1" applyFill="1" applyBorder="1" applyAlignment="1" applyProtection="1">
      <alignment horizontal="center"/>
      <protection/>
    </xf>
    <xf numFmtId="22" fontId="7" fillId="0" borderId="48" xfId="0" applyNumberFormat="1" applyFont="1" applyBorder="1" applyAlignment="1">
      <alignment horizontal="center"/>
    </xf>
    <xf numFmtId="22" fontId="7" fillId="0" borderId="66" xfId="0" applyNumberFormat="1" applyFont="1" applyBorder="1" applyAlignment="1">
      <alignment horizontal="center"/>
    </xf>
    <xf numFmtId="4" fontId="7" fillId="0" borderId="48" xfId="0" applyNumberFormat="1" applyFont="1" applyFill="1" applyBorder="1" applyAlignment="1" applyProtection="1" quotePrefix="1">
      <alignment horizontal="center"/>
      <protection/>
    </xf>
    <xf numFmtId="173" fontId="7" fillId="0" borderId="78" xfId="0" applyNumberFormat="1" applyFont="1" applyBorder="1" applyAlignment="1" applyProtection="1" quotePrefix="1">
      <alignment horizontal="center"/>
      <protection/>
    </xf>
    <xf numFmtId="168" fontId="7" fillId="0" borderId="48" xfId="0" applyNumberFormat="1" applyFont="1" applyBorder="1" applyAlignment="1" applyProtection="1">
      <alignment horizontal="center"/>
      <protection/>
    </xf>
    <xf numFmtId="7" fontId="10" fillId="0" borderId="0" xfId="0" applyNumberFormat="1" applyFont="1" applyBorder="1" applyAlignment="1" applyProtection="1">
      <alignment horizontal="right"/>
      <protection/>
    </xf>
    <xf numFmtId="0" fontId="0" fillId="33" borderId="17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5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56" xfId="0" applyFill="1" applyBorder="1" applyAlignment="1">
      <alignment/>
    </xf>
    <xf numFmtId="0" fontId="12" fillId="0" borderId="13" xfId="0" applyFont="1" applyBorder="1" applyAlignment="1" applyProtection="1">
      <alignment horizontal="center"/>
      <protection/>
    </xf>
    <xf numFmtId="168" fontId="36" fillId="33" borderId="30" xfId="0" applyNumberFormat="1" applyFont="1" applyFill="1" applyBorder="1" applyAlignment="1" applyProtection="1">
      <alignment horizontal="center"/>
      <protection/>
    </xf>
    <xf numFmtId="164" fontId="9" fillId="0" borderId="27" xfId="0" applyNumberFormat="1" applyFont="1" applyBorder="1" applyAlignment="1" applyProtection="1" quotePrefix="1">
      <alignment horizontal="center"/>
      <protection locked="0"/>
    </xf>
    <xf numFmtId="164" fontId="9" fillId="0" borderId="29" xfId="0" applyNumberFormat="1" applyFont="1" applyBorder="1" applyAlignment="1" applyProtection="1" quotePrefix="1">
      <alignment horizontal="center"/>
      <protection locked="0"/>
    </xf>
    <xf numFmtId="168" fontId="36" fillId="33" borderId="27" xfId="0" applyNumberFormat="1" applyFont="1" applyFill="1" applyBorder="1" applyAlignment="1" applyProtection="1">
      <alignment horizontal="center"/>
      <protection/>
    </xf>
    <xf numFmtId="164" fontId="45" fillId="35" borderId="12" xfId="0" applyNumberFormat="1" applyFont="1" applyFill="1" applyBorder="1" applyAlignment="1" applyProtection="1">
      <alignment horizontal="center"/>
      <protection/>
    </xf>
    <xf numFmtId="2" fontId="78" fillId="41" borderId="12" xfId="0" applyNumberFormat="1" applyFont="1" applyFill="1" applyBorder="1" applyAlignment="1" applyProtection="1">
      <alignment horizontal="center"/>
      <protection/>
    </xf>
    <xf numFmtId="168" fontId="65" fillId="37" borderId="34" xfId="0" applyNumberFormat="1" applyFont="1" applyFill="1" applyBorder="1" applyAlignment="1" applyProtection="1" quotePrefix="1">
      <alignment horizontal="center"/>
      <protection/>
    </xf>
    <xf numFmtId="168" fontId="65" fillId="37" borderId="36" xfId="0" applyNumberFormat="1" applyFont="1" applyFill="1" applyBorder="1" applyAlignment="1" applyProtection="1" quotePrefix="1">
      <alignment horizontal="center"/>
      <protection/>
    </xf>
    <xf numFmtId="168" fontId="44" fillId="34" borderId="12" xfId="0" applyNumberFormat="1" applyFont="1" applyFill="1" applyBorder="1" applyAlignment="1" applyProtection="1" quotePrefix="1">
      <alignment horizontal="center"/>
      <protection/>
    </xf>
    <xf numFmtId="0" fontId="0" fillId="33" borderId="27" xfId="0" applyFill="1" applyBorder="1" applyAlignment="1">
      <alignment/>
    </xf>
    <xf numFmtId="0" fontId="0" fillId="33" borderId="61" xfId="0" applyFill="1" applyBorder="1" applyAlignment="1">
      <alignment/>
    </xf>
    <xf numFmtId="0" fontId="0" fillId="33" borderId="29" xfId="0" applyFill="1" applyBorder="1" applyAlignment="1">
      <alignment/>
    </xf>
    <xf numFmtId="173" fontId="13" fillId="0" borderId="0" xfId="0" applyNumberFormat="1" applyFont="1" applyBorder="1" applyAlignment="1" applyProtection="1">
      <alignment/>
      <protection/>
    </xf>
    <xf numFmtId="7" fontId="13" fillId="0" borderId="18" xfId="0" applyNumberFormat="1" applyFont="1" applyBorder="1" applyAlignment="1">
      <alignment horizontal="center"/>
    </xf>
    <xf numFmtId="0" fontId="114" fillId="0" borderId="17" xfId="0" applyFont="1" applyBorder="1" applyAlignment="1">
      <alignment horizontal="center"/>
    </xf>
    <xf numFmtId="168" fontId="107" fillId="0" borderId="0" xfId="0" applyNumberFormat="1" applyFont="1" applyBorder="1" applyAlignment="1" applyProtection="1">
      <alignment vertical="center"/>
      <protection/>
    </xf>
    <xf numFmtId="168" fontId="25" fillId="0" borderId="0" xfId="0" applyNumberFormat="1" applyFont="1" applyBorder="1" applyAlignment="1" applyProtection="1">
      <alignment vertical="center"/>
      <protection/>
    </xf>
    <xf numFmtId="7" fontId="10" fillId="0" borderId="0" xfId="0" applyNumberFormat="1" applyFont="1" applyFill="1" applyBorder="1" applyAlignment="1">
      <alignment horizontal="center"/>
    </xf>
    <xf numFmtId="0" fontId="116" fillId="0" borderId="0" xfId="0" applyFont="1" applyAlignment="1">
      <alignment/>
    </xf>
    <xf numFmtId="0" fontId="116" fillId="0" borderId="0" xfId="0" applyFont="1" applyAlignment="1">
      <alignment horizontal="centerContinuous"/>
    </xf>
    <xf numFmtId="0" fontId="117" fillId="0" borderId="0" xfId="0" applyFont="1" applyAlignment="1">
      <alignment horizontal="centerContinuous"/>
    </xf>
    <xf numFmtId="0" fontId="116" fillId="0" borderId="0" xfId="0" applyFont="1" applyAlignment="1">
      <alignment/>
    </xf>
    <xf numFmtId="0" fontId="117" fillId="0" borderId="0" xfId="0" applyFont="1" applyAlignment="1">
      <alignment/>
    </xf>
    <xf numFmtId="0" fontId="117" fillId="0" borderId="0" xfId="0" applyFont="1" applyAlignment="1">
      <alignment/>
    </xf>
    <xf numFmtId="0" fontId="22" fillId="0" borderId="22" xfId="0" applyFont="1" applyBorder="1" applyAlignment="1">
      <alignment horizontal="centerContinuous"/>
    </xf>
    <xf numFmtId="0" fontId="22" fillId="0" borderId="14" xfId="0" applyFont="1" applyBorder="1" applyAlignment="1">
      <alignment horizontal="centerContinuous"/>
    </xf>
    <xf numFmtId="0" fontId="22" fillId="0" borderId="15" xfId="0" applyFont="1" applyBorder="1" applyAlignment="1">
      <alignment horizontal="centerContinuous"/>
    </xf>
    <xf numFmtId="6" fontId="10" fillId="0" borderId="0" xfId="50" applyFont="1" applyBorder="1" applyAlignment="1">
      <alignment horizontal="center"/>
    </xf>
    <xf numFmtId="0" fontId="115" fillId="0" borderId="0" xfId="0" applyFont="1" applyAlignment="1">
      <alignment horizontal="right" vertical="top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0" xfId="0" applyFont="1" applyBorder="1" applyAlignment="1">
      <alignment horizontal="centerContinuous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7" fillId="0" borderId="0" xfId="0" applyFont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7" fontId="27" fillId="0" borderId="23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118" fillId="0" borderId="0" xfId="0" applyFont="1" applyAlignment="1">
      <alignment vertical="center"/>
    </xf>
    <xf numFmtId="0" fontId="118" fillId="0" borderId="16" xfId="0" applyFont="1" applyBorder="1" applyAlignment="1">
      <alignment vertical="center"/>
    </xf>
    <xf numFmtId="0" fontId="118" fillId="0" borderId="30" xfId="0" applyFont="1" applyBorder="1" applyAlignment="1">
      <alignment vertical="center"/>
    </xf>
    <xf numFmtId="0" fontId="118" fillId="0" borderId="11" xfId="0" applyFont="1" applyBorder="1" applyAlignment="1">
      <alignment vertical="center"/>
    </xf>
    <xf numFmtId="0" fontId="118" fillId="53" borderId="11" xfId="0" applyFont="1" applyFill="1" applyBorder="1" applyAlignment="1">
      <alignment vertical="center"/>
    </xf>
    <xf numFmtId="0" fontId="118" fillId="0" borderId="39" xfId="0" applyFont="1" applyBorder="1" applyAlignment="1">
      <alignment vertical="center"/>
    </xf>
    <xf numFmtId="0" fontId="118" fillId="0" borderId="10" xfId="0" applyFont="1" applyBorder="1" applyAlignment="1">
      <alignment vertical="center"/>
    </xf>
    <xf numFmtId="0" fontId="118" fillId="1" borderId="31" xfId="0" applyFont="1" applyFill="1" applyBorder="1" applyAlignment="1">
      <alignment horizontal="center" vertical="center"/>
    </xf>
    <xf numFmtId="0" fontId="118" fillId="1" borderId="11" xfId="0" applyFont="1" applyFill="1" applyBorder="1" applyAlignment="1">
      <alignment horizontal="center" vertical="center"/>
    </xf>
    <xf numFmtId="0" fontId="118" fillId="53" borderId="28" xfId="0" applyFont="1" applyFill="1" applyBorder="1" applyAlignment="1">
      <alignment horizontal="center" vertical="center"/>
    </xf>
    <xf numFmtId="0" fontId="118" fillId="0" borderId="54" xfId="0" applyFont="1" applyBorder="1" applyAlignment="1">
      <alignment vertical="center"/>
    </xf>
    <xf numFmtId="0" fontId="118" fillId="0" borderId="46" xfId="0" applyFont="1" applyBorder="1" applyAlignment="1">
      <alignment horizontal="center" vertical="center"/>
    </xf>
    <xf numFmtId="0" fontId="118" fillId="0" borderId="28" xfId="0" applyFont="1" applyBorder="1" applyAlignment="1">
      <alignment horizontal="center" vertical="center"/>
    </xf>
    <xf numFmtId="0" fontId="118" fillId="1" borderId="46" xfId="0" applyFont="1" applyFill="1" applyBorder="1" applyAlignment="1">
      <alignment horizontal="center" vertical="center"/>
    </xf>
    <xf numFmtId="0" fontId="118" fillId="1" borderId="28" xfId="0" applyFont="1" applyFill="1" applyBorder="1" applyAlignment="1">
      <alignment horizontal="center" vertical="center"/>
    </xf>
    <xf numFmtId="0" fontId="118" fillId="0" borderId="49" xfId="0" applyFont="1" applyBorder="1" applyAlignment="1">
      <alignment horizontal="center" vertical="center"/>
    </xf>
    <xf numFmtId="0" fontId="118" fillId="0" borderId="48" xfId="0" applyFont="1" applyBorder="1" applyAlignment="1">
      <alignment horizontal="center" vertical="center"/>
    </xf>
    <xf numFmtId="0" fontId="118" fillId="53" borderId="48" xfId="0" applyFont="1" applyFill="1" applyBorder="1" applyAlignment="1">
      <alignment horizontal="center" vertical="center"/>
    </xf>
    <xf numFmtId="0" fontId="118" fillId="0" borderId="0" xfId="0" applyFont="1" applyFill="1" applyBorder="1" applyAlignment="1">
      <alignment horizontal="center" vertical="center"/>
    </xf>
    <xf numFmtId="0" fontId="118" fillId="0" borderId="0" xfId="0" applyFont="1" applyFill="1" applyBorder="1" applyAlignment="1">
      <alignment vertical="center"/>
    </xf>
    <xf numFmtId="0" fontId="119" fillId="0" borderId="0" xfId="0" applyFont="1" applyFill="1" applyBorder="1" applyAlignment="1">
      <alignment horizontal="right" vertical="center"/>
    </xf>
    <xf numFmtId="170" fontId="119" fillId="0" borderId="23" xfId="0" applyNumberFormat="1" applyFont="1" applyFill="1" applyBorder="1" applyAlignment="1">
      <alignment horizontal="center" vertical="center"/>
    </xf>
    <xf numFmtId="0" fontId="118" fillId="0" borderId="17" xfId="0" applyFont="1" applyFill="1" applyBorder="1" applyAlignment="1">
      <alignment horizontal="center" vertical="center"/>
    </xf>
    <xf numFmtId="0" fontId="118" fillId="0" borderId="24" xfId="0" applyFont="1" applyFill="1" applyBorder="1" applyAlignment="1">
      <alignment horizontal="center" vertical="center"/>
    </xf>
    <xf numFmtId="0" fontId="118" fillId="0" borderId="0" xfId="0" applyFont="1" applyBorder="1" applyAlignment="1">
      <alignment horizontal="center" vertical="center"/>
    </xf>
    <xf numFmtId="0" fontId="118" fillId="0" borderId="0" xfId="0" applyFont="1" applyBorder="1" applyAlignment="1">
      <alignment vertical="center"/>
    </xf>
    <xf numFmtId="0" fontId="118" fillId="0" borderId="0" xfId="0" applyFont="1" applyBorder="1" applyAlignment="1">
      <alignment horizontal="right" vertical="center"/>
    </xf>
    <xf numFmtId="0" fontId="119" fillId="0" borderId="0" xfId="0" applyFont="1" applyBorder="1" applyAlignment="1">
      <alignment horizontal="right" vertical="center"/>
    </xf>
    <xf numFmtId="0" fontId="118" fillId="0" borderId="23" xfId="0" applyFont="1" applyBorder="1" applyAlignment="1">
      <alignment horizontal="center" vertical="center"/>
    </xf>
    <xf numFmtId="2" fontId="119" fillId="53" borderId="23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0" xfId="56" applyFont="1" applyBorder="1" applyAlignment="1">
      <alignment horizontal="left" vertical="center"/>
      <protection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120" fillId="53" borderId="67" xfId="0" applyFont="1" applyFill="1" applyBorder="1" applyAlignment="1" applyProtection="1">
      <alignment horizontal="right"/>
      <protection/>
    </xf>
    <xf numFmtId="0" fontId="7" fillId="0" borderId="17" xfId="0" applyFont="1" applyBorder="1" applyAlignment="1">
      <alignment/>
    </xf>
    <xf numFmtId="0" fontId="7" fillId="0" borderId="24" xfId="0" applyFont="1" applyBorder="1" applyAlignment="1">
      <alignment horizontal="center"/>
    </xf>
    <xf numFmtId="2" fontId="25" fillId="0" borderId="24" xfId="0" applyNumberFormat="1" applyFont="1" applyBorder="1" applyAlignment="1">
      <alignment horizontal="center"/>
    </xf>
    <xf numFmtId="0" fontId="22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18" xfId="0" applyBorder="1" applyAlignment="1">
      <alignment/>
    </xf>
    <xf numFmtId="0" fontId="2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174" fontId="7" fillId="0" borderId="0" xfId="0" applyNumberFormat="1" applyFont="1" applyBorder="1" applyAlignment="1">
      <alignment horizontal="center"/>
    </xf>
    <xf numFmtId="0" fontId="62" fillId="0" borderId="0" xfId="57" applyNumberFormat="1" applyFont="1" applyBorder="1" applyAlignment="1">
      <alignment horizontal="left"/>
      <protection/>
    </xf>
    <xf numFmtId="0" fontId="118" fillId="1" borderId="81" xfId="0" applyFont="1" applyFill="1" applyBorder="1" applyAlignment="1">
      <alignment horizontal="center" vertical="center"/>
    </xf>
    <xf numFmtId="0" fontId="118" fillId="1" borderId="82" xfId="0" applyFont="1" applyFill="1" applyBorder="1" applyAlignment="1">
      <alignment horizontal="center" vertical="center"/>
    </xf>
    <xf numFmtId="0" fontId="118" fillId="53" borderId="82" xfId="0" applyFont="1" applyFill="1" applyBorder="1" applyAlignment="1">
      <alignment horizontal="center" vertical="center"/>
    </xf>
    <xf numFmtId="168" fontId="7" fillId="0" borderId="77" xfId="0" applyNumberFormat="1" applyFont="1" applyBorder="1" applyAlignment="1" applyProtection="1">
      <alignment horizontal="center"/>
      <protection/>
    </xf>
    <xf numFmtId="168" fontId="7" fillId="0" borderId="78" xfId="0" applyNumberFormat="1" applyFont="1" applyBorder="1" applyAlignment="1" applyProtection="1">
      <alignment horizontal="center"/>
      <protection/>
    </xf>
    <xf numFmtId="168" fontId="7" fillId="0" borderId="58" xfId="0" applyNumberFormat="1" applyFont="1" applyBorder="1" applyAlignment="1" applyProtection="1">
      <alignment horizontal="center"/>
      <protection/>
    </xf>
    <xf numFmtId="168" fontId="7" fillId="0" borderId="45" xfId="0" applyNumberFormat="1" applyFont="1" applyBorder="1" applyAlignment="1" applyProtection="1">
      <alignment horizontal="center"/>
      <protection/>
    </xf>
    <xf numFmtId="0" fontId="12" fillId="0" borderId="63" xfId="0" applyFont="1" applyBorder="1" applyAlignment="1" applyProtection="1">
      <alignment horizontal="center"/>
      <protection/>
    </xf>
    <xf numFmtId="0" fontId="12" fillId="0" borderId="65" xfId="0" applyFont="1" applyBorder="1" applyAlignment="1" applyProtection="1">
      <alignment horizontal="center"/>
      <protection/>
    </xf>
    <xf numFmtId="7" fontId="10" fillId="0" borderId="0" xfId="0" applyNumberFormat="1" applyFont="1" applyFill="1" applyBorder="1" applyAlignment="1">
      <alignment horizontal="center"/>
    </xf>
    <xf numFmtId="0" fontId="12" fillId="0" borderId="77" xfId="0" applyFont="1" applyBorder="1" applyAlignment="1" applyProtection="1">
      <alignment horizontal="center"/>
      <protection/>
    </xf>
    <xf numFmtId="0" fontId="12" fillId="0" borderId="78" xfId="0" applyFont="1" applyBorder="1" applyAlignment="1" applyProtection="1">
      <alignment horizontal="center"/>
      <protection/>
    </xf>
    <xf numFmtId="0" fontId="27" fillId="0" borderId="17" xfId="0" applyFont="1" applyBorder="1" applyAlignment="1" applyProtection="1">
      <alignment horizontal="center" vertical="center"/>
      <protection/>
    </xf>
    <xf numFmtId="0" fontId="27" fillId="0" borderId="18" xfId="0" applyFont="1" applyBorder="1" applyAlignment="1" applyProtection="1">
      <alignment horizontal="center" vertical="center"/>
      <protection/>
    </xf>
    <xf numFmtId="0" fontId="27" fillId="0" borderId="24" xfId="0" applyFont="1" applyBorder="1" applyAlignment="1" applyProtection="1">
      <alignment horizontal="center" vertical="center"/>
      <protection/>
    </xf>
    <xf numFmtId="0" fontId="12" fillId="0" borderId="58" xfId="0" applyFont="1" applyBorder="1" applyAlignment="1" applyProtection="1">
      <alignment horizontal="center"/>
      <protection/>
    </xf>
    <xf numFmtId="0" fontId="12" fillId="0" borderId="45" xfId="0" applyFont="1" applyBorder="1" applyAlignment="1" applyProtection="1">
      <alignment horizontal="center"/>
      <protection/>
    </xf>
    <xf numFmtId="7" fontId="10" fillId="0" borderId="59" xfId="0" applyNumberFormat="1" applyFont="1" applyFill="1" applyBorder="1" applyAlignment="1">
      <alignment horizontal="center"/>
    </xf>
    <xf numFmtId="0" fontId="22" fillId="0" borderId="0" xfId="0" applyFont="1" applyBorder="1" applyAlignment="1" applyProtection="1">
      <alignment horizontal="center"/>
      <protection/>
    </xf>
    <xf numFmtId="168" fontId="7" fillId="0" borderId="66" xfId="0" applyNumberFormat="1" applyFont="1" applyBorder="1" applyAlignment="1" applyProtection="1">
      <alignment horizontal="center"/>
      <protection/>
    </xf>
    <xf numFmtId="183" fontId="22" fillId="0" borderId="0" xfId="0" applyNumberFormat="1" applyFont="1" applyBorder="1" applyAlignment="1" applyProtection="1">
      <alignment horizontal="center"/>
      <protection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7" fillId="38" borderId="58" xfId="0" applyFont="1" applyFill="1" applyBorder="1" applyAlignment="1">
      <alignment horizontal="center"/>
    </xf>
    <xf numFmtId="0" fontId="7" fillId="38" borderId="45" xfId="0" applyFont="1" applyFill="1" applyBorder="1" applyAlignment="1">
      <alignment horizontal="center"/>
    </xf>
    <xf numFmtId="168" fontId="7" fillId="0" borderId="32" xfId="0" applyNumberFormat="1" applyFont="1" applyBorder="1" applyAlignment="1" applyProtection="1">
      <alignment horizontal="center"/>
      <protection/>
    </xf>
    <xf numFmtId="0" fontId="12" fillId="0" borderId="83" xfId="0" applyFont="1" applyBorder="1" applyAlignment="1" applyProtection="1">
      <alignment horizontal="center"/>
      <protection/>
    </xf>
    <xf numFmtId="0" fontId="12" fillId="0" borderId="32" xfId="0" applyFont="1" applyBorder="1" applyAlignment="1" applyProtection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0101 ANEXO I NEA" xfId="53"/>
    <cellStyle name="Normal_Comahue" xfId="54"/>
    <cellStyle name="Normal_EDENOR9604" xfId="55"/>
    <cellStyle name="Normal_líneas" xfId="56"/>
    <cellStyle name="Normal_PAFTT Anexo 28" xfId="57"/>
    <cellStyle name="Normal_TRANS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0</xdr:row>
      <xdr:rowOff>19050</xdr:rowOff>
    </xdr:from>
    <xdr:to>
      <xdr:col>0</xdr:col>
      <xdr:colOff>1009650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9050"/>
          <a:ext cx="514350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47625</xdr:rowOff>
    </xdr:from>
    <xdr:to>
      <xdr:col>1</xdr:col>
      <xdr:colOff>114300</xdr:colOff>
      <xdr:row>1</xdr:row>
      <xdr:rowOff>314325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762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304800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191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0</xdr:rowOff>
    </xdr:from>
    <xdr:to>
      <xdr:col>3</xdr:col>
      <xdr:colOff>295275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285750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285750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314325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286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285750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314325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191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01200" y="3267075"/>
          <a:ext cx="27051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ENER\2010\F0510N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ENER\TBASEN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TBASE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-0510"/>
      <sheetName val="LI-05 (1)"/>
      <sheetName val="LI-INTESAR"/>
      <sheetName val="LI-RIOJA-05 (1)"/>
      <sheetName val="TR-05 (1)"/>
      <sheetName val="TR-TIBA-05 (1)"/>
      <sheetName val="TR-ENECOR-05 (1)"/>
      <sheetName val="TR-COBRA-05 (1)"/>
      <sheetName val="TR- LITSA-05 (1)"/>
      <sheetName val="SA-05 (1)"/>
      <sheetName val="SA-05 (2)"/>
      <sheetName val="SA-TIBA-05 (1)"/>
      <sheetName val="SA-ENECOR-05 (1)"/>
      <sheetName val="SA-CTM-05 (1)"/>
      <sheetName val="SA-RIOJA-05 (1)"/>
      <sheetName val="RE-05 (1)"/>
      <sheetName val="RE-INTESAR-05 (1)"/>
      <sheetName val="CAUSAS-VST-05 (1)"/>
      <sheetName val="SUP-TIBA"/>
      <sheetName val="SUP-ENECOR"/>
      <sheetName val="SUP-CTM"/>
      <sheetName val="SUP-INTESAR"/>
      <sheetName val="SUP-LITSA"/>
      <sheetName val="SUP-RIOJA"/>
      <sheetName val="SUP-COBRA"/>
      <sheetName val="TASA FALLA"/>
      <sheetName val="DATO"/>
    </sheetNames>
    <sheetDataSet>
      <sheetData sheetId="26">
        <row r="14">
          <cell r="G14" t="str">
            <v>05</v>
          </cell>
          <cell r="H14" t="str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7">
          <cell r="G17" t="str">
            <v>B</v>
          </cell>
        </row>
        <row r="20">
          <cell r="G20" t="str">
            <v>C</v>
          </cell>
        </row>
        <row r="21">
          <cell r="G21" t="str">
            <v>C</v>
          </cell>
        </row>
        <row r="22">
          <cell r="G22" t="str">
            <v>A</v>
          </cell>
        </row>
        <row r="23">
          <cell r="G23" t="str">
            <v>B</v>
          </cell>
        </row>
        <row r="24">
          <cell r="G24" t="str">
            <v>B</v>
          </cell>
        </row>
        <row r="26">
          <cell r="G26" t="str">
            <v>C</v>
          </cell>
        </row>
        <row r="27">
          <cell r="G27" t="str">
            <v>C</v>
          </cell>
        </row>
        <row r="28">
          <cell r="G28" t="str">
            <v>B</v>
          </cell>
        </row>
        <row r="29">
          <cell r="G29" t="str">
            <v>C</v>
          </cell>
        </row>
        <row r="30">
          <cell r="G30" t="str">
            <v>C</v>
          </cell>
        </row>
        <row r="31">
          <cell r="G31" t="str">
            <v>C</v>
          </cell>
        </row>
        <row r="32">
          <cell r="G32" t="str">
            <v>C</v>
          </cell>
        </row>
        <row r="33">
          <cell r="G33" t="str">
            <v>C</v>
          </cell>
        </row>
        <row r="34">
          <cell r="G34" t="str">
            <v>A</v>
          </cell>
        </row>
        <row r="35">
          <cell r="G35" t="str">
            <v>A</v>
          </cell>
        </row>
        <row r="36">
          <cell r="G36" t="str">
            <v>C</v>
          </cell>
        </row>
        <row r="37">
          <cell r="G37" t="str">
            <v>C</v>
          </cell>
        </row>
        <row r="38">
          <cell r="G38" t="str">
            <v>C</v>
          </cell>
        </row>
        <row r="39">
          <cell r="G39" t="str">
            <v>C</v>
          </cell>
        </row>
        <row r="40">
          <cell r="G40" t="str">
            <v>C</v>
          </cell>
        </row>
        <row r="41">
          <cell r="G41" t="str">
            <v>C</v>
          </cell>
        </row>
        <row r="42">
          <cell r="G42" t="str">
            <v>C</v>
          </cell>
        </row>
        <row r="43">
          <cell r="G43" t="str">
            <v>A</v>
          </cell>
        </row>
        <row r="44">
          <cell r="G44" t="str">
            <v>A</v>
          </cell>
        </row>
        <row r="45">
          <cell r="G45" t="str">
            <v>B</v>
          </cell>
        </row>
        <row r="46">
          <cell r="G46" t="str">
            <v>C</v>
          </cell>
        </row>
        <row r="47">
          <cell r="G47" t="str">
            <v>B</v>
          </cell>
        </row>
        <row r="48">
          <cell r="G48" t="str">
            <v>B</v>
          </cell>
        </row>
        <row r="51">
          <cell r="G51" t="str">
            <v>A</v>
          </cell>
        </row>
        <row r="52">
          <cell r="G52" t="str">
            <v>A</v>
          </cell>
        </row>
        <row r="53">
          <cell r="G53" t="str">
            <v>A</v>
          </cell>
        </row>
        <row r="54">
          <cell r="G54" t="str">
            <v>A</v>
          </cell>
        </row>
        <row r="55">
          <cell r="G55" t="str">
            <v>C</v>
          </cell>
        </row>
        <row r="56">
          <cell r="G56" t="str">
            <v>B</v>
          </cell>
        </row>
        <row r="57">
          <cell r="G57" t="str">
            <v>B</v>
          </cell>
        </row>
        <row r="58">
          <cell r="G58" t="str">
            <v>A</v>
          </cell>
        </row>
        <row r="59">
          <cell r="G59" t="str">
            <v>B</v>
          </cell>
        </row>
        <row r="60">
          <cell r="G60" t="str">
            <v>A</v>
          </cell>
        </row>
        <row r="61">
          <cell r="G61" t="str">
            <v>C</v>
          </cell>
        </row>
        <row r="62">
          <cell r="G62" t="str">
            <v>C</v>
          </cell>
        </row>
        <row r="63">
          <cell r="G63" t="str">
            <v>A</v>
          </cell>
        </row>
        <row r="64">
          <cell r="G64" t="str">
            <v>C</v>
          </cell>
        </row>
        <row r="65">
          <cell r="G65" t="str">
            <v>C</v>
          </cell>
        </row>
        <row r="66">
          <cell r="G66" t="str">
            <v>C</v>
          </cell>
        </row>
        <row r="67">
          <cell r="G67" t="str">
            <v>C</v>
          </cell>
        </row>
        <row r="68">
          <cell r="G68" t="str">
            <v>C</v>
          </cell>
        </row>
        <row r="69">
          <cell r="G69" t="str">
            <v>C</v>
          </cell>
        </row>
        <row r="70">
          <cell r="G70" t="str">
            <v>C</v>
          </cell>
        </row>
        <row r="71">
          <cell r="G71" t="str">
            <v>C</v>
          </cell>
        </row>
        <row r="72">
          <cell r="G72" t="str">
            <v>C</v>
          </cell>
        </row>
        <row r="73">
          <cell r="G73" t="str">
            <v>C</v>
          </cell>
        </row>
        <row r="74">
          <cell r="G74" t="str">
            <v>C</v>
          </cell>
        </row>
        <row r="75">
          <cell r="G75" t="str">
            <v>C</v>
          </cell>
        </row>
        <row r="76">
          <cell r="G76" t="str">
            <v>C</v>
          </cell>
        </row>
        <row r="77">
          <cell r="G77" t="str">
            <v>C</v>
          </cell>
        </row>
        <row r="78">
          <cell r="G78" t="str">
            <v>A</v>
          </cell>
        </row>
        <row r="79">
          <cell r="G79" t="str">
            <v>A</v>
          </cell>
        </row>
        <row r="80">
          <cell r="G80" t="str">
            <v>A</v>
          </cell>
        </row>
        <row r="81">
          <cell r="G81" t="str">
            <v>A</v>
          </cell>
        </row>
        <row r="82">
          <cell r="G82" t="str">
            <v>B</v>
          </cell>
        </row>
        <row r="83">
          <cell r="G83" t="str">
            <v>B</v>
          </cell>
        </row>
        <row r="84">
          <cell r="G84" t="str">
            <v>B</v>
          </cell>
        </row>
        <row r="85">
          <cell r="G85" t="str">
            <v>A</v>
          </cell>
        </row>
        <row r="86">
          <cell r="G86" t="str">
            <v>C</v>
          </cell>
        </row>
        <row r="87">
          <cell r="G87" t="str">
            <v>B</v>
          </cell>
        </row>
        <row r="88">
          <cell r="G88" t="str">
            <v>C</v>
          </cell>
        </row>
        <row r="89">
          <cell r="G89" t="str">
            <v>A</v>
          </cell>
        </row>
        <row r="90">
          <cell r="G90" t="str">
            <v>C</v>
          </cell>
        </row>
        <row r="91">
          <cell r="G91" t="str">
            <v>A</v>
          </cell>
        </row>
        <row r="92">
          <cell r="G92" t="str">
            <v>C</v>
          </cell>
        </row>
        <row r="94">
          <cell r="G94" t="str">
            <v>C</v>
          </cell>
        </row>
        <row r="95">
          <cell r="G95" t="str">
            <v>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7">
          <cell r="C17">
            <v>1</v>
          </cell>
          <cell r="D17" t="str">
            <v>ABASTO - OLAVARRIA 1</v>
          </cell>
          <cell r="E17">
            <v>500</v>
          </cell>
          <cell r="F17">
            <v>291</v>
          </cell>
        </row>
        <row r="18">
          <cell r="C18">
            <v>2</v>
          </cell>
          <cell r="D18" t="str">
            <v>ABASTO - OLAVARRIA 2</v>
          </cell>
          <cell r="E18">
            <v>500</v>
          </cell>
          <cell r="F18">
            <v>301.9</v>
          </cell>
        </row>
        <row r="19">
          <cell r="C19">
            <v>3</v>
          </cell>
          <cell r="D19" t="str">
            <v>AGUA DEL CAJON - CHOCON OESTE</v>
          </cell>
          <cell r="E19">
            <v>500</v>
          </cell>
          <cell r="F19">
            <v>52</v>
          </cell>
        </row>
        <row r="20">
          <cell r="C20">
            <v>4</v>
          </cell>
          <cell r="D20" t="str">
            <v>ALICURA - E.T. P.del A. 1 (5LG1)</v>
          </cell>
          <cell r="E20">
            <v>500</v>
          </cell>
          <cell r="F20">
            <v>76</v>
          </cell>
          <cell r="GT20">
            <v>1</v>
          </cell>
          <cell r="GZ20">
            <v>1</v>
          </cell>
        </row>
        <row r="21">
          <cell r="C21">
            <v>5</v>
          </cell>
          <cell r="D21" t="str">
            <v>ALICURA - E.T. P.del A. 2 (5LG2)</v>
          </cell>
          <cell r="E21">
            <v>500</v>
          </cell>
          <cell r="F21">
            <v>76</v>
          </cell>
        </row>
        <row r="22">
          <cell r="C22">
            <v>6</v>
          </cell>
          <cell r="D22" t="str">
            <v>ALMAFUERTE - EMBALSE </v>
          </cell>
          <cell r="E22">
            <v>500</v>
          </cell>
          <cell r="F22">
            <v>12</v>
          </cell>
        </row>
        <row r="23">
          <cell r="C23">
            <v>7</v>
          </cell>
          <cell r="D23" t="str">
            <v> ALMAFUERTE - ROSARIO OESTE</v>
          </cell>
          <cell r="E23">
            <v>500</v>
          </cell>
          <cell r="F23">
            <v>345</v>
          </cell>
          <cell r="GU23">
            <v>1</v>
          </cell>
        </row>
        <row r="24">
          <cell r="C24">
            <v>8</v>
          </cell>
          <cell r="D24" t="str">
            <v>BAHIA BLANCA - CHOELE CHOEL 1</v>
          </cell>
          <cell r="E24">
            <v>500</v>
          </cell>
          <cell r="F24">
            <v>346</v>
          </cell>
        </row>
        <row r="25">
          <cell r="C25">
            <v>9</v>
          </cell>
          <cell r="D25" t="str">
            <v>BAHIA BLANCA - CHOELE CHOEL 2</v>
          </cell>
          <cell r="E25">
            <v>500</v>
          </cell>
          <cell r="F25">
            <v>348.4</v>
          </cell>
          <cell r="HD25">
            <v>1</v>
          </cell>
        </row>
        <row r="26">
          <cell r="C26">
            <v>10</v>
          </cell>
          <cell r="D26" t="str">
            <v>CERR. de la CTA - P.BAND. (A3)</v>
          </cell>
          <cell r="E26">
            <v>500</v>
          </cell>
          <cell r="F26">
            <v>27</v>
          </cell>
        </row>
        <row r="27">
          <cell r="C27">
            <v>11</v>
          </cell>
          <cell r="D27" t="str">
            <v>COLONIA ELIA - CAMPANA</v>
          </cell>
          <cell r="E27">
            <v>500</v>
          </cell>
          <cell r="F27">
            <v>194</v>
          </cell>
          <cell r="GS27">
            <v>1</v>
          </cell>
          <cell r="HC27">
            <v>2</v>
          </cell>
        </row>
        <row r="28">
          <cell r="C28">
            <v>12</v>
          </cell>
          <cell r="D28" t="str">
            <v>CHO. W. - CHOELE CHOEL (5WH1)</v>
          </cell>
          <cell r="E28">
            <v>500</v>
          </cell>
          <cell r="F28">
            <v>269</v>
          </cell>
          <cell r="GV28">
            <v>1</v>
          </cell>
        </row>
        <row r="29">
          <cell r="C29">
            <v>13</v>
          </cell>
          <cell r="D29" t="str">
            <v>CHO.W. - CHO. 1 (5WC1)</v>
          </cell>
          <cell r="E29">
            <v>500</v>
          </cell>
          <cell r="F29">
            <v>4.5</v>
          </cell>
        </row>
        <row r="30">
          <cell r="C30">
            <v>14</v>
          </cell>
          <cell r="D30" t="str">
            <v>CHO.W. - CHO. 2 (5WC2)</v>
          </cell>
          <cell r="E30">
            <v>500</v>
          </cell>
          <cell r="F30">
            <v>4.5</v>
          </cell>
        </row>
        <row r="31">
          <cell r="C31">
            <v>15</v>
          </cell>
          <cell r="D31" t="str">
            <v>CHOCON - C.H. CHOCON 1</v>
          </cell>
          <cell r="E31">
            <v>500</v>
          </cell>
          <cell r="F31">
            <v>3</v>
          </cell>
        </row>
        <row r="32">
          <cell r="C32">
            <v>16</v>
          </cell>
          <cell r="D32" t="str">
            <v>CHOCON - C.H. CHOCON 2</v>
          </cell>
          <cell r="E32">
            <v>500</v>
          </cell>
          <cell r="F32">
            <v>3</v>
          </cell>
        </row>
        <row r="33">
          <cell r="C33">
            <v>17</v>
          </cell>
          <cell r="D33" t="str">
            <v>CHOCON - C.H. CHOCON 3</v>
          </cell>
          <cell r="E33">
            <v>500</v>
          </cell>
          <cell r="F33">
            <v>3</v>
          </cell>
        </row>
        <row r="34">
          <cell r="C34">
            <v>18</v>
          </cell>
          <cell r="D34" t="str">
            <v>CHOCON - PUELCHES 1</v>
          </cell>
          <cell r="E34">
            <v>500</v>
          </cell>
          <cell r="F34">
            <v>304</v>
          </cell>
        </row>
        <row r="35">
          <cell r="C35">
            <v>19</v>
          </cell>
          <cell r="D35" t="str">
            <v>CHOCON - PUELCHES 2</v>
          </cell>
          <cell r="E35">
            <v>500</v>
          </cell>
          <cell r="F35">
            <v>304</v>
          </cell>
        </row>
        <row r="36">
          <cell r="C36">
            <v>20</v>
          </cell>
          <cell r="D36" t="str">
            <v>E.T.P.del AGUILA - CENTRAL P.del A. 1</v>
          </cell>
          <cell r="E36">
            <v>500</v>
          </cell>
          <cell r="F36">
            <v>5.6</v>
          </cell>
        </row>
        <row r="37">
          <cell r="C37">
            <v>21</v>
          </cell>
          <cell r="D37" t="str">
            <v>E.T.P.del AGUILA - CENTRAL P.del A. 2</v>
          </cell>
          <cell r="E37">
            <v>500</v>
          </cell>
          <cell r="F37">
            <v>5.6</v>
          </cell>
        </row>
        <row r="38">
          <cell r="C38">
            <v>22</v>
          </cell>
          <cell r="D38" t="str">
            <v>EL BRACHO - RECREO(5)</v>
          </cell>
          <cell r="E38">
            <v>500</v>
          </cell>
          <cell r="F38">
            <v>255</v>
          </cell>
        </row>
        <row r="39">
          <cell r="C39">
            <v>23</v>
          </cell>
          <cell r="D39" t="str">
            <v>EZEIZA - ABASTO 1</v>
          </cell>
          <cell r="E39">
            <v>500</v>
          </cell>
          <cell r="F39">
            <v>58</v>
          </cell>
        </row>
        <row r="40">
          <cell r="C40">
            <v>24</v>
          </cell>
          <cell r="D40" t="str">
            <v>EZEIZA - ABASTO 2</v>
          </cell>
          <cell r="E40">
            <v>500</v>
          </cell>
          <cell r="F40">
            <v>58</v>
          </cell>
        </row>
        <row r="41">
          <cell r="C41">
            <v>25</v>
          </cell>
          <cell r="D41" t="str">
            <v>EZEIZA - RODRIGUEZ 1</v>
          </cell>
          <cell r="E41">
            <v>500</v>
          </cell>
          <cell r="F41">
            <v>53</v>
          </cell>
        </row>
        <row r="42">
          <cell r="C42">
            <v>26</v>
          </cell>
          <cell r="D42" t="str">
            <v>EZEIZA - RODRIGUEZ 2</v>
          </cell>
          <cell r="E42">
            <v>500</v>
          </cell>
          <cell r="F42">
            <v>53</v>
          </cell>
        </row>
        <row r="43">
          <cell r="C43">
            <v>27</v>
          </cell>
          <cell r="D43" t="str">
            <v>EZEIZA- HENDERSON 1</v>
          </cell>
          <cell r="E43">
            <v>500</v>
          </cell>
          <cell r="F43">
            <v>313</v>
          </cell>
        </row>
        <row r="44">
          <cell r="C44">
            <v>28</v>
          </cell>
          <cell r="D44" t="str">
            <v>EZEIZA - HENDERSON 2</v>
          </cell>
          <cell r="E44">
            <v>500</v>
          </cell>
          <cell r="F44">
            <v>313</v>
          </cell>
          <cell r="GZ44">
            <v>2</v>
          </cell>
        </row>
        <row r="45">
          <cell r="C45">
            <v>29</v>
          </cell>
          <cell r="D45" t="str">
            <v>GRAL. RODRIGUEZ - CAMPANA </v>
          </cell>
          <cell r="E45">
            <v>500</v>
          </cell>
          <cell r="F45">
            <v>42</v>
          </cell>
        </row>
        <row r="46">
          <cell r="C46">
            <v>30</v>
          </cell>
          <cell r="D46" t="str">
            <v>GRAL. RODRIGUEZ- ROSARIO OESTE </v>
          </cell>
          <cell r="E46">
            <v>500</v>
          </cell>
          <cell r="F46">
            <v>258</v>
          </cell>
          <cell r="GS46" t="str">
            <v>XXXX</v>
          </cell>
          <cell r="GT46" t="str">
            <v>XXXX</v>
          </cell>
          <cell r="GU46" t="str">
            <v>XXXX</v>
          </cell>
          <cell r="GV46" t="str">
            <v>XXXX</v>
          </cell>
          <cell r="GW46" t="str">
            <v>XXXX</v>
          </cell>
          <cell r="GX46" t="str">
            <v>XXXX</v>
          </cell>
          <cell r="GY46" t="str">
            <v>XXXX</v>
          </cell>
          <cell r="GZ46" t="str">
            <v>XXXX</v>
          </cell>
          <cell r="HA46" t="str">
            <v>XXXX</v>
          </cell>
          <cell r="HB46" t="str">
            <v>XXXX</v>
          </cell>
          <cell r="HC46" t="str">
            <v>XXXX</v>
          </cell>
          <cell r="HD46" t="str">
            <v>XXXX</v>
          </cell>
        </row>
        <row r="47">
          <cell r="C47">
            <v>31</v>
          </cell>
          <cell r="D47" t="str">
            <v>MALVINAS ARG. - ALMAFUERTE </v>
          </cell>
          <cell r="E47">
            <v>500</v>
          </cell>
          <cell r="F47">
            <v>105</v>
          </cell>
          <cell r="GZ47">
            <v>1</v>
          </cell>
        </row>
        <row r="48">
          <cell r="C48">
            <v>32</v>
          </cell>
          <cell r="D48" t="str">
            <v>OLAVARRIA - BAHIA BLANCA 1</v>
          </cell>
          <cell r="E48">
            <v>500</v>
          </cell>
          <cell r="F48">
            <v>255</v>
          </cell>
        </row>
        <row r="49">
          <cell r="C49">
            <v>33</v>
          </cell>
          <cell r="D49" t="str">
            <v>OLAVARRIA - BAHIA BLANCA 2</v>
          </cell>
          <cell r="E49">
            <v>500</v>
          </cell>
          <cell r="F49">
            <v>254.8</v>
          </cell>
        </row>
        <row r="50">
          <cell r="C50">
            <v>34</v>
          </cell>
          <cell r="D50" t="str">
            <v>P.del AGUILA  - CHOELE CHOEL</v>
          </cell>
          <cell r="E50">
            <v>500</v>
          </cell>
          <cell r="F50">
            <v>386.7</v>
          </cell>
          <cell r="HD50">
            <v>1</v>
          </cell>
        </row>
        <row r="51">
          <cell r="C51">
            <v>35</v>
          </cell>
          <cell r="D51" t="str">
            <v>P.del AGUILA  - CHO. W. 1 (5GW1)</v>
          </cell>
          <cell r="E51">
            <v>500</v>
          </cell>
          <cell r="F51">
            <v>165</v>
          </cell>
          <cell r="HB51">
            <v>1</v>
          </cell>
          <cell r="HD51">
            <v>1</v>
          </cell>
        </row>
        <row r="52">
          <cell r="C52">
            <v>36</v>
          </cell>
          <cell r="D52" t="str">
            <v>P.del AGUILA  - CHO. W. 2 (5GW2)</v>
          </cell>
          <cell r="E52">
            <v>500</v>
          </cell>
          <cell r="F52">
            <v>170</v>
          </cell>
        </row>
        <row r="53">
          <cell r="C53">
            <v>37</v>
          </cell>
          <cell r="D53" t="str">
            <v>PUELCHES - HENDERSON 1 (B1)</v>
          </cell>
          <cell r="E53">
            <v>500</v>
          </cell>
          <cell r="F53">
            <v>421</v>
          </cell>
          <cell r="GZ53">
            <v>1</v>
          </cell>
        </row>
        <row r="54">
          <cell r="C54">
            <v>38</v>
          </cell>
          <cell r="D54" t="str">
            <v>PUELCHES - HENDERSON 2 (B2)</v>
          </cell>
          <cell r="E54">
            <v>500</v>
          </cell>
          <cell r="F54">
            <v>421</v>
          </cell>
          <cell r="GS54" t="str">
            <v>XXXX</v>
          </cell>
          <cell r="GT54" t="str">
            <v>XXXX</v>
          </cell>
          <cell r="GU54" t="str">
            <v>XXXX</v>
          </cell>
          <cell r="GV54" t="str">
            <v>XXXX</v>
          </cell>
          <cell r="GW54" t="str">
            <v>XXXX</v>
          </cell>
          <cell r="GX54" t="str">
            <v>XXXX</v>
          </cell>
          <cell r="GY54" t="str">
            <v>XXXX</v>
          </cell>
          <cell r="GZ54" t="str">
            <v>XXXX</v>
          </cell>
          <cell r="HA54" t="str">
            <v>XXXX</v>
          </cell>
          <cell r="HB54" t="str">
            <v>XXXX</v>
          </cell>
          <cell r="HC54" t="str">
            <v>XXXX</v>
          </cell>
          <cell r="HD54" t="str">
            <v>XXXX</v>
          </cell>
        </row>
        <row r="55">
          <cell r="C55">
            <v>39</v>
          </cell>
          <cell r="D55" t="str">
            <v>RECREO - MALVINAS ARG. </v>
          </cell>
          <cell r="E55">
            <v>500</v>
          </cell>
          <cell r="F55">
            <v>259</v>
          </cell>
        </row>
        <row r="56">
          <cell r="C56">
            <v>40</v>
          </cell>
          <cell r="D56" t="str">
            <v>RIO GRANDE - EMBALSE</v>
          </cell>
          <cell r="E56">
            <v>500</v>
          </cell>
          <cell r="F56">
            <v>30</v>
          </cell>
        </row>
        <row r="57">
          <cell r="C57">
            <v>41</v>
          </cell>
          <cell r="D57" t="str">
            <v>RIO GRANDE - GRAN MENDOZA</v>
          </cell>
          <cell r="E57">
            <v>500</v>
          </cell>
          <cell r="F57">
            <v>407</v>
          </cell>
          <cell r="GS57" t="str">
            <v>XXXX</v>
          </cell>
          <cell r="GT57" t="str">
            <v>XXXX</v>
          </cell>
          <cell r="GU57" t="str">
            <v>XXXX</v>
          </cell>
          <cell r="GV57" t="str">
            <v>XXXX</v>
          </cell>
          <cell r="GW57" t="str">
            <v>XXXX</v>
          </cell>
          <cell r="GX57" t="str">
            <v>XXXX</v>
          </cell>
          <cell r="GY57" t="str">
            <v>XXXX</v>
          </cell>
          <cell r="GZ57" t="str">
            <v>XXXX</v>
          </cell>
          <cell r="HA57" t="str">
            <v>XXXX</v>
          </cell>
          <cell r="HB57" t="str">
            <v>XXXX</v>
          </cell>
          <cell r="HC57" t="str">
            <v>XXXX</v>
          </cell>
          <cell r="HD57" t="str">
            <v>XXXX</v>
          </cell>
        </row>
        <row r="58">
          <cell r="C58">
            <v>42</v>
          </cell>
          <cell r="D58" t="str">
            <v>RIO GRANDE - LUJAN</v>
          </cell>
          <cell r="E58">
            <v>500</v>
          </cell>
          <cell r="F58">
            <v>150</v>
          </cell>
        </row>
        <row r="59">
          <cell r="C59">
            <v>43</v>
          </cell>
          <cell r="D59" t="str">
            <v>LUJAN - GRAN MENDOZA</v>
          </cell>
          <cell r="E59">
            <v>500</v>
          </cell>
          <cell r="F59">
            <v>257</v>
          </cell>
        </row>
        <row r="60">
          <cell r="C60">
            <v>44</v>
          </cell>
          <cell r="D60" t="str">
            <v>ROMANG - RESISTENCIA</v>
          </cell>
          <cell r="E60">
            <v>500</v>
          </cell>
          <cell r="F60">
            <v>256</v>
          </cell>
          <cell r="GZ60">
            <v>1</v>
          </cell>
        </row>
        <row r="61">
          <cell r="C61">
            <v>45</v>
          </cell>
          <cell r="D61" t="str">
            <v>ROSARIO OESTE -SANTO TOME</v>
          </cell>
          <cell r="E61">
            <v>500</v>
          </cell>
          <cell r="F61">
            <v>159</v>
          </cell>
          <cell r="GS61" t="str">
            <v>XXXX</v>
          </cell>
          <cell r="GT61" t="str">
            <v>XXXX</v>
          </cell>
          <cell r="GU61" t="str">
            <v>XXXX</v>
          </cell>
          <cell r="GV61" t="str">
            <v>XXXX</v>
          </cell>
          <cell r="GW61" t="str">
            <v>XXXX</v>
          </cell>
          <cell r="GX61" t="str">
            <v>XXXX</v>
          </cell>
          <cell r="GY61" t="str">
            <v>XXXX</v>
          </cell>
          <cell r="GZ61" t="str">
            <v>XXXX</v>
          </cell>
          <cell r="HA61" t="str">
            <v>XXXX</v>
          </cell>
          <cell r="HB61" t="str">
            <v>XXXX</v>
          </cell>
          <cell r="HC61" t="str">
            <v>XXXX</v>
          </cell>
          <cell r="HD61" t="str">
            <v>XXXX</v>
          </cell>
        </row>
        <row r="62">
          <cell r="D62" t="str">
            <v>ROSARIO OESTE - RIO CORONDA</v>
          </cell>
          <cell r="E62">
            <v>500</v>
          </cell>
          <cell r="F62">
            <v>64.99</v>
          </cell>
        </row>
        <row r="63">
          <cell r="D63" t="str">
            <v>RIO CORONDA - SANTO TOME</v>
          </cell>
          <cell r="E63">
            <v>500</v>
          </cell>
          <cell r="F63">
            <v>137.94</v>
          </cell>
          <cell r="GU63">
            <v>1</v>
          </cell>
        </row>
        <row r="64">
          <cell r="C64">
            <v>46</v>
          </cell>
          <cell r="D64" t="str">
            <v>SALTO GRANDE - SANTO TOME </v>
          </cell>
          <cell r="E64">
            <v>500</v>
          </cell>
          <cell r="F64">
            <v>289</v>
          </cell>
          <cell r="GS64">
            <v>1</v>
          </cell>
          <cell r="GU64">
            <v>1</v>
          </cell>
          <cell r="HB64">
            <v>1</v>
          </cell>
        </row>
        <row r="65">
          <cell r="C65">
            <v>47</v>
          </cell>
          <cell r="D65" t="str">
            <v>SANTO TOME - ROMANG </v>
          </cell>
          <cell r="E65">
            <v>500</v>
          </cell>
          <cell r="F65">
            <v>270</v>
          </cell>
        </row>
        <row r="67">
          <cell r="C67">
            <v>48</v>
          </cell>
          <cell r="D67" t="str">
            <v>GRAL. RODRIGUEZ - VILLA  LIA 1</v>
          </cell>
          <cell r="E67">
            <v>220</v>
          </cell>
          <cell r="F67">
            <v>61</v>
          </cell>
          <cell r="GZ67">
            <v>1</v>
          </cell>
        </row>
        <row r="68">
          <cell r="C68">
            <v>49</v>
          </cell>
          <cell r="D68" t="str">
            <v>GRAL. RODRIGUEZ - VILLA  LIA 2</v>
          </cell>
          <cell r="E68">
            <v>220</v>
          </cell>
          <cell r="F68">
            <v>61</v>
          </cell>
        </row>
        <row r="69">
          <cell r="C69">
            <v>50</v>
          </cell>
          <cell r="D69" t="str">
            <v>RAMALLO - SAN NICOLAS (2)</v>
          </cell>
          <cell r="E69">
            <v>220</v>
          </cell>
          <cell r="F69">
            <v>6</v>
          </cell>
        </row>
        <row r="70">
          <cell r="C70">
            <v>51</v>
          </cell>
          <cell r="D70" t="str">
            <v>RAMALLO - SAN NICOLAS (1)</v>
          </cell>
          <cell r="E70">
            <v>220</v>
          </cell>
          <cell r="F70">
            <v>6</v>
          </cell>
        </row>
        <row r="71">
          <cell r="C71">
            <v>52</v>
          </cell>
          <cell r="D71" t="str">
            <v>RAMALLO - VILLA LIA  1</v>
          </cell>
          <cell r="E71">
            <v>220</v>
          </cell>
          <cell r="F71">
            <v>114</v>
          </cell>
          <cell r="GS71">
            <v>1</v>
          </cell>
        </row>
        <row r="72">
          <cell r="C72">
            <v>53</v>
          </cell>
          <cell r="D72" t="str">
            <v>RAMALLO - VILLA LIA  2</v>
          </cell>
          <cell r="E72">
            <v>220</v>
          </cell>
          <cell r="F72">
            <v>114</v>
          </cell>
          <cell r="GT72">
            <v>1</v>
          </cell>
        </row>
        <row r="73">
          <cell r="C73">
            <v>54</v>
          </cell>
          <cell r="D73" t="str">
            <v>ROSARIO OESTE - RAMALLO  1</v>
          </cell>
          <cell r="E73">
            <v>220</v>
          </cell>
          <cell r="F73">
            <v>77</v>
          </cell>
          <cell r="GS73">
            <v>1</v>
          </cell>
          <cell r="GT73">
            <v>1</v>
          </cell>
          <cell r="HC73">
            <v>1</v>
          </cell>
        </row>
        <row r="74">
          <cell r="C74">
            <v>55</v>
          </cell>
          <cell r="D74" t="str">
            <v>ROSARIO OESTE - RAMALLO  2</v>
          </cell>
          <cell r="E74">
            <v>220</v>
          </cell>
          <cell r="F74">
            <v>77</v>
          </cell>
          <cell r="GS74">
            <v>1</v>
          </cell>
          <cell r="HC74">
            <v>1</v>
          </cell>
        </row>
        <row r="75">
          <cell r="C75">
            <v>56</v>
          </cell>
          <cell r="D75" t="str">
            <v>VILLA LIA - ATUCHA 1</v>
          </cell>
          <cell r="E75">
            <v>220</v>
          </cell>
          <cell r="F75">
            <v>26</v>
          </cell>
          <cell r="GX75">
            <v>1</v>
          </cell>
        </row>
        <row r="76">
          <cell r="C76">
            <v>57</v>
          </cell>
          <cell r="D76" t="str">
            <v>VILLA LIA - ATUCHA 2</v>
          </cell>
          <cell r="E76">
            <v>220</v>
          </cell>
          <cell r="F76">
            <v>26</v>
          </cell>
        </row>
        <row r="78">
          <cell r="C78">
            <v>58</v>
          </cell>
          <cell r="D78" t="str">
            <v>GRAL RODRIGUEZ - RAMALLO</v>
          </cell>
          <cell r="E78">
            <v>500</v>
          </cell>
          <cell r="F78">
            <v>183.9</v>
          </cell>
          <cell r="GS78">
            <v>1</v>
          </cell>
        </row>
        <row r="79">
          <cell r="C79">
            <v>59</v>
          </cell>
          <cell r="D79" t="str">
            <v>RAMALLO - ROSARIO OESTE</v>
          </cell>
          <cell r="E79">
            <v>500</v>
          </cell>
          <cell r="F79">
            <v>77</v>
          </cell>
          <cell r="GS79">
            <v>1</v>
          </cell>
        </row>
        <row r="80">
          <cell r="C80">
            <v>60</v>
          </cell>
          <cell r="D80" t="str">
            <v>MACACHIN - HENDERSON</v>
          </cell>
          <cell r="E80">
            <v>500</v>
          </cell>
          <cell r="F80">
            <v>194</v>
          </cell>
        </row>
        <row r="81">
          <cell r="C81">
            <v>61</v>
          </cell>
          <cell r="D81" t="str">
            <v>PUELCHES - MACACHIN</v>
          </cell>
          <cell r="E81">
            <v>500</v>
          </cell>
          <cell r="F81">
            <v>227</v>
          </cell>
        </row>
        <row r="84">
          <cell r="C84">
            <v>62</v>
          </cell>
          <cell r="D84" t="str">
            <v>YACYRETÁ - RINCON I</v>
          </cell>
          <cell r="E84">
            <v>500</v>
          </cell>
          <cell r="F84">
            <v>3.6</v>
          </cell>
        </row>
        <row r="85">
          <cell r="C85">
            <v>63</v>
          </cell>
          <cell r="D85" t="str">
            <v>YACYRETÁ - RINCON II</v>
          </cell>
          <cell r="E85">
            <v>500</v>
          </cell>
          <cell r="F85">
            <v>3.6</v>
          </cell>
        </row>
        <row r="86">
          <cell r="C86">
            <v>64</v>
          </cell>
          <cell r="D86" t="str">
            <v>YACYRETÁ - RINCON III</v>
          </cell>
          <cell r="E86">
            <v>500</v>
          </cell>
          <cell r="F86">
            <v>3.6</v>
          </cell>
        </row>
        <row r="87">
          <cell r="C87">
            <v>65</v>
          </cell>
          <cell r="D87" t="str">
            <v>RINCON - PASO DE LA PATRIA</v>
          </cell>
          <cell r="E87">
            <v>500</v>
          </cell>
          <cell r="F87">
            <v>227</v>
          </cell>
        </row>
        <row r="88">
          <cell r="C88">
            <v>66</v>
          </cell>
          <cell r="D88" t="str">
            <v>PASO DE LA PATRIA - RESISTENCIA</v>
          </cell>
          <cell r="E88">
            <v>500</v>
          </cell>
          <cell r="F88">
            <v>40</v>
          </cell>
        </row>
        <row r="89">
          <cell r="C89">
            <v>67</v>
          </cell>
          <cell r="D89" t="str">
            <v>RINCON - RESISTENCIA</v>
          </cell>
          <cell r="E89">
            <v>500</v>
          </cell>
          <cell r="F89">
            <v>267</v>
          </cell>
          <cell r="GS89" t="str">
            <v>XXXX</v>
          </cell>
          <cell r="GT89" t="str">
            <v>XXXX</v>
          </cell>
          <cell r="GU89" t="str">
            <v>XXXX</v>
          </cell>
          <cell r="GV89" t="str">
            <v>XXXX</v>
          </cell>
          <cell r="GW89" t="str">
            <v>XXXX</v>
          </cell>
          <cell r="GX89" t="str">
            <v>XXXX</v>
          </cell>
          <cell r="GY89" t="str">
            <v>XXXX</v>
          </cell>
          <cell r="GZ89" t="str">
            <v>XXXX</v>
          </cell>
          <cell r="HA89" t="str">
            <v>XXXX</v>
          </cell>
          <cell r="HB89" t="str">
            <v>XXXX</v>
          </cell>
          <cell r="HC89" t="str">
            <v>XXXX</v>
          </cell>
          <cell r="HD89" t="str">
            <v>XXXX</v>
          </cell>
        </row>
        <row r="91">
          <cell r="C91">
            <v>68</v>
          </cell>
          <cell r="D91" t="str">
            <v>RINCON - SALTO GRANDE</v>
          </cell>
          <cell r="E91">
            <v>500</v>
          </cell>
          <cell r="F91">
            <v>506</v>
          </cell>
          <cell r="HD91">
            <v>1</v>
          </cell>
        </row>
        <row r="92">
          <cell r="C92">
            <v>69</v>
          </cell>
          <cell r="D92" t="str">
            <v>RINCON - SAN ISIDRO</v>
          </cell>
          <cell r="E92">
            <v>500</v>
          </cell>
          <cell r="F92">
            <v>85</v>
          </cell>
        </row>
        <row r="94">
          <cell r="C94">
            <v>70</v>
          </cell>
          <cell r="D94" t="str">
            <v>RECREO - LA RIOJA SUR</v>
          </cell>
          <cell r="E94">
            <v>500</v>
          </cell>
          <cell r="F94">
            <v>150.3</v>
          </cell>
          <cell r="GS94">
            <v>1</v>
          </cell>
        </row>
        <row r="95">
          <cell r="C95">
            <v>71</v>
          </cell>
          <cell r="D95" t="str">
            <v>M.BELGRANO - G.RODRIGUEZ</v>
          </cell>
          <cell r="E95">
            <v>500</v>
          </cell>
          <cell r="F95">
            <v>41.4</v>
          </cell>
          <cell r="GW95">
            <v>1</v>
          </cell>
        </row>
        <row r="104">
          <cell r="GS104">
            <v>0.59</v>
          </cell>
          <cell r="GT104">
            <v>0.65</v>
          </cell>
          <cell r="GU104">
            <v>0.63</v>
          </cell>
          <cell r="GV104">
            <v>0.64</v>
          </cell>
          <cell r="GW104">
            <v>0.61</v>
          </cell>
          <cell r="GX104">
            <v>0.59</v>
          </cell>
          <cell r="GY104">
            <v>0.54</v>
          </cell>
          <cell r="GZ104">
            <v>0.44</v>
          </cell>
          <cell r="HA104">
            <v>0.45</v>
          </cell>
          <cell r="HB104">
            <v>0.43</v>
          </cell>
          <cell r="HC104">
            <v>0.38</v>
          </cell>
          <cell r="HD104">
            <v>0.28</v>
          </cell>
          <cell r="HE104">
            <v>0.32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51"/>
  <sheetViews>
    <sheetView zoomScale="70" zoomScaleNormal="70" zoomScalePageLayoutView="0" workbookViewId="0" topLeftCell="A1">
      <selection activeCell="I7" sqref="I7"/>
    </sheetView>
  </sheetViews>
  <sheetFormatPr defaultColWidth="11.421875" defaultRowHeight="12.75"/>
  <cols>
    <col min="1" max="1" width="22.7109375" style="5" customWidth="1"/>
    <col min="2" max="2" width="7.7109375" style="5" customWidth="1"/>
    <col min="3" max="3" width="9.140625" style="5" customWidth="1"/>
    <col min="4" max="4" width="10.7109375" style="5" customWidth="1"/>
    <col min="5" max="5" width="9.57421875" style="5" customWidth="1"/>
    <col min="6" max="6" width="17.00390625" style="5" customWidth="1"/>
    <col min="7" max="7" width="19.8515625" style="5" customWidth="1"/>
    <col min="8" max="8" width="20.7109375" style="5" customWidth="1"/>
    <col min="9" max="9" width="15.7109375" style="5" customWidth="1"/>
    <col min="10" max="10" width="12.28125" style="5" customWidth="1"/>
    <col min="11" max="11" width="15.7109375" style="5" customWidth="1"/>
    <col min="12" max="13" width="11.421875" style="5" customWidth="1"/>
    <col min="14" max="14" width="14.140625" style="5" customWidth="1"/>
    <col min="15" max="15" width="11.421875" style="5" customWidth="1"/>
    <col min="16" max="16" width="14.7109375" style="5" customWidth="1"/>
    <col min="17" max="17" width="11.421875" style="5" customWidth="1"/>
    <col min="18" max="18" width="12.00390625" style="5" customWidth="1"/>
    <col min="19" max="16384" width="11.421875" style="5" customWidth="1"/>
  </cols>
  <sheetData>
    <row r="1" spans="1:11" s="18" customFormat="1" ht="26.25">
      <c r="A1" s="745"/>
      <c r="B1" s="19"/>
      <c r="E1" s="54"/>
      <c r="K1" s="144"/>
    </row>
    <row r="2" spans="2:10" s="18" customFormat="1" ht="26.25">
      <c r="B2" s="19" t="s">
        <v>375</v>
      </c>
      <c r="C2" s="20"/>
      <c r="D2" s="21"/>
      <c r="E2" s="21"/>
      <c r="F2" s="21"/>
      <c r="G2" s="21"/>
      <c r="H2" s="21"/>
      <c r="I2" s="21"/>
      <c r="J2" s="21"/>
    </row>
    <row r="3" spans="3:19" ht="12.75">
      <c r="C3"/>
      <c r="D3" s="22"/>
      <c r="E3" s="22"/>
      <c r="F3" s="22"/>
      <c r="G3" s="22"/>
      <c r="H3" s="22"/>
      <c r="I3" s="22"/>
      <c r="J3" s="22"/>
      <c r="P3" s="4"/>
      <c r="Q3" s="4"/>
      <c r="R3" s="4"/>
      <c r="S3" s="4"/>
    </row>
    <row r="4" spans="1:19" s="25" customFormat="1" ht="11.25">
      <c r="A4" s="23" t="s">
        <v>1</v>
      </c>
      <c r="B4" s="24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25" customFormat="1" ht="11.25">
      <c r="A5" s="23" t="s">
        <v>2</v>
      </c>
      <c r="B5" s="24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2:19" s="18" customFormat="1" ht="11.25" customHeight="1">
      <c r="B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2:19" s="29" customFormat="1" ht="21">
      <c r="B7" s="83" t="s">
        <v>62</v>
      </c>
      <c r="C7" s="167"/>
      <c r="D7" s="168"/>
      <c r="E7" s="168"/>
      <c r="F7" s="169"/>
      <c r="G7" s="169"/>
      <c r="H7" s="169"/>
      <c r="I7" s="169"/>
      <c r="J7" s="169"/>
      <c r="K7" s="30"/>
      <c r="L7" s="30"/>
      <c r="M7" s="30"/>
      <c r="N7" s="30"/>
      <c r="O7" s="30"/>
      <c r="P7" s="30"/>
      <c r="Q7" s="30"/>
      <c r="R7" s="30"/>
      <c r="S7" s="30"/>
    </row>
    <row r="8" spans="9:19" ht="12.75"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2:19" s="29" customFormat="1" ht="21">
      <c r="B9" s="83" t="s">
        <v>61</v>
      </c>
      <c r="C9" s="167"/>
      <c r="D9" s="168"/>
      <c r="E9" s="168"/>
      <c r="F9" s="168"/>
      <c r="G9" s="168"/>
      <c r="H9" s="168"/>
      <c r="I9" s="169"/>
      <c r="J9" s="169"/>
      <c r="K9" s="30"/>
      <c r="L9" s="30"/>
      <c r="M9" s="30"/>
      <c r="N9" s="30"/>
      <c r="O9" s="30"/>
      <c r="P9" s="30"/>
      <c r="Q9" s="30"/>
      <c r="R9" s="30"/>
      <c r="S9" s="30"/>
    </row>
    <row r="10" spans="4:19" ht="12.75">
      <c r="D10" s="31"/>
      <c r="E10" s="3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2:19" s="29" customFormat="1" ht="20.25">
      <c r="B11" s="83" t="s">
        <v>372</v>
      </c>
      <c r="C11" s="170"/>
      <c r="D11" s="171"/>
      <c r="E11" s="171"/>
      <c r="F11" s="168"/>
      <c r="G11" s="168"/>
      <c r="H11" s="168"/>
      <c r="I11" s="169"/>
      <c r="J11" s="169"/>
      <c r="K11" s="30"/>
      <c r="L11" s="30"/>
      <c r="M11" s="30"/>
      <c r="N11" s="30"/>
      <c r="O11" s="30"/>
      <c r="P11" s="30"/>
      <c r="Q11" s="30"/>
      <c r="R11" s="30"/>
      <c r="S11" s="30"/>
    </row>
    <row r="12" spans="4:19" s="32" customFormat="1" ht="16.5" thickBot="1">
      <c r="D12" s="3"/>
      <c r="E12" s="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2:19" s="32" customFormat="1" ht="16.5" thickTop="1">
      <c r="B13" s="725"/>
      <c r="C13" s="34"/>
      <c r="D13" s="34"/>
      <c r="E13" s="726"/>
      <c r="F13" s="34"/>
      <c r="G13" s="34"/>
      <c r="H13" s="34"/>
      <c r="I13" s="34"/>
      <c r="J13" s="35"/>
      <c r="K13" s="33"/>
      <c r="L13" s="33"/>
      <c r="M13" s="33"/>
      <c r="N13" s="33"/>
      <c r="O13" s="33"/>
      <c r="P13" s="33"/>
      <c r="Q13" s="33"/>
      <c r="R13" s="33"/>
      <c r="S13" s="33"/>
    </row>
    <row r="14" spans="2:19" s="36" customFormat="1" ht="19.5">
      <c r="B14" s="37" t="s">
        <v>272</v>
      </c>
      <c r="C14" s="38"/>
      <c r="D14" s="39"/>
      <c r="E14" s="727"/>
      <c r="F14" s="40"/>
      <c r="G14" s="40"/>
      <c r="H14" s="40"/>
      <c r="I14" s="41"/>
      <c r="J14" s="42"/>
      <c r="K14" s="43"/>
      <c r="L14" s="43"/>
      <c r="M14" s="43"/>
      <c r="N14" s="43"/>
      <c r="O14" s="43"/>
      <c r="P14" s="43"/>
      <c r="Q14" s="43"/>
      <c r="R14" s="43"/>
      <c r="S14" s="43"/>
    </row>
    <row r="15" spans="2:19" s="36" customFormat="1" ht="13.5" customHeight="1">
      <c r="B15" s="44"/>
      <c r="C15" s="45"/>
      <c r="D15" s="161"/>
      <c r="E15" s="165"/>
      <c r="F15" s="46"/>
      <c r="G15" s="46"/>
      <c r="H15" s="46"/>
      <c r="I15" s="43"/>
      <c r="J15" s="47"/>
      <c r="K15" s="43"/>
      <c r="L15" s="43"/>
      <c r="M15" s="43"/>
      <c r="N15" s="43"/>
      <c r="O15" s="43"/>
      <c r="P15" s="43"/>
      <c r="Q15" s="43"/>
      <c r="R15" s="43"/>
      <c r="S15" s="43"/>
    </row>
    <row r="16" spans="2:19" s="36" customFormat="1" ht="19.5">
      <c r="B16" s="44"/>
      <c r="C16" s="48" t="s">
        <v>3</v>
      </c>
      <c r="D16" s="161" t="s">
        <v>0</v>
      </c>
      <c r="E16" s="165"/>
      <c r="F16" s="46"/>
      <c r="G16" s="46"/>
      <c r="H16" s="46"/>
      <c r="I16" s="49"/>
      <c r="J16" s="47"/>
      <c r="K16" s="43"/>
      <c r="L16" s="43"/>
      <c r="M16" s="43"/>
      <c r="N16" s="43"/>
      <c r="O16" s="43"/>
      <c r="P16" s="43"/>
      <c r="Q16" s="43"/>
      <c r="R16" s="43"/>
      <c r="S16" s="43"/>
    </row>
    <row r="17" spans="2:19" s="36" customFormat="1" ht="19.5">
      <c r="B17" s="44"/>
      <c r="C17" s="48"/>
      <c r="D17" s="161">
        <v>11</v>
      </c>
      <c r="E17" s="162" t="s">
        <v>4</v>
      </c>
      <c r="F17" s="46"/>
      <c r="G17" s="46"/>
      <c r="H17" s="46"/>
      <c r="I17" s="49">
        <f>'LI-01 (1)'!AE42</f>
        <v>4721.78</v>
      </c>
      <c r="J17" s="47"/>
      <c r="K17" s="43"/>
      <c r="L17" s="43"/>
      <c r="M17" s="43"/>
      <c r="N17" s="43"/>
      <c r="O17" s="43"/>
      <c r="P17" s="43"/>
      <c r="Q17" s="43"/>
      <c r="R17" s="43"/>
      <c r="S17" s="43"/>
    </row>
    <row r="18" spans="2:19" ht="12.75" customHeight="1">
      <c r="B18" s="50"/>
      <c r="C18" s="51"/>
      <c r="D18" s="161"/>
      <c r="E18" s="829"/>
      <c r="F18" s="830"/>
      <c r="G18" s="830"/>
      <c r="H18" s="830"/>
      <c r="I18" s="831"/>
      <c r="J18" s="6"/>
      <c r="K18" s="43"/>
      <c r="L18" s="4"/>
      <c r="M18" s="4"/>
      <c r="N18" s="4"/>
      <c r="O18" s="4"/>
      <c r="P18" s="4"/>
      <c r="Q18" s="4"/>
      <c r="R18" s="4"/>
      <c r="S18" s="4"/>
    </row>
    <row r="19" spans="2:19" s="36" customFormat="1" ht="19.5">
      <c r="B19" s="44"/>
      <c r="C19" s="48" t="s">
        <v>5</v>
      </c>
      <c r="D19" s="164" t="s">
        <v>6</v>
      </c>
      <c r="E19" s="832"/>
      <c r="F19" s="827"/>
      <c r="G19" s="827"/>
      <c r="H19" s="827"/>
      <c r="I19" s="828"/>
      <c r="J19" s="47"/>
      <c r="K19" s="43"/>
      <c r="L19" s="43"/>
      <c r="M19" s="43"/>
      <c r="N19" s="43"/>
      <c r="O19" s="43"/>
      <c r="P19" s="43"/>
      <c r="Q19" s="43"/>
      <c r="R19" s="43"/>
      <c r="S19" s="43"/>
    </row>
    <row r="20" spans="2:19" s="36" customFormat="1" ht="19.5">
      <c r="B20" s="44"/>
      <c r="C20" s="48"/>
      <c r="D20" s="161">
        <v>21</v>
      </c>
      <c r="E20" s="826" t="s">
        <v>7</v>
      </c>
      <c r="F20" s="827"/>
      <c r="G20" s="827"/>
      <c r="H20" s="827"/>
      <c r="I20" s="828"/>
      <c r="J20" s="47"/>
      <c r="K20" s="43"/>
      <c r="L20" s="43"/>
      <c r="M20" s="43"/>
      <c r="N20" s="43"/>
      <c r="O20" s="43"/>
      <c r="P20" s="43"/>
      <c r="Q20" s="43"/>
      <c r="R20" s="43"/>
      <c r="S20" s="43"/>
    </row>
    <row r="21" spans="2:19" s="36" customFormat="1" ht="19.5">
      <c r="B21" s="44"/>
      <c r="C21" s="48"/>
      <c r="D21" s="161"/>
      <c r="E21" s="833">
        <v>211</v>
      </c>
      <c r="F21" s="834" t="s">
        <v>4</v>
      </c>
      <c r="G21" s="827"/>
      <c r="H21" s="827"/>
      <c r="I21" s="828">
        <f>'TR-01 (1)'!AC43</f>
        <v>11664.8</v>
      </c>
      <c r="J21" s="47"/>
      <c r="K21" s="43"/>
      <c r="L21" s="43"/>
      <c r="M21" s="43"/>
      <c r="N21" s="43"/>
      <c r="O21" s="43"/>
      <c r="P21" s="43"/>
      <c r="Q21" s="43"/>
      <c r="R21" s="43"/>
      <c r="S21" s="43"/>
    </row>
    <row r="22" spans="2:19" s="36" customFormat="1" ht="19.5">
      <c r="B22" s="44"/>
      <c r="C22" s="48"/>
      <c r="D22" s="161">
        <v>22</v>
      </c>
      <c r="E22" s="162" t="s">
        <v>8</v>
      </c>
      <c r="F22" s="46"/>
      <c r="G22" s="46"/>
      <c r="H22" s="46"/>
      <c r="I22" s="49"/>
      <c r="J22" s="47"/>
      <c r="K22" s="43"/>
      <c r="L22" s="43"/>
      <c r="M22" s="43"/>
      <c r="N22" s="43"/>
      <c r="O22" s="43"/>
      <c r="P22" s="43"/>
      <c r="Q22" s="43"/>
      <c r="R22" s="43"/>
      <c r="S22" s="43"/>
    </row>
    <row r="23" spans="2:19" s="36" customFormat="1" ht="19.5">
      <c r="B23" s="44"/>
      <c r="C23" s="48"/>
      <c r="D23" s="161"/>
      <c r="E23" s="163">
        <v>221</v>
      </c>
      <c r="F23" s="54" t="s">
        <v>4</v>
      </c>
      <c r="G23" s="46"/>
      <c r="H23" s="46"/>
      <c r="I23" s="49">
        <f>'SA-01 (2)'!V45</f>
        <v>92153.53</v>
      </c>
      <c r="J23" s="47"/>
      <c r="K23" s="43"/>
      <c r="L23" s="43"/>
      <c r="M23" s="43"/>
      <c r="N23" s="43"/>
      <c r="O23" s="43"/>
      <c r="P23" s="43"/>
      <c r="Q23" s="43"/>
      <c r="R23" s="43"/>
      <c r="S23" s="43"/>
    </row>
    <row r="24" spans="2:19" s="36" customFormat="1" ht="19.5">
      <c r="B24" s="44"/>
      <c r="C24" s="48"/>
      <c r="D24" s="161"/>
      <c r="E24" s="163">
        <v>222</v>
      </c>
      <c r="F24" s="54" t="s">
        <v>66</v>
      </c>
      <c r="G24" s="46"/>
      <c r="H24" s="46"/>
      <c r="I24" s="49">
        <f>'SA-TIBA-01 (1)'!V43</f>
        <v>4834.15</v>
      </c>
      <c r="J24" s="47"/>
      <c r="K24" s="43"/>
      <c r="L24" s="43"/>
      <c r="M24" s="43"/>
      <c r="N24" s="43"/>
      <c r="O24" s="43"/>
      <c r="P24" s="43"/>
      <c r="Q24" s="43"/>
      <c r="R24" s="43"/>
      <c r="S24" s="43"/>
    </row>
    <row r="25" spans="2:19" s="36" customFormat="1" ht="19.5">
      <c r="B25" s="44"/>
      <c r="C25" s="48"/>
      <c r="D25" s="161"/>
      <c r="E25" s="163">
        <v>223</v>
      </c>
      <c r="F25" s="54" t="s">
        <v>354</v>
      </c>
      <c r="G25" s="46"/>
      <c r="H25" s="46"/>
      <c r="I25" s="49">
        <f>'SA-TRANSPORTEL-07 (1)'!V41</f>
        <v>1411.08</v>
      </c>
      <c r="J25" s="47"/>
      <c r="K25" s="43"/>
      <c r="L25" s="43"/>
      <c r="M25" s="43"/>
      <c r="N25" s="43"/>
      <c r="O25" s="43"/>
      <c r="P25" s="43"/>
      <c r="Q25" s="43"/>
      <c r="R25" s="43"/>
      <c r="S25" s="43"/>
    </row>
    <row r="26" spans="2:19" ht="12.75" customHeight="1">
      <c r="B26" s="50"/>
      <c r="C26" s="51"/>
      <c r="D26" s="161"/>
      <c r="E26" s="728"/>
      <c r="F26" s="52"/>
      <c r="G26" s="52"/>
      <c r="H26" s="52"/>
      <c r="I26" s="53"/>
      <c r="J26" s="6"/>
      <c r="K26" s="43"/>
      <c r="L26" s="4"/>
      <c r="M26" s="4"/>
      <c r="N26" s="4"/>
      <c r="O26" s="4"/>
      <c r="P26" s="4"/>
      <c r="Q26" s="4"/>
      <c r="R26" s="4"/>
      <c r="S26" s="4"/>
    </row>
    <row r="27" spans="2:19" s="36" customFormat="1" ht="19.5">
      <c r="B27" s="44"/>
      <c r="C27" s="48" t="s">
        <v>9</v>
      </c>
      <c r="D27" s="164" t="s">
        <v>63</v>
      </c>
      <c r="E27" s="165"/>
      <c r="F27" s="46"/>
      <c r="G27" s="46"/>
      <c r="H27" s="46"/>
      <c r="I27" s="49"/>
      <c r="J27" s="47"/>
      <c r="K27" s="43"/>
      <c r="L27" s="43"/>
      <c r="M27" s="43"/>
      <c r="N27" s="43"/>
      <c r="O27" s="43"/>
      <c r="P27" s="43"/>
      <c r="Q27" s="43"/>
      <c r="R27" s="43"/>
      <c r="S27" s="43"/>
    </row>
    <row r="28" spans="2:19" s="36" customFormat="1" ht="19.5">
      <c r="B28" s="44"/>
      <c r="C28" s="48"/>
      <c r="D28" s="161">
        <v>31</v>
      </c>
      <c r="E28" s="162" t="s">
        <v>4</v>
      </c>
      <c r="F28" s="46"/>
      <c r="G28" s="46"/>
      <c r="H28" s="46"/>
      <c r="I28" s="49">
        <f>'RE-01 (1)'!Z43</f>
        <v>65180.42</v>
      </c>
      <c r="J28" s="47"/>
      <c r="K28" s="43"/>
      <c r="L28" s="43"/>
      <c r="M28" s="43"/>
      <c r="N28" s="43"/>
      <c r="O28" s="43"/>
      <c r="P28" s="43"/>
      <c r="Q28" s="43"/>
      <c r="R28" s="43"/>
      <c r="S28" s="43"/>
    </row>
    <row r="29" spans="2:19" s="36" customFormat="1" ht="12.75" customHeight="1">
      <c r="B29" s="44"/>
      <c r="C29" s="48"/>
      <c r="D29" s="161"/>
      <c r="E29" s="162"/>
      <c r="F29" s="46"/>
      <c r="G29" s="46"/>
      <c r="H29" s="46"/>
      <c r="I29" s="49"/>
      <c r="J29" s="47"/>
      <c r="K29" s="43"/>
      <c r="L29" s="43"/>
      <c r="M29" s="43"/>
      <c r="N29" s="43"/>
      <c r="O29" s="43"/>
      <c r="P29" s="43"/>
      <c r="Q29" s="43"/>
      <c r="R29" s="43"/>
      <c r="S29" s="43"/>
    </row>
    <row r="30" spans="2:19" s="36" customFormat="1" ht="19.5">
      <c r="B30" s="44"/>
      <c r="C30" s="48" t="s">
        <v>64</v>
      </c>
      <c r="D30" s="164" t="s">
        <v>65</v>
      </c>
      <c r="E30" s="165"/>
      <c r="F30" s="46"/>
      <c r="G30" s="46"/>
      <c r="H30" s="46"/>
      <c r="I30" s="49"/>
      <c r="J30" s="47"/>
      <c r="K30" s="43"/>
      <c r="L30" s="43"/>
      <c r="M30" s="43"/>
      <c r="N30" s="43"/>
      <c r="O30" s="43"/>
      <c r="P30" s="43"/>
      <c r="Q30" s="43"/>
      <c r="R30" s="43"/>
      <c r="S30" s="43"/>
    </row>
    <row r="31" spans="2:19" s="36" customFormat="1" ht="19.5">
      <c r="B31" s="44"/>
      <c r="C31" s="48"/>
      <c r="D31" s="161">
        <v>41</v>
      </c>
      <c r="E31" s="162" t="s">
        <v>66</v>
      </c>
      <c r="F31" s="46"/>
      <c r="G31" s="46"/>
      <c r="H31" s="46"/>
      <c r="I31" s="49">
        <f>'SUP-TIBA'!J69</f>
        <v>1217.4411006596881</v>
      </c>
      <c r="J31" s="47"/>
      <c r="K31" s="43"/>
      <c r="L31" s="43"/>
      <c r="M31" s="43"/>
      <c r="N31" s="43"/>
      <c r="O31" s="43"/>
      <c r="P31" s="43"/>
      <c r="Q31" s="43"/>
      <c r="R31" s="43"/>
      <c r="S31" s="43"/>
    </row>
    <row r="32" spans="2:19" s="36" customFormat="1" ht="19.5">
      <c r="B32" s="44"/>
      <c r="C32" s="48"/>
      <c r="D32" s="161">
        <v>42</v>
      </c>
      <c r="E32" s="54" t="s">
        <v>354</v>
      </c>
      <c r="F32" s="46"/>
      <c r="G32" s="46"/>
      <c r="H32" s="46"/>
      <c r="I32" s="49">
        <f>'SUP-TRANSPORTEL'!K62</f>
        <v>564.4317657288725</v>
      </c>
      <c r="J32" s="47"/>
      <c r="K32" s="43"/>
      <c r="L32" s="43"/>
      <c r="M32" s="43"/>
      <c r="N32" s="43"/>
      <c r="O32" s="43"/>
      <c r="P32" s="43"/>
      <c r="Q32" s="43"/>
      <c r="R32" s="43"/>
      <c r="S32" s="43"/>
    </row>
    <row r="33" spans="2:19" s="36" customFormat="1" ht="11.25" customHeight="1">
      <c r="B33" s="44"/>
      <c r="C33" s="48"/>
      <c r="D33" s="161"/>
      <c r="E33" s="162"/>
      <c r="F33" s="46"/>
      <c r="G33" s="46"/>
      <c r="H33" s="758"/>
      <c r="I33" s="49"/>
      <c r="J33" s="47"/>
      <c r="K33" s="43"/>
      <c r="L33" s="43"/>
      <c r="M33" s="43"/>
      <c r="N33" s="43"/>
      <c r="O33" s="43"/>
      <c r="P33" s="43"/>
      <c r="Q33" s="43"/>
      <c r="R33" s="43"/>
      <c r="S33" s="43"/>
    </row>
    <row r="34" spans="2:19" s="36" customFormat="1" ht="20.25" thickBot="1">
      <c r="B34" s="44"/>
      <c r="C34" s="45"/>
      <c r="D34" s="161"/>
      <c r="E34" s="165"/>
      <c r="F34" s="46"/>
      <c r="G34" s="46"/>
      <c r="H34" s="46"/>
      <c r="I34" s="43"/>
      <c r="J34" s="47"/>
      <c r="K34" s="43"/>
      <c r="L34" s="43"/>
      <c r="M34" s="43"/>
      <c r="N34" s="43"/>
      <c r="O34" s="43"/>
      <c r="P34" s="43"/>
      <c r="Q34" s="43"/>
      <c r="R34" s="43"/>
      <c r="S34" s="43"/>
    </row>
    <row r="35" spans="2:19" s="36" customFormat="1" ht="20.25" thickBot="1" thickTop="1">
      <c r="B35" s="44"/>
      <c r="C35" s="48"/>
      <c r="D35" s="48"/>
      <c r="F35" s="55" t="s">
        <v>10</v>
      </c>
      <c r="G35" s="56">
        <f>SUM(I17:I32)</f>
        <v>181747.63286638857</v>
      </c>
      <c r="H35" s="125"/>
      <c r="J35" s="47"/>
      <c r="K35" s="43"/>
      <c r="L35" s="43"/>
      <c r="M35" s="43"/>
      <c r="N35" s="43"/>
      <c r="O35" s="43"/>
      <c r="P35" s="43"/>
      <c r="Q35" s="43"/>
      <c r="R35" s="43"/>
      <c r="S35" s="43"/>
    </row>
    <row r="36" spans="2:19" s="36" customFormat="1" ht="9.75" customHeight="1" thickTop="1">
      <c r="B36" s="44"/>
      <c r="C36" s="48"/>
      <c r="D36" s="48"/>
      <c r="F36" s="160"/>
      <c r="G36" s="125"/>
      <c r="H36" s="125"/>
      <c r="J36" s="47"/>
      <c r="K36" s="43"/>
      <c r="L36" s="43"/>
      <c r="M36" s="43"/>
      <c r="N36" s="43"/>
      <c r="O36" s="43"/>
      <c r="P36" s="43"/>
      <c r="Q36" s="43"/>
      <c r="R36" s="43"/>
      <c r="S36" s="43"/>
    </row>
    <row r="37" spans="2:19" s="36" customFormat="1" ht="20.25" customHeight="1">
      <c r="B37" s="44"/>
      <c r="C37" s="949" t="s">
        <v>371</v>
      </c>
      <c r="D37" s="48"/>
      <c r="F37" s="160"/>
      <c r="G37" s="125"/>
      <c r="H37" s="125"/>
      <c r="J37" s="47"/>
      <c r="K37" s="43"/>
      <c r="L37" s="43"/>
      <c r="M37" s="43"/>
      <c r="N37" s="43"/>
      <c r="O37" s="43"/>
      <c r="P37" s="43"/>
      <c r="Q37" s="43"/>
      <c r="R37" s="43"/>
      <c r="S37" s="43"/>
    </row>
    <row r="38" spans="2:19" s="36" customFormat="1" ht="18.75">
      <c r="B38" s="44"/>
      <c r="C38" s="166" t="s">
        <v>374</v>
      </c>
      <c r="D38" s="48"/>
      <c r="F38" s="160"/>
      <c r="G38" s="125"/>
      <c r="H38" s="125"/>
      <c r="I38" s="759"/>
      <c r="J38" s="47"/>
      <c r="K38" s="43"/>
      <c r="L38" s="43"/>
      <c r="M38" s="43"/>
      <c r="N38" s="43"/>
      <c r="O38" s="43"/>
      <c r="P38" s="43"/>
      <c r="Q38" s="43"/>
      <c r="R38" s="43"/>
      <c r="S38" s="43"/>
    </row>
    <row r="39" spans="2:19" s="36" customFormat="1" ht="18.75">
      <c r="B39" s="44"/>
      <c r="C39" s="166" t="s">
        <v>373</v>
      </c>
      <c r="D39" s="48"/>
      <c r="F39" s="160"/>
      <c r="G39" s="125"/>
      <c r="H39" s="125"/>
      <c r="I39" s="759"/>
      <c r="J39" s="47"/>
      <c r="K39" s="43"/>
      <c r="L39" s="43"/>
      <c r="M39" s="43"/>
      <c r="N39" s="43"/>
      <c r="O39" s="43"/>
      <c r="P39" s="43"/>
      <c r="Q39" s="43"/>
      <c r="R39" s="43"/>
      <c r="S39" s="43"/>
    </row>
    <row r="40" spans="2:19" s="32" customFormat="1" ht="10.5" customHeight="1" thickBot="1">
      <c r="B40" s="57"/>
      <c r="C40" s="58"/>
      <c r="D40" s="58"/>
      <c r="E40" s="59"/>
      <c r="F40" s="59"/>
      <c r="G40" s="59"/>
      <c r="H40" s="59"/>
      <c r="I40" s="59"/>
      <c r="J40" s="60"/>
      <c r="K40" s="33"/>
      <c r="L40" s="33"/>
      <c r="M40" s="61"/>
      <c r="N40" s="62"/>
      <c r="O40" s="62"/>
      <c r="P40" s="63"/>
      <c r="Q40" s="64"/>
      <c r="R40" s="33"/>
      <c r="S40" s="33"/>
    </row>
    <row r="41" spans="4:19" ht="13.5" thickTop="1">
      <c r="D41" s="4"/>
      <c r="F41" s="4"/>
      <c r="G41" s="4"/>
      <c r="H41" s="4"/>
      <c r="I41" s="4"/>
      <c r="J41" s="4"/>
      <c r="K41" s="4"/>
      <c r="L41" s="4"/>
      <c r="M41" s="15"/>
      <c r="N41" s="65"/>
      <c r="O41" s="65"/>
      <c r="P41" s="4"/>
      <c r="Q41" s="66"/>
      <c r="R41" s="4"/>
      <c r="S41" s="4"/>
    </row>
    <row r="42" spans="4:19" ht="12.75">
      <c r="D42" s="4"/>
      <c r="F42" s="4"/>
      <c r="G42" s="4"/>
      <c r="H42" s="4"/>
      <c r="I42" s="4"/>
      <c r="J42" s="4"/>
      <c r="K42" s="4"/>
      <c r="L42" s="4"/>
      <c r="M42" s="4"/>
      <c r="N42" s="67"/>
      <c r="O42" s="67"/>
      <c r="P42" s="68"/>
      <c r="Q42" s="66"/>
      <c r="R42" s="4"/>
      <c r="S42" s="4"/>
    </row>
    <row r="43" spans="4:19" ht="12.75">
      <c r="D43" s="4"/>
      <c r="E43" s="4"/>
      <c r="F43" s="4"/>
      <c r="G43" s="4"/>
      <c r="H43" s="4"/>
      <c r="I43" s="4"/>
      <c r="J43" s="4"/>
      <c r="K43" s="4"/>
      <c r="L43" s="4"/>
      <c r="M43" s="4"/>
      <c r="N43" s="67"/>
      <c r="O43" s="67"/>
      <c r="P43" s="68"/>
      <c r="Q43" s="66"/>
      <c r="R43" s="4"/>
      <c r="S43" s="4"/>
    </row>
    <row r="44" spans="4:19" ht="12.75">
      <c r="D44" s="4"/>
      <c r="E44" s="4"/>
      <c r="L44" s="4"/>
      <c r="M44" s="4"/>
      <c r="N44" s="4"/>
      <c r="O44" s="4"/>
      <c r="P44" s="4"/>
      <c r="Q44" s="4"/>
      <c r="R44" s="4"/>
      <c r="S44" s="4"/>
    </row>
    <row r="45" spans="4:19" ht="12.75">
      <c r="D45" s="4"/>
      <c r="E45" s="4"/>
      <c r="P45" s="4"/>
      <c r="Q45" s="4"/>
      <c r="R45" s="4"/>
      <c r="S45" s="4"/>
    </row>
    <row r="46" spans="4:19" ht="12.75">
      <c r="D46" s="4"/>
      <c r="E46" s="4"/>
      <c r="P46" s="4"/>
      <c r="Q46" s="4"/>
      <c r="R46" s="4"/>
      <c r="S46" s="4"/>
    </row>
    <row r="47" spans="4:19" ht="12.75">
      <c r="D47" s="4"/>
      <c r="E47" s="4"/>
      <c r="P47" s="4"/>
      <c r="Q47" s="4"/>
      <c r="R47" s="4"/>
      <c r="S47" s="4"/>
    </row>
    <row r="48" spans="4:19" ht="12.75">
      <c r="D48" s="4"/>
      <c r="E48" s="4"/>
      <c r="P48" s="4"/>
      <c r="Q48" s="4"/>
      <c r="R48" s="4"/>
      <c r="S48" s="4"/>
    </row>
    <row r="49" spans="4:19" ht="12.75">
      <c r="D49" s="4"/>
      <c r="E49" s="4"/>
      <c r="P49" s="4"/>
      <c r="Q49" s="4"/>
      <c r="R49" s="4"/>
      <c r="S49" s="4"/>
    </row>
    <row r="50" spans="16:19" ht="12.75">
      <c r="P50" s="4"/>
      <c r="Q50" s="4"/>
      <c r="R50" s="4"/>
      <c r="S50" s="4"/>
    </row>
    <row r="51" spans="16:19" ht="12.75">
      <c r="P51" s="4"/>
      <c r="Q51" s="4"/>
      <c r="R51" s="4"/>
      <c r="S51" s="4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portrait" paperSize="9" scale="67" r:id="rId2"/>
  <headerFooter alignWithMargins="0">
    <oddFooter>&amp;L&amp;"Times New Roman,Normal"&amp;8&amp;F-&amp;A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4">
    <pageSetUpPr fitToPage="1"/>
  </sheetPr>
  <dimension ref="A1:AE64"/>
  <sheetViews>
    <sheetView zoomScale="50" zoomScaleNormal="50" zoomScalePageLayoutView="0" workbookViewId="0" topLeftCell="A10">
      <selection activeCell="G35" sqref="G35"/>
    </sheetView>
  </sheetViews>
  <sheetFormatPr defaultColWidth="11.421875" defaultRowHeight="12.75"/>
  <cols>
    <col min="1" max="1" width="23.57421875" style="0" customWidth="1"/>
    <col min="2" max="2" width="10.140625" style="0" customWidth="1"/>
    <col min="3" max="3" width="4.7109375" style="0" customWidth="1"/>
    <col min="4" max="4" width="30.7109375" style="0" customWidth="1"/>
    <col min="5" max="5" width="25.8515625" style="0" customWidth="1"/>
    <col min="6" max="6" width="13.00390625" style="0" customWidth="1"/>
    <col min="7" max="7" width="14.421875" style="0" customWidth="1"/>
    <col min="8" max="9" width="11.00390625" style="0" hidden="1" customWidth="1"/>
    <col min="10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8.421875" style="0" customWidth="1"/>
    <col min="17" max="17" width="7.7109375" style="0" customWidth="1"/>
    <col min="18" max="18" width="12.140625" style="0" hidden="1" customWidth="1"/>
    <col min="19" max="19" width="15.8515625" style="0" hidden="1" customWidth="1"/>
    <col min="20" max="27" width="8.421875" style="0" hidden="1" customWidth="1"/>
    <col min="28" max="28" width="11.140625" style="0" customWidth="1"/>
    <col min="29" max="29" width="20.7109375" style="0" customWidth="1"/>
    <col min="30" max="30" width="22.0039062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9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AD1" s="144"/>
    </row>
    <row r="2" spans="1:23" ht="27" customHeight="1">
      <c r="A2" s="9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447" customFormat="1" ht="30.75">
      <c r="A3" s="444"/>
      <c r="B3" s="445" t="str">
        <f>'TOT-0111'!B2</f>
        <v>ANEXO II al Memorándum D.T.E.E. N°  1088 / 2012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AB3" s="446"/>
      <c r="AC3" s="446"/>
      <c r="AD3" s="446"/>
    </row>
    <row r="4" spans="1:2" s="25" customFormat="1" ht="11.25">
      <c r="A4" s="630" t="s">
        <v>1</v>
      </c>
      <c r="B4" s="631"/>
    </row>
    <row r="5" spans="1:2" s="25" customFormat="1" ht="12" thickBot="1">
      <c r="A5" s="630" t="s">
        <v>2</v>
      </c>
      <c r="B5" s="630"/>
    </row>
    <row r="6" spans="1:30" ht="16.5" customHeight="1" thickTop="1">
      <c r="A6" s="5"/>
      <c r="B6" s="69"/>
      <c r="C6" s="70"/>
      <c r="D6" s="70"/>
      <c r="E6" s="194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174"/>
      <c r="X6" s="174"/>
      <c r="Y6" s="174"/>
      <c r="Z6" s="174"/>
      <c r="AA6" s="174"/>
      <c r="AB6" s="174"/>
      <c r="AC6" s="174"/>
      <c r="AD6" s="94"/>
    </row>
    <row r="7" spans="1:30" ht="20.25">
      <c r="A7" s="5"/>
      <c r="B7" s="50"/>
      <c r="C7" s="4"/>
      <c r="D7" s="172" t="s">
        <v>87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7"/>
      <c r="Q7" s="77"/>
      <c r="R7" s="4"/>
      <c r="S7" s="4"/>
      <c r="T7" s="4"/>
      <c r="U7" s="4"/>
      <c r="V7" s="4"/>
      <c r="AD7" s="17"/>
    </row>
    <row r="8" spans="1:30" ht="16.5" customHeight="1">
      <c r="A8" s="5"/>
      <c r="B8" s="5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AD8" s="17"/>
    </row>
    <row r="9" spans="2:30" s="36" customFormat="1" ht="20.25">
      <c r="B9" s="44"/>
      <c r="C9" s="43"/>
      <c r="D9" s="172" t="s">
        <v>88</v>
      </c>
      <c r="E9" s="43"/>
      <c r="F9" s="43"/>
      <c r="G9" s="43"/>
      <c r="H9" s="43"/>
      <c r="N9" s="43"/>
      <c r="O9" s="43"/>
      <c r="P9" s="195"/>
      <c r="Q9" s="195"/>
      <c r="R9" s="43"/>
      <c r="S9" s="43"/>
      <c r="T9" s="43"/>
      <c r="U9" s="43"/>
      <c r="V9" s="43"/>
      <c r="W9"/>
      <c r="X9" s="43"/>
      <c r="Y9" s="43"/>
      <c r="Z9" s="43"/>
      <c r="AA9" s="43"/>
      <c r="AB9" s="43"/>
      <c r="AC9"/>
      <c r="AD9" s="196"/>
    </row>
    <row r="10" spans="1:30" ht="16.5" customHeight="1">
      <c r="A10" s="5"/>
      <c r="B10" s="5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AD10" s="17"/>
    </row>
    <row r="11" spans="2:30" s="36" customFormat="1" ht="20.25">
      <c r="B11" s="44"/>
      <c r="C11" s="43"/>
      <c r="D11" s="172" t="s">
        <v>353</v>
      </c>
      <c r="E11" s="43"/>
      <c r="F11" s="43"/>
      <c r="G11" s="43"/>
      <c r="H11" s="43"/>
      <c r="N11" s="43"/>
      <c r="O11" s="43"/>
      <c r="P11" s="195"/>
      <c r="Q11" s="195"/>
      <c r="R11" s="43"/>
      <c r="S11" s="43"/>
      <c r="T11" s="43"/>
      <c r="U11" s="43"/>
      <c r="V11" s="43"/>
      <c r="W11"/>
      <c r="X11" s="43"/>
      <c r="Y11" s="43"/>
      <c r="Z11" s="43"/>
      <c r="AA11" s="43"/>
      <c r="AB11" s="43"/>
      <c r="AC11"/>
      <c r="AD11" s="196"/>
    </row>
    <row r="12" spans="1:30" ht="16.5" customHeight="1">
      <c r="A12" s="5"/>
      <c r="B12" s="50"/>
      <c r="C12" s="4"/>
      <c r="D12" s="4"/>
      <c r="E12" s="5"/>
      <c r="F12" s="5"/>
      <c r="G12" s="5"/>
      <c r="H12" s="5"/>
      <c r="I12" s="72"/>
      <c r="J12" s="72"/>
      <c r="K12" s="72"/>
      <c r="L12" s="72"/>
      <c r="M12" s="72"/>
      <c r="N12" s="72"/>
      <c r="O12" s="72"/>
      <c r="P12" s="72"/>
      <c r="Q12" s="72"/>
      <c r="R12" s="4"/>
      <c r="S12" s="4"/>
      <c r="T12" s="4"/>
      <c r="U12" s="4"/>
      <c r="V12" s="4"/>
      <c r="AD12" s="17"/>
    </row>
    <row r="13" spans="2:30" s="36" customFormat="1" ht="19.5">
      <c r="B13" s="37" t="str">
        <f>'TOT-0111'!B14</f>
        <v>Desde el 01 al 31 de enero de 2011</v>
      </c>
      <c r="C13" s="38"/>
      <c r="D13" s="40"/>
      <c r="E13" s="40"/>
      <c r="F13" s="40"/>
      <c r="G13" s="40"/>
      <c r="H13" s="40"/>
      <c r="I13" s="41"/>
      <c r="J13" s="170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126"/>
      <c r="V13" s="126"/>
      <c r="W13"/>
      <c r="X13" s="448"/>
      <c r="Y13" s="448"/>
      <c r="Z13" s="448"/>
      <c r="AA13" s="448"/>
      <c r="AB13" s="126"/>
      <c r="AC13" s="170"/>
      <c r="AD13" s="42"/>
    </row>
    <row r="14" spans="1:30" ht="16.5" customHeight="1">
      <c r="A14" s="5"/>
      <c r="B14" s="50"/>
      <c r="C14" s="4"/>
      <c r="D14" s="4"/>
      <c r="E14" s="66"/>
      <c r="F14" s="66"/>
      <c r="G14" s="4"/>
      <c r="H14" s="4"/>
      <c r="I14" s="4"/>
      <c r="J14" s="449"/>
      <c r="K14" s="4"/>
      <c r="L14" s="4"/>
      <c r="M14" s="4"/>
      <c r="N14" s="5"/>
      <c r="O14" s="5"/>
      <c r="P14" s="4"/>
      <c r="Q14" s="4"/>
      <c r="R14" s="4"/>
      <c r="S14" s="4"/>
      <c r="T14" s="4"/>
      <c r="U14" s="4"/>
      <c r="V14" s="4"/>
      <c r="AD14" s="17"/>
    </row>
    <row r="15" spans="1:30" ht="16.5" customHeight="1">
      <c r="A15" s="5"/>
      <c r="B15" s="50"/>
      <c r="C15" s="4"/>
      <c r="D15" s="4"/>
      <c r="E15" s="66"/>
      <c r="F15" s="66"/>
      <c r="G15" s="4"/>
      <c r="H15" s="4"/>
      <c r="I15" s="140"/>
      <c r="J15" s="4"/>
      <c r="K15" s="1"/>
      <c r="M15" s="4"/>
      <c r="N15" s="5"/>
      <c r="O15" s="5"/>
      <c r="P15" s="4"/>
      <c r="Q15" s="4"/>
      <c r="R15" s="4"/>
      <c r="S15" s="4"/>
      <c r="T15" s="4"/>
      <c r="U15" s="4"/>
      <c r="V15" s="4"/>
      <c r="AD15" s="17"/>
    </row>
    <row r="16" spans="1:30" ht="16.5" customHeight="1">
      <c r="A16" s="5"/>
      <c r="B16" s="50"/>
      <c r="C16" s="4"/>
      <c r="D16" s="4"/>
      <c r="E16" s="66"/>
      <c r="F16" s="66"/>
      <c r="G16" s="4"/>
      <c r="H16" s="4"/>
      <c r="I16" s="140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AD16" s="17"/>
    </row>
    <row r="17" spans="1:30" ht="16.5" customHeight="1">
      <c r="A17" s="5"/>
      <c r="B17" s="50"/>
      <c r="C17" s="160" t="s">
        <v>89</v>
      </c>
      <c r="D17" s="54" t="s">
        <v>90</v>
      </c>
      <c r="E17" s="66"/>
      <c r="F17" s="66"/>
      <c r="G17" s="4"/>
      <c r="H17" s="4"/>
      <c r="I17" s="4"/>
      <c r="J17" s="449"/>
      <c r="K17" s="4"/>
      <c r="L17" s="4"/>
      <c r="M17" s="4"/>
      <c r="N17" s="5"/>
      <c r="O17" s="5"/>
      <c r="P17" s="4"/>
      <c r="Q17" s="4"/>
      <c r="R17" s="4"/>
      <c r="S17" s="4"/>
      <c r="T17" s="4"/>
      <c r="U17" s="4"/>
      <c r="V17" s="4"/>
      <c r="AD17" s="17"/>
    </row>
    <row r="18" spans="2:30" s="32" customFormat="1" ht="16.5" customHeight="1" thickBot="1">
      <c r="B18" s="450"/>
      <c r="C18" s="33"/>
      <c r="D18" s="451"/>
      <c r="E18" s="452"/>
      <c r="F18" s="453"/>
      <c r="G18" s="33"/>
      <c r="H18" s="33"/>
      <c r="I18" s="33"/>
      <c r="J18" s="454"/>
      <c r="K18" s="33"/>
      <c r="L18" s="33"/>
      <c r="M18" s="33"/>
      <c r="P18" s="33"/>
      <c r="Q18" s="33"/>
      <c r="R18" s="33"/>
      <c r="S18" s="33"/>
      <c r="T18" s="33"/>
      <c r="U18" s="33"/>
      <c r="V18" s="33"/>
      <c r="W18"/>
      <c r="AD18" s="455"/>
    </row>
    <row r="19" spans="2:30" s="32" customFormat="1" ht="16.5" customHeight="1" thickBot="1">
      <c r="B19" s="450"/>
      <c r="C19" s="33"/>
      <c r="D19" s="456" t="s">
        <v>91</v>
      </c>
      <c r="F19" s="457">
        <v>204.601</v>
      </c>
      <c r="G19" s="456" t="s">
        <v>92</v>
      </c>
      <c r="H19" s="33"/>
      <c r="I19" s="33"/>
      <c r="J19" s="458"/>
      <c r="L19" s="33"/>
      <c r="M19" s="33"/>
      <c r="N19" s="33"/>
      <c r="O19" s="636" t="s">
        <v>36</v>
      </c>
      <c r="S19" s="33"/>
      <c r="T19" s="33"/>
      <c r="U19" s="33"/>
      <c r="V19" s="33"/>
      <c r="W19"/>
      <c r="AD19" s="455"/>
    </row>
    <row r="20" spans="2:30" s="32" customFormat="1" ht="16.5" customHeight="1">
      <c r="B20" s="450"/>
      <c r="C20" s="33"/>
      <c r="D20" s="456" t="s">
        <v>105</v>
      </c>
      <c r="F20" s="457" t="s">
        <v>341</v>
      </c>
      <c r="G20" s="456" t="s">
        <v>106</v>
      </c>
      <c r="H20" s="33"/>
      <c r="I20" s="33"/>
      <c r="J20" s="33"/>
      <c r="L20" s="637" t="s">
        <v>109</v>
      </c>
      <c r="M20" s="638"/>
      <c r="N20" s="639" t="s">
        <v>341</v>
      </c>
      <c r="O20" s="640">
        <v>200</v>
      </c>
      <c r="S20" s="33"/>
      <c r="T20" s="33"/>
      <c r="U20" s="33"/>
      <c r="V20" s="33"/>
      <c r="W20"/>
      <c r="AD20" s="455"/>
    </row>
    <row r="21" spans="2:30" s="32" customFormat="1" ht="16.5" customHeight="1">
      <c r="B21" s="450"/>
      <c r="C21" s="33"/>
      <c r="D21" s="845" t="s">
        <v>39</v>
      </c>
      <c r="F21" s="609">
        <v>0.04</v>
      </c>
      <c r="G21" s="456"/>
      <c r="H21" s="33"/>
      <c r="I21" s="33"/>
      <c r="J21" s="33"/>
      <c r="K21" s="451"/>
      <c r="L21" s="641" t="s">
        <v>80</v>
      </c>
      <c r="M21" s="642"/>
      <c r="N21" s="643" t="s">
        <v>341</v>
      </c>
      <c r="O21" s="644">
        <v>100</v>
      </c>
      <c r="S21" s="33"/>
      <c r="T21" s="33"/>
      <c r="U21" s="33"/>
      <c r="V21" s="33"/>
      <c r="W21"/>
      <c r="AD21" s="455"/>
    </row>
    <row r="22" spans="2:30" s="32" customFormat="1" ht="16.5" customHeight="1" thickBot="1">
      <c r="B22" s="450"/>
      <c r="C22" s="33"/>
      <c r="D22" s="461" t="s">
        <v>37</v>
      </c>
      <c r="F22" s="453">
        <f>MID(B13,16,2)*24</f>
        <v>744</v>
      </c>
      <c r="G22" s="33" t="s">
        <v>38</v>
      </c>
      <c r="H22" s="33"/>
      <c r="I22" s="33"/>
      <c r="J22" s="33"/>
      <c r="K22" s="451"/>
      <c r="L22" s="645" t="s">
        <v>110</v>
      </c>
      <c r="M22" s="646"/>
      <c r="N22" s="647">
        <v>89.269</v>
      </c>
      <c r="O22" s="648">
        <v>40</v>
      </c>
      <c r="S22" s="33"/>
      <c r="T22" s="33"/>
      <c r="U22" s="33"/>
      <c r="V22" s="33"/>
      <c r="W22"/>
      <c r="AD22" s="455"/>
    </row>
    <row r="23" spans="2:30" s="32" customFormat="1" ht="16.5" customHeight="1">
      <c r="B23" s="450"/>
      <c r="C23" s="33"/>
      <c r="D23" s="456"/>
      <c r="F23" s="457"/>
      <c r="G23" s="456"/>
      <c r="H23" s="33"/>
      <c r="I23" s="33"/>
      <c r="J23" s="33"/>
      <c r="K23" s="200"/>
      <c r="L23" s="201"/>
      <c r="M23" s="33"/>
      <c r="N23" s="33"/>
      <c r="O23" s="33"/>
      <c r="P23" s="632"/>
      <c r="Q23" s="33"/>
      <c r="R23" s="33"/>
      <c r="S23" s="33"/>
      <c r="T23" s="33"/>
      <c r="U23" s="33"/>
      <c r="V23" s="33"/>
      <c r="W23"/>
      <c r="AD23" s="455"/>
    </row>
    <row r="24" spans="2:30" s="32" customFormat="1" ht="16.5" customHeight="1">
      <c r="B24" s="450"/>
      <c r="C24" s="33"/>
      <c r="D24" s="456"/>
      <c r="F24" s="457"/>
      <c r="G24" s="456"/>
      <c r="H24" s="33"/>
      <c r="I24" s="33"/>
      <c r="J24" s="33"/>
      <c r="K24" s="200"/>
      <c r="L24" s="201"/>
      <c r="M24" s="33"/>
      <c r="N24" s="33"/>
      <c r="O24" s="33"/>
      <c r="P24" s="632"/>
      <c r="Q24" s="33"/>
      <c r="R24" s="33"/>
      <c r="S24" s="33"/>
      <c r="T24" s="33"/>
      <c r="U24" s="33"/>
      <c r="V24" s="33"/>
      <c r="W24"/>
      <c r="AD24" s="455"/>
    </row>
    <row r="25" spans="2:30" s="32" customFormat="1" ht="8.25" customHeight="1">
      <c r="B25" s="450"/>
      <c r="C25" s="33"/>
      <c r="D25" s="33"/>
      <c r="E25" s="46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/>
      <c r="AD25" s="455"/>
    </row>
    <row r="26" spans="1:30" ht="16.5" customHeight="1">
      <c r="A26" s="5"/>
      <c r="B26" s="50"/>
      <c r="C26" s="160" t="s">
        <v>93</v>
      </c>
      <c r="D26" s="3" t="s">
        <v>120</v>
      </c>
      <c r="I26" s="4"/>
      <c r="J26" s="32"/>
      <c r="O26" s="4"/>
      <c r="P26" s="4"/>
      <c r="Q26" s="4"/>
      <c r="R26" s="4"/>
      <c r="S26" s="4"/>
      <c r="T26" s="4"/>
      <c r="V26" s="4"/>
      <c r="X26" s="4"/>
      <c r="Y26" s="4"/>
      <c r="Z26" s="4"/>
      <c r="AA26" s="4"/>
      <c r="AB26" s="4"/>
      <c r="AC26" s="4"/>
      <c r="AD26" s="17"/>
    </row>
    <row r="27" spans="1:30" ht="10.5" customHeight="1" thickBot="1">
      <c r="A27" s="5"/>
      <c r="B27" s="50"/>
      <c r="C27" s="66"/>
      <c r="D27" s="3"/>
      <c r="I27" s="4"/>
      <c r="J27" s="32"/>
      <c r="O27" s="4"/>
      <c r="P27" s="4"/>
      <c r="Q27" s="4"/>
      <c r="R27" s="4"/>
      <c r="S27" s="4"/>
      <c r="T27" s="4"/>
      <c r="V27" s="4"/>
      <c r="X27" s="4"/>
      <c r="Y27" s="4"/>
      <c r="Z27" s="4"/>
      <c r="AA27" s="4"/>
      <c r="AB27" s="4"/>
      <c r="AC27" s="4"/>
      <c r="AD27" s="17"/>
    </row>
    <row r="28" spans="2:30" s="32" customFormat="1" ht="16.5" customHeight="1" thickBot="1" thickTop="1">
      <c r="B28" s="450"/>
      <c r="C28" s="453"/>
      <c r="D28"/>
      <c r="E28"/>
      <c r="F28"/>
      <c r="G28"/>
      <c r="H28"/>
      <c r="I28"/>
      <c r="J28" s="464" t="s">
        <v>44</v>
      </c>
      <c r="K28" s="465">
        <f>F21*AC59</f>
        <v>4904.9113584383995</v>
      </c>
      <c r="L28"/>
      <c r="S28"/>
      <c r="T28"/>
      <c r="U28"/>
      <c r="W28"/>
      <c r="AD28" s="455"/>
    </row>
    <row r="29" spans="2:30" s="32" customFormat="1" ht="11.25" customHeight="1" thickTop="1">
      <c r="B29" s="450"/>
      <c r="C29" s="453"/>
      <c r="D29" s="33"/>
      <c r="E29" s="46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/>
      <c r="W29"/>
      <c r="AD29" s="455"/>
    </row>
    <row r="30" spans="1:30" ht="16.5" customHeight="1">
      <c r="A30" s="5"/>
      <c r="B30" s="50"/>
      <c r="C30" s="160" t="s">
        <v>94</v>
      </c>
      <c r="D30" s="3" t="s">
        <v>121</v>
      </c>
      <c r="E30" s="202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AD30" s="17"/>
    </row>
    <row r="31" spans="1:30" ht="21.75" customHeight="1" thickBot="1">
      <c r="A31" s="5"/>
      <c r="B31" s="50"/>
      <c r="C31" s="4"/>
      <c r="D31" s="4"/>
      <c r="E31" s="202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AD31" s="17"/>
    </row>
    <row r="32" spans="2:31" s="5" customFormat="1" ht="33.75" customHeight="1" thickBot="1" thickTop="1">
      <c r="B32" s="50"/>
      <c r="C32" s="84" t="s">
        <v>12</v>
      </c>
      <c r="D32" s="203" t="s">
        <v>0</v>
      </c>
      <c r="E32" s="176" t="s">
        <v>13</v>
      </c>
      <c r="F32" s="87" t="s">
        <v>14</v>
      </c>
      <c r="G32" s="204" t="s">
        <v>69</v>
      </c>
      <c r="H32" s="205" t="s">
        <v>36</v>
      </c>
      <c r="I32" s="135" t="s">
        <v>15</v>
      </c>
      <c r="J32" s="85" t="s">
        <v>16</v>
      </c>
      <c r="K32" s="177" t="s">
        <v>17</v>
      </c>
      <c r="L32" s="88" t="s">
        <v>35</v>
      </c>
      <c r="M32" s="86" t="s">
        <v>30</v>
      </c>
      <c r="N32" s="88" t="s">
        <v>95</v>
      </c>
      <c r="O32" s="88" t="s">
        <v>57</v>
      </c>
      <c r="P32" s="177" t="s">
        <v>58</v>
      </c>
      <c r="Q32" s="85" t="s">
        <v>31</v>
      </c>
      <c r="R32" s="137" t="s">
        <v>19</v>
      </c>
      <c r="S32" s="466" t="s">
        <v>20</v>
      </c>
      <c r="T32" s="467" t="s">
        <v>70</v>
      </c>
      <c r="U32" s="468"/>
      <c r="V32" s="469"/>
      <c r="W32" s="470" t="s">
        <v>96</v>
      </c>
      <c r="X32" s="471"/>
      <c r="Y32" s="472"/>
      <c r="Z32" s="473" t="s">
        <v>21</v>
      </c>
      <c r="AA32" s="474" t="s">
        <v>22</v>
      </c>
      <c r="AB32" s="89" t="s">
        <v>72</v>
      </c>
      <c r="AC32" s="121" t="s">
        <v>23</v>
      </c>
      <c r="AD32" s="211"/>
      <c r="AE32"/>
    </row>
    <row r="33" spans="1:30" ht="16.5" customHeight="1" thickTop="1">
      <c r="A33" s="5"/>
      <c r="B33" s="50"/>
      <c r="C33" s="7"/>
      <c r="D33" s="475"/>
      <c r="E33" s="476"/>
      <c r="F33" s="477"/>
      <c r="G33" s="478"/>
      <c r="H33" s="479"/>
      <c r="I33" s="480"/>
      <c r="J33" s="481"/>
      <c r="K33" s="482"/>
      <c r="L33" s="7"/>
      <c r="M33" s="7"/>
      <c r="N33" s="183"/>
      <c r="O33" s="183"/>
      <c r="P33" s="7"/>
      <c r="Q33" s="180"/>
      <c r="R33" s="483"/>
      <c r="S33" s="484"/>
      <c r="T33" s="485"/>
      <c r="U33" s="486"/>
      <c r="V33" s="487"/>
      <c r="W33" s="488"/>
      <c r="X33" s="489"/>
      <c r="Y33" s="490"/>
      <c r="Z33" s="491"/>
      <c r="AA33" s="492"/>
      <c r="AB33" s="493"/>
      <c r="AC33" s="494"/>
      <c r="AD33" s="17"/>
    </row>
    <row r="34" spans="1:30" ht="16.5" customHeight="1">
      <c r="A34" s="5"/>
      <c r="B34" s="50"/>
      <c r="C34" s="753" t="s">
        <v>182</v>
      </c>
      <c r="D34" s="709"/>
      <c r="E34" s="710"/>
      <c r="F34" s="751"/>
      <c r="G34" s="495"/>
      <c r="H34" s="496">
        <f>IF(G34="A",200,IF(G34="B",60,20))</f>
        <v>20</v>
      </c>
      <c r="I34" s="497">
        <f>IF(F34&gt;100,F34,100)*$F$19/100</f>
        <v>204.601</v>
      </c>
      <c r="J34" s="498"/>
      <c r="K34" s="443"/>
      <c r="L34" s="499">
        <f>IF(D34="","",(K34-J34)*24)</f>
      </c>
      <c r="M34" s="368">
        <f>IF(D34="","",ROUND((K34-J34)*24*60,0))</f>
      </c>
      <c r="N34" s="500"/>
      <c r="O34" s="501">
        <f>IF(D34="","","--")</f>
      </c>
      <c r="P34" s="219">
        <f>IF(D34="","","NO")</f>
      </c>
      <c r="Q34" s="219">
        <f>IF(D34="","",IF(OR(N34="P",N34="RP"),"--","NO"))</f>
      </c>
      <c r="R34" s="502" t="str">
        <f>IF(N34="P",+I34*H34*ROUND(M34/60,2)/100,"--")</f>
        <v>--</v>
      </c>
      <c r="S34" s="503" t="str">
        <f>IF(N34="RP",I34*H34*ROUND(M34/60,2)*0.01*O34/100,"--")</f>
        <v>--</v>
      </c>
      <c r="T34" s="504" t="str">
        <f>IF(AND(N34="F",Q34="NO"),IF(P34="SI",1.2,1)*I34*H34,"--")</f>
        <v>--</v>
      </c>
      <c r="U34" s="505" t="str">
        <f>IF(AND(M34&gt;10,N34="F"),IF(M34&lt;=300,ROUND(M34/60,2),5)*I34*H34*IF(P34="SI",1.2,1),"--")</f>
        <v>--</v>
      </c>
      <c r="V34" s="506" t="str">
        <f>IF(AND(N34="F",M34&gt;300),IF(P34="SI",1.2,1)*(ROUND(M34/60,2)-5)*I34*H34*0.1,"--")</f>
        <v>--</v>
      </c>
      <c r="W34" s="507" t="str">
        <f>IF(AND(N34="R",Q34="NO"),IF(P34="SI",1.2,1)*I34*H34*O34/100,"--")</f>
        <v>--</v>
      </c>
      <c r="X34" s="508" t="str">
        <f>IF(AND(M34&gt;10,N34="R"),IF(M34&lt;=300,ROUND(M34/60,2),5)*I34*H34*O34/100*IF(P34="SI",1.2,1),"--")</f>
        <v>--</v>
      </c>
      <c r="Y34" s="509" t="str">
        <f>IF(AND(N34="R",M34&gt;300),IF(P34="SI",1.2,1)*(ROUND(M34/60,2)-5)*I34*H34*O34/100*0.1,"--")</f>
        <v>--</v>
      </c>
      <c r="Z34" s="510" t="str">
        <f>IF(N34="RF",IF(P34="SI",1.2,1)*ROUND(M34/60,2)*I34*H34*0.1,"--")</f>
        <v>--</v>
      </c>
      <c r="AA34" s="511" t="str">
        <f>IF(N34="RR",IF(P34="SI",1.2,1)*ROUND(M34/60,2)*I34*H34*O34/100*0.1,"--")</f>
        <v>--</v>
      </c>
      <c r="AB34" s="512"/>
      <c r="AC34" s="16">
        <f>IF(D34="","",SUM(R34:AA34)*IF(AB34="SI",1,2))</f>
      </c>
      <c r="AD34" s="17"/>
    </row>
    <row r="35" spans="1:30" ht="16.5" customHeight="1" thickBot="1">
      <c r="A35" s="5"/>
      <c r="B35" s="50"/>
      <c r="C35" s="846" t="s">
        <v>183</v>
      </c>
      <c r="D35" s="663"/>
      <c r="E35" s="840"/>
      <c r="F35" s="847"/>
      <c r="G35" s="553"/>
      <c r="H35" s="848">
        <f>IF(G35="A",200,IF(G35="B",60,20))</f>
        <v>20</v>
      </c>
      <c r="I35" s="849">
        <f>IF(F35&gt;100,F35,100)*$F$19/100</f>
        <v>204.601</v>
      </c>
      <c r="J35" s="850"/>
      <c r="K35" s="851"/>
      <c r="L35" s="852">
        <f>IF(D35="","",(K35-J35)*24)</f>
      </c>
      <c r="M35" s="670">
        <f>IF(D35="","",ROUND((K35-J35)*24*60,0))</f>
      </c>
      <c r="N35" s="671"/>
      <c r="O35" s="853">
        <f>IF(D35="","","--")</f>
      </c>
      <c r="P35" s="854">
        <f>IF(D35="","","NO")</f>
      </c>
      <c r="Q35" s="854">
        <f>IF(D35="","",IF(OR(N35="P",N35="RP"),"--","NO"))</f>
      </c>
      <c r="R35" s="502" t="str">
        <f>IF(N35="P",+I35*H35*ROUND(M35/60,2)/100,"--")</f>
        <v>--</v>
      </c>
      <c r="S35" s="503" t="str">
        <f>IF(N35="RP",I35*H35*ROUND(M35/60,2)*0.01*O35/100,"--")</f>
        <v>--</v>
      </c>
      <c r="T35" s="504" t="str">
        <f>IF(AND(N35="F",Q35="NO"),IF(P35="SI",1.2,1)*I35*H35,"--")</f>
        <v>--</v>
      </c>
      <c r="U35" s="505" t="str">
        <f>IF(AND(M35&gt;10,N35="F"),IF(M35&lt;=300,ROUND(M35/60,2),5)*I35*H35*IF(P35="SI",1.2,1),"--")</f>
        <v>--</v>
      </c>
      <c r="V35" s="506" t="str">
        <f>IF(AND(N35="F",M35&gt;300),IF(P35="SI",1.2,1)*(ROUND(M35/60,2)-5)*I35*H35*0.1,"--")</f>
        <v>--</v>
      </c>
      <c r="W35" s="507" t="str">
        <f>IF(AND(N35="R",Q35="NO"),IF(P35="SI",1.2,1)*I35*H35*O35/100,"--")</f>
        <v>--</v>
      </c>
      <c r="X35" s="508" t="str">
        <f>IF(AND(M35&gt;10,N35="R"),IF(M35&lt;=300,ROUND(M35/60,2),5)*I35*H35*O35/100*IF(P35="SI",1.2,1),"--")</f>
        <v>--</v>
      </c>
      <c r="Y35" s="509" t="str">
        <f>IF(AND(N35="R",M35&gt;300),IF(P35="SI",1.2,1)*(ROUND(M35/60,2)-5)*I35*H35*O35/100*0.1,"--")</f>
        <v>--</v>
      </c>
      <c r="Z35" s="510" t="str">
        <f>IF(N35="RF",IF(P35="SI",1.2,1)*ROUND(M35/60,2)*I35*H35*0.1,"--")</f>
        <v>--</v>
      </c>
      <c r="AA35" s="511" t="str">
        <f>IF(N35="RR",IF(P35="SI",1.2,1)*ROUND(M35/60,2)*I35*H35*O35/100*0.1,"--")</f>
        <v>--</v>
      </c>
      <c r="AB35" s="512">
        <f>IF(D35="","","SI")</f>
      </c>
      <c r="AC35" s="16">
        <f>IF(D35="","",SUM(R35:AA35)*IF(AB35="SI",1,2))</f>
      </c>
      <c r="AD35" s="17"/>
    </row>
    <row r="36" spans="1:30" ht="16.5" customHeight="1" thickBot="1" thickTop="1">
      <c r="A36" s="32"/>
      <c r="B36" s="50"/>
      <c r="C36" s="453"/>
      <c r="D36" s="453"/>
      <c r="E36" s="513"/>
      <c r="F36" s="463"/>
      <c r="G36" s="514"/>
      <c r="H36" s="514"/>
      <c r="I36" s="515"/>
      <c r="J36" s="515"/>
      <c r="K36" s="515"/>
      <c r="L36" s="515"/>
      <c r="M36" s="515"/>
      <c r="N36" s="515"/>
      <c r="O36" s="516"/>
      <c r="P36" s="515"/>
      <c r="Q36" s="515"/>
      <c r="R36" s="517">
        <f aca="true" t="shared" si="0" ref="R36:AA36">SUM(R33:R35)</f>
        <v>0</v>
      </c>
      <c r="S36" s="518">
        <f t="shared" si="0"/>
        <v>0</v>
      </c>
      <c r="T36" s="519">
        <f t="shared" si="0"/>
        <v>0</v>
      </c>
      <c r="U36" s="519">
        <f t="shared" si="0"/>
        <v>0</v>
      </c>
      <c r="V36" s="519">
        <f t="shared" si="0"/>
        <v>0</v>
      </c>
      <c r="W36" s="520">
        <f t="shared" si="0"/>
        <v>0</v>
      </c>
      <c r="X36" s="520">
        <f t="shared" si="0"/>
        <v>0</v>
      </c>
      <c r="Y36" s="520">
        <f t="shared" si="0"/>
        <v>0</v>
      </c>
      <c r="Z36" s="521">
        <f t="shared" si="0"/>
        <v>0</v>
      </c>
      <c r="AA36" s="522">
        <f t="shared" si="0"/>
        <v>0</v>
      </c>
      <c r="AB36" s="523"/>
      <c r="AC36" s="524">
        <f>SUM(AC33:AC35)</f>
        <v>0</v>
      </c>
      <c r="AD36" s="225"/>
    </row>
    <row r="37" spans="1:30" ht="16.5" customHeight="1" thickBot="1" thickTop="1">
      <c r="A37" s="32"/>
      <c r="B37" s="50"/>
      <c r="C37" s="453"/>
      <c r="D37" s="453"/>
      <c r="E37" s="513"/>
      <c r="F37" s="463"/>
      <c r="G37" s="514"/>
      <c r="H37" s="514"/>
      <c r="I37" s="515"/>
      <c r="J37" s="515"/>
      <c r="K37" s="515"/>
      <c r="L37" s="515"/>
      <c r="M37" s="515"/>
      <c r="N37" s="515"/>
      <c r="O37" s="516"/>
      <c r="P37" s="515"/>
      <c r="Q37" s="583"/>
      <c r="R37" s="587"/>
      <c r="S37" s="588"/>
      <c r="T37" s="588"/>
      <c r="U37" s="589"/>
      <c r="AB37" s="525"/>
      <c r="AC37" s="855"/>
      <c r="AD37" s="225"/>
    </row>
    <row r="38" spans="1:30" ht="69" customHeight="1" thickBot="1" thickTop="1">
      <c r="A38" s="32"/>
      <c r="B38" s="50"/>
      <c r="C38" s="123" t="s">
        <v>12</v>
      </c>
      <c r="D38" s="86" t="s">
        <v>26</v>
      </c>
      <c r="E38" s="345" t="s">
        <v>27</v>
      </c>
      <c r="F38" s="971" t="s">
        <v>13</v>
      </c>
      <c r="G38" s="972"/>
      <c r="H38" s="129" t="s">
        <v>15</v>
      </c>
      <c r="I38" s="129"/>
      <c r="J38" s="85" t="s">
        <v>16</v>
      </c>
      <c r="K38" s="345" t="s">
        <v>17</v>
      </c>
      <c r="L38" s="347" t="s">
        <v>35</v>
      </c>
      <c r="M38" s="347" t="s">
        <v>30</v>
      </c>
      <c r="N38" s="88" t="s">
        <v>18</v>
      </c>
      <c r="O38" s="962" t="s">
        <v>31</v>
      </c>
      <c r="P38" s="964"/>
      <c r="Q38" s="963"/>
      <c r="R38" s="135" t="s">
        <v>36</v>
      </c>
      <c r="S38" s="348" t="s">
        <v>68</v>
      </c>
      <c r="T38" s="178" t="s">
        <v>34</v>
      </c>
      <c r="U38" s="349"/>
      <c r="V38" s="134" t="s">
        <v>21</v>
      </c>
      <c r="W38" s="856"/>
      <c r="X38" s="857"/>
      <c r="Y38" s="857"/>
      <c r="Z38" s="857"/>
      <c r="AA38" s="858"/>
      <c r="AB38" s="132" t="s">
        <v>72</v>
      </c>
      <c r="AC38" s="121" t="s">
        <v>23</v>
      </c>
      <c r="AD38" s="225"/>
    </row>
    <row r="39" spans="1:30" ht="16.5" customHeight="1" thickTop="1">
      <c r="A39" s="32"/>
      <c r="B39" s="50"/>
      <c r="C39" s="258"/>
      <c r="D39" s="350"/>
      <c r="E39" s="350"/>
      <c r="F39" s="800"/>
      <c r="G39" s="656"/>
      <c r="H39" s="216"/>
      <c r="I39" s="216"/>
      <c r="J39" s="350"/>
      <c r="K39" s="350"/>
      <c r="L39" s="350"/>
      <c r="M39" s="350"/>
      <c r="N39" s="350"/>
      <c r="O39" s="957"/>
      <c r="P39" s="976"/>
      <c r="Q39" s="958"/>
      <c r="R39" s="351"/>
      <c r="S39" s="352"/>
      <c r="T39" s="353"/>
      <c r="U39" s="354"/>
      <c r="V39" s="355"/>
      <c r="W39" s="859"/>
      <c r="X39" s="860"/>
      <c r="Y39" s="860"/>
      <c r="Z39" s="860"/>
      <c r="AA39" s="861"/>
      <c r="AB39" s="350"/>
      <c r="AC39" s="356"/>
      <c r="AD39" s="225"/>
    </row>
    <row r="40" spans="1:30" ht="16.5" customHeight="1">
      <c r="A40" s="32"/>
      <c r="B40" s="50"/>
      <c r="C40" s="272"/>
      <c r="D40" s="357"/>
      <c r="E40" s="357"/>
      <c r="F40" s="357"/>
      <c r="G40" s="862"/>
      <c r="H40" s="358"/>
      <c r="I40" s="358"/>
      <c r="J40" s="357"/>
      <c r="K40" s="357"/>
      <c r="L40" s="357"/>
      <c r="M40" s="357"/>
      <c r="N40" s="357"/>
      <c r="O40" s="965"/>
      <c r="P40" s="977"/>
      <c r="Q40" s="966"/>
      <c r="R40" s="359"/>
      <c r="S40" s="360"/>
      <c r="T40" s="189"/>
      <c r="U40" s="361"/>
      <c r="V40" s="362"/>
      <c r="W40" s="859"/>
      <c r="X40" s="860"/>
      <c r="Y40" s="860"/>
      <c r="Z40" s="860"/>
      <c r="AA40" s="861"/>
      <c r="AB40" s="357"/>
      <c r="AC40" s="363"/>
      <c r="AD40" s="225"/>
    </row>
    <row r="41" spans="1:30" ht="16.5" customHeight="1">
      <c r="A41" s="32"/>
      <c r="B41" s="50"/>
      <c r="C41" s="272" t="s">
        <v>182</v>
      </c>
      <c r="D41" s="756" t="s">
        <v>339</v>
      </c>
      <c r="E41" s="756" t="s">
        <v>342</v>
      </c>
      <c r="F41" s="973">
        <v>132</v>
      </c>
      <c r="G41" s="974"/>
      <c r="H41" s="130">
        <f>IF(F41=500,$N$20,IF(F41=220,$N$21,$N$22))</f>
        <v>89.269</v>
      </c>
      <c r="I41" s="863"/>
      <c r="J41" s="366">
        <v>40566.282638888886</v>
      </c>
      <c r="K41" s="151">
        <v>40566.330555555556</v>
      </c>
      <c r="L41" s="367">
        <f>IF(D41="","",(K41-J41)*24)</f>
        <v>1.1500000000814907</v>
      </c>
      <c r="M41" s="368">
        <f>IF(D41="","",ROUND((K41-J41)*24*60,0))</f>
        <v>69</v>
      </c>
      <c r="N41" s="218" t="s">
        <v>281</v>
      </c>
      <c r="O41" s="955" t="s">
        <v>194</v>
      </c>
      <c r="P41" s="975"/>
      <c r="Q41" s="956"/>
      <c r="R41" s="359">
        <f>IF(P41=500,$O$20,IF(P41=220,$O$21,$O$22))</f>
        <v>40</v>
      </c>
      <c r="S41" s="797" t="str">
        <f>IF(N41="P",H41*R41*ROUND(M41/60,2)*0.1,"--")</f>
        <v>--</v>
      </c>
      <c r="T41" s="189" t="str">
        <f>IF(AND(N41="F",O41="NO"),H41*R41,"--")</f>
        <v>--</v>
      </c>
      <c r="U41" s="361">
        <f>IF(N41="F",H41*R41*ROUND(M41/60,2),"--")</f>
        <v>4106.374</v>
      </c>
      <c r="V41" s="362" t="str">
        <f>IF(N41="RF",H41*R41*ROUND(M41/60,2),"--")</f>
        <v>--</v>
      </c>
      <c r="W41" s="859"/>
      <c r="X41" s="860"/>
      <c r="Y41" s="860"/>
      <c r="Z41" s="860"/>
      <c r="AA41" s="861"/>
      <c r="AB41" s="219" t="str">
        <f>IF(D41="","","SI")</f>
        <v>SI</v>
      </c>
      <c r="AC41" s="369">
        <f>IF(D41="","",SUM(S41:V41)*IF(AB41="SI",1,2))</f>
        <v>4106.374</v>
      </c>
      <c r="AD41" s="225"/>
    </row>
    <row r="42" spans="1:30" ht="16.5" customHeight="1" thickBot="1">
      <c r="A42" s="32"/>
      <c r="B42" s="50"/>
      <c r="C42" s="836"/>
      <c r="D42" s="147"/>
      <c r="E42" s="147"/>
      <c r="F42" s="864"/>
      <c r="G42" s="865"/>
      <c r="H42" s="131"/>
      <c r="I42" s="866"/>
      <c r="J42" s="837"/>
      <c r="K42" s="744"/>
      <c r="L42" s="838">
        <f>IF(D42="","",(K42-J42)*24)</f>
      </c>
      <c r="M42" s="308">
        <f>IF(D42="","",ROUND((K42-J42)*24*60,0))</f>
      </c>
      <c r="N42" s="370"/>
      <c r="O42" s="953">
        <f>IF(D42="","",IF(N42="P","--","NO"))</f>
      </c>
      <c r="P42" s="969"/>
      <c r="Q42" s="954"/>
      <c r="R42" s="867">
        <f>IF(F42=500,$H$17,IF(F42=220,$H$18,$H$19))</f>
        <v>0</v>
      </c>
      <c r="S42" s="868" t="str">
        <f>IF(N42="P",H42*R42*ROUND(M42/60,2)*0.1,"--")</f>
        <v>--</v>
      </c>
      <c r="T42" s="869" t="str">
        <f>IF(AND(N42="F",O42="NO"),H42*R42,"--")</f>
        <v>--</v>
      </c>
      <c r="U42" s="870" t="str">
        <f>IF(N42="F",H42*R42*ROUND(M42/60,2),"--")</f>
        <v>--</v>
      </c>
      <c r="V42" s="871" t="str">
        <f>IF(N42="RF",H42*R42*ROUND(M42/60,2),"--")</f>
        <v>--</v>
      </c>
      <c r="W42" s="872"/>
      <c r="X42" s="873"/>
      <c r="Y42" s="873"/>
      <c r="Z42" s="873"/>
      <c r="AA42" s="874"/>
      <c r="AB42" s="9">
        <f>IF(D42="","","SI")</f>
      </c>
      <c r="AC42" s="790">
        <f>IF(D42="","",SUM(S42:V42)*IF(AB42="SI",1,2))</f>
      </c>
      <c r="AD42" s="225"/>
    </row>
    <row r="43" spans="1:30" ht="16.5" customHeight="1" thickBot="1" thickTop="1">
      <c r="A43" s="32"/>
      <c r="B43" s="50"/>
      <c r="C43" s="453"/>
      <c r="D43" s="453"/>
      <c r="E43" s="513"/>
      <c r="F43" s="463"/>
      <c r="G43" s="514"/>
      <c r="H43" s="514"/>
      <c r="I43" s="515"/>
      <c r="J43" s="515"/>
      <c r="K43" s="515"/>
      <c r="L43" s="515"/>
      <c r="M43" s="515"/>
      <c r="N43" s="515"/>
      <c r="O43" s="516"/>
      <c r="P43" s="515"/>
      <c r="Q43" s="583"/>
      <c r="R43" s="587"/>
      <c r="S43" s="588"/>
      <c r="T43" s="588"/>
      <c r="U43" s="589"/>
      <c r="AC43" s="524">
        <f>SUM(AC39:AC42)</f>
        <v>4106.374</v>
      </c>
      <c r="AD43" s="225"/>
    </row>
    <row r="44" spans="1:30" ht="16.5" customHeight="1" thickTop="1">
      <c r="A44" s="32"/>
      <c r="B44" s="50"/>
      <c r="C44" s="453"/>
      <c r="D44" s="453"/>
      <c r="E44" s="513"/>
      <c r="F44" s="463"/>
      <c r="G44" s="514"/>
      <c r="H44" s="514"/>
      <c r="I44" s="515"/>
      <c r="J44" s="515"/>
      <c r="K44" s="515"/>
      <c r="L44" s="515"/>
      <c r="M44" s="515"/>
      <c r="N44" s="515"/>
      <c r="O44" s="516"/>
      <c r="P44" s="515"/>
      <c r="Q44" s="583"/>
      <c r="R44" s="587"/>
      <c r="S44" s="588"/>
      <c r="T44" s="588"/>
      <c r="U44" s="589"/>
      <c r="AC44" s="855"/>
      <c r="AD44" s="225"/>
    </row>
    <row r="45" spans="1:30" ht="13.5" customHeight="1" thickBot="1">
      <c r="A45" s="32"/>
      <c r="B45" s="50"/>
      <c r="C45" s="453"/>
      <c r="D45" s="453"/>
      <c r="E45" s="513"/>
      <c r="F45" s="463"/>
      <c r="G45" s="514"/>
      <c r="H45" s="514"/>
      <c r="I45" s="515"/>
      <c r="J45" s="515"/>
      <c r="K45" s="515"/>
      <c r="L45" s="515"/>
      <c r="M45" s="515"/>
      <c r="N45" s="515"/>
      <c r="O45" s="516"/>
      <c r="P45" s="515"/>
      <c r="Q45" s="583"/>
      <c r="R45" s="587"/>
      <c r="S45" s="588"/>
      <c r="T45" s="588"/>
      <c r="U45" s="589"/>
      <c r="AC45" s="526"/>
      <c r="AD45" s="225"/>
    </row>
    <row r="46" spans="1:30" ht="16.5" customHeight="1" thickBot="1" thickTop="1">
      <c r="A46" s="32"/>
      <c r="B46" s="50"/>
      <c r="C46" s="98"/>
      <c r="D46" s="202"/>
      <c r="E46" s="202"/>
      <c r="F46" s="393"/>
      <c r="G46" s="568"/>
      <c r="H46" s="569"/>
      <c r="I46" s="570"/>
      <c r="J46" s="464" t="s">
        <v>41</v>
      </c>
      <c r="K46" s="465">
        <f>AC36+AC43</f>
        <v>4106.374</v>
      </c>
      <c r="L46" s="573"/>
      <c r="M46" s="569"/>
      <c r="N46" s="579"/>
      <c r="O46" s="580"/>
      <c r="P46" s="575"/>
      <c r="Q46" s="583"/>
      <c r="R46" s="587"/>
      <c r="S46" s="588"/>
      <c r="T46" s="588"/>
      <c r="U46" s="589"/>
      <c r="AC46" s="581"/>
      <c r="AD46" s="225"/>
    </row>
    <row r="47" spans="1:30" ht="13.5" customHeight="1" thickTop="1">
      <c r="A47" s="32"/>
      <c r="B47" s="450"/>
      <c r="C47" s="453"/>
      <c r="D47" s="582"/>
      <c r="E47" s="583"/>
      <c r="F47" s="584"/>
      <c r="G47" s="585"/>
      <c r="H47" s="585"/>
      <c r="I47" s="583"/>
      <c r="J47" s="442"/>
      <c r="K47" s="442"/>
      <c r="L47" s="583"/>
      <c r="M47" s="583"/>
      <c r="N47" s="583"/>
      <c r="O47" s="586"/>
      <c r="P47" s="583"/>
      <c r="Q47" s="583"/>
      <c r="R47" s="587"/>
      <c r="S47" s="588"/>
      <c r="T47" s="588"/>
      <c r="U47" s="589"/>
      <c r="AC47" s="589"/>
      <c r="AD47" s="590"/>
    </row>
    <row r="48" spans="1:30" ht="16.5" customHeight="1">
      <c r="A48" s="32"/>
      <c r="B48" s="450"/>
      <c r="C48" s="591" t="s">
        <v>99</v>
      </c>
      <c r="D48" s="592" t="s">
        <v>122</v>
      </c>
      <c r="E48" s="583"/>
      <c r="F48" s="584"/>
      <c r="G48" s="585"/>
      <c r="H48" s="585"/>
      <c r="I48" s="583"/>
      <c r="J48" s="442"/>
      <c r="K48" s="442"/>
      <c r="L48" s="583"/>
      <c r="M48" s="583"/>
      <c r="N48" s="583"/>
      <c r="O48" s="586"/>
      <c r="P48" s="583"/>
      <c r="Q48" s="583"/>
      <c r="R48" s="587"/>
      <c r="S48" s="588"/>
      <c r="T48" s="588"/>
      <c r="U48" s="589"/>
      <c r="AC48" s="589"/>
      <c r="AD48" s="590"/>
    </row>
    <row r="49" spans="1:30" ht="16.5" customHeight="1">
      <c r="A49" s="32"/>
      <c r="B49" s="450"/>
      <c r="C49" s="591"/>
      <c r="D49" s="582"/>
      <c r="E49" s="583"/>
      <c r="F49" s="584"/>
      <c r="G49" s="585"/>
      <c r="H49" s="585"/>
      <c r="I49" s="583"/>
      <c r="J49" s="442"/>
      <c r="K49" s="442"/>
      <c r="L49" s="583"/>
      <c r="M49" s="583"/>
      <c r="N49" s="583"/>
      <c r="O49" s="586"/>
      <c r="P49" s="583"/>
      <c r="Q49" s="583"/>
      <c r="R49" s="583"/>
      <c r="S49" s="587"/>
      <c r="T49" s="588"/>
      <c r="AD49" s="590"/>
    </row>
    <row r="50" spans="2:30" s="32" customFormat="1" ht="16.5" customHeight="1">
      <c r="B50" s="450"/>
      <c r="C50" s="453"/>
      <c r="D50" s="593" t="s">
        <v>0</v>
      </c>
      <c r="E50" s="515" t="s">
        <v>100</v>
      </c>
      <c r="F50" s="515" t="s">
        <v>42</v>
      </c>
      <c r="G50" s="594" t="s">
        <v>123</v>
      </c>
      <c r="H50" s="516"/>
      <c r="I50" s="515"/>
      <c r="J50"/>
      <c r="K50"/>
      <c r="L50" s="595" t="s">
        <v>124</v>
      </c>
      <c r="M50"/>
      <c r="N50"/>
      <c r="O50"/>
      <c r="P50"/>
      <c r="Q50" s="598"/>
      <c r="R50" s="598"/>
      <c r="S50" s="33"/>
      <c r="T50"/>
      <c r="U50"/>
      <c r="V50"/>
      <c r="W50"/>
      <c r="X50" s="33"/>
      <c r="Y50" s="33"/>
      <c r="Z50" s="33"/>
      <c r="AA50" s="33"/>
      <c r="AB50" s="33"/>
      <c r="AC50" s="599" t="s">
        <v>125</v>
      </c>
      <c r="AD50" s="590"/>
    </row>
    <row r="51" spans="2:30" s="32" customFormat="1" ht="16.5" customHeight="1">
      <c r="B51" s="450"/>
      <c r="C51" s="453"/>
      <c r="D51" s="515" t="s">
        <v>265</v>
      </c>
      <c r="E51" s="525">
        <v>147.16</v>
      </c>
      <c r="F51" s="600">
        <v>500</v>
      </c>
      <c r="G51" s="601">
        <f>E51*$F$19*$F$22/100</f>
        <v>224011.57871039998</v>
      </c>
      <c r="H51" s="601"/>
      <c r="I51" s="601"/>
      <c r="J51" s="170"/>
      <c r="K51"/>
      <c r="L51" s="602">
        <v>0</v>
      </c>
      <c r="M51" s="170"/>
      <c r="N51" s="603" t="str">
        <f>"(DTE "&amp;'[1]DATO'!$G$14&amp;'[1]DATO'!$H$14&amp;")"</f>
        <v>(DTE 0510)</v>
      </c>
      <c r="O51"/>
      <c r="P51"/>
      <c r="Q51" s="598"/>
      <c r="R51" s="598"/>
      <c r="S51" s="33"/>
      <c r="T51"/>
      <c r="U51"/>
      <c r="V51"/>
      <c r="W51"/>
      <c r="X51" s="33"/>
      <c r="Y51" s="33"/>
      <c r="Z51" s="33"/>
      <c r="AA51" s="33"/>
      <c r="AB51" s="604"/>
      <c r="AC51" s="462">
        <f>L51+G51</f>
        <v>224011.57871039998</v>
      </c>
      <c r="AD51" s="590"/>
    </row>
    <row r="52" spans="2:30" s="32" customFormat="1" ht="16.5" customHeight="1">
      <c r="B52" s="450"/>
      <c r="C52" s="453"/>
      <c r="D52" s="515"/>
      <c r="E52" s="525"/>
      <c r="F52" s="600"/>
      <c r="G52" s="601"/>
      <c r="H52" s="601"/>
      <c r="I52" s="601"/>
      <c r="J52" s="170"/>
      <c r="K52"/>
      <c r="L52" s="602"/>
      <c r="M52" s="170"/>
      <c r="N52" s="603"/>
      <c r="O52"/>
      <c r="P52"/>
      <c r="Q52" s="598"/>
      <c r="R52" s="598"/>
      <c r="S52" s="33"/>
      <c r="T52"/>
      <c r="U52"/>
      <c r="V52"/>
      <c r="W52"/>
      <c r="X52" s="33"/>
      <c r="Y52" s="33"/>
      <c r="Z52" s="33"/>
      <c r="AA52" s="33"/>
      <c r="AB52" s="604"/>
      <c r="AC52" s="462"/>
      <c r="AD52" s="590"/>
    </row>
    <row r="53" spans="2:30" s="32" customFormat="1" ht="16.5" customHeight="1">
      <c r="B53" s="450"/>
      <c r="C53" s="453"/>
      <c r="D53" s="593" t="s">
        <v>343</v>
      </c>
      <c r="E53" s="515" t="s">
        <v>344</v>
      </c>
      <c r="F53" s="515" t="s">
        <v>42</v>
      </c>
      <c r="G53" s="875" t="s">
        <v>127</v>
      </c>
      <c r="H53" s="875"/>
      <c r="I53" s="875"/>
      <c r="J53" s="170"/>
      <c r="K53"/>
      <c r="L53" s="602"/>
      <c r="M53" s="170"/>
      <c r="N53" s="603"/>
      <c r="O53"/>
      <c r="P53"/>
      <c r="Q53" s="598"/>
      <c r="R53" s="598"/>
      <c r="S53" s="33"/>
      <c r="T53"/>
      <c r="U53"/>
      <c r="V53"/>
      <c r="W53"/>
      <c r="X53" s="33"/>
      <c r="Y53" s="33"/>
      <c r="Z53" s="33"/>
      <c r="AA53" s="33"/>
      <c r="AB53" s="604"/>
      <c r="AC53" s="462"/>
      <c r="AD53" s="590"/>
    </row>
    <row r="54" spans="2:30" s="32" customFormat="1" ht="16.5" customHeight="1">
      <c r="B54" s="450"/>
      <c r="C54" s="453"/>
      <c r="D54" s="515" t="s">
        <v>345</v>
      </c>
      <c r="E54" s="525">
        <v>2</v>
      </c>
      <c r="F54" s="600"/>
      <c r="G54" s="970">
        <f>E54*F22*N22</f>
        <v>132832.272</v>
      </c>
      <c r="H54" s="970"/>
      <c r="I54" s="970"/>
      <c r="J54" s="970"/>
      <c r="K54"/>
      <c r="L54" s="602"/>
      <c r="M54" s="170"/>
      <c r="N54" s="603"/>
      <c r="O54"/>
      <c r="P54"/>
      <c r="Q54" s="598"/>
      <c r="R54" s="598"/>
      <c r="S54" s="33"/>
      <c r="T54"/>
      <c r="U54"/>
      <c r="V54"/>
      <c r="W54"/>
      <c r="X54" s="33"/>
      <c r="Y54" s="33"/>
      <c r="Z54" s="33"/>
      <c r="AA54" s="33"/>
      <c r="AB54" s="604"/>
      <c r="AC54" s="462">
        <f>G54</f>
        <v>132832.272</v>
      </c>
      <c r="AD54" s="590"/>
    </row>
    <row r="55" spans="2:30" s="33" customFormat="1" ht="16.5" customHeight="1" thickBot="1">
      <c r="B55" s="450"/>
      <c r="C55" s="453"/>
      <c r="E55" s="458"/>
      <c r="F55" s="515"/>
      <c r="G55" s="516"/>
      <c r="H55" s="1"/>
      <c r="I55" s="515"/>
      <c r="J55" s="515"/>
      <c r="K55" s="1"/>
      <c r="L55" s="462"/>
      <c r="M55" s="597"/>
      <c r="N55" s="597"/>
      <c r="O55" s="598"/>
      <c r="P55" s="598"/>
      <c r="Q55" s="598"/>
      <c r="R55" s="598"/>
      <c r="T55" s="1"/>
      <c r="U55" s="1"/>
      <c r="V55" s="1"/>
      <c r="W55" s="1"/>
      <c r="AC55" s="462"/>
      <c r="AD55" s="590"/>
    </row>
    <row r="56" spans="1:30" s="1" customFormat="1" ht="16.5" customHeight="1" thickBot="1" thickTop="1">
      <c r="A56" s="33"/>
      <c r="B56" s="450"/>
      <c r="C56" s="453"/>
      <c r="D56" s="835"/>
      <c r="E56" s="458"/>
      <c r="F56" s="515"/>
      <c r="G56" s="515"/>
      <c r="H56" s="516"/>
      <c r="J56" s="515"/>
      <c r="L56" s="607"/>
      <c r="M56" s="597"/>
      <c r="N56" s="597"/>
      <c r="O56" s="598"/>
      <c r="P56" s="598"/>
      <c r="Q56" s="598"/>
      <c r="R56" s="598"/>
      <c r="S56" s="598"/>
      <c r="AB56" s="877" t="s">
        <v>43</v>
      </c>
      <c r="AC56" s="876">
        <f>SUM(AC51:AC55)</f>
        <v>356843.8507104</v>
      </c>
      <c r="AD56" s="590"/>
    </row>
    <row r="57" spans="2:30" ht="16.5" customHeight="1" thickTop="1">
      <c r="B57" s="450"/>
      <c r="C57" s="591" t="s">
        <v>101</v>
      </c>
      <c r="D57" s="608" t="s">
        <v>102</v>
      </c>
      <c r="E57" s="515"/>
      <c r="F57" s="609"/>
      <c r="G57" s="514"/>
      <c r="H57" s="442"/>
      <c r="I57" s="442"/>
      <c r="J57" s="442"/>
      <c r="K57" s="515"/>
      <c r="L57" s="515"/>
      <c r="M57" s="442"/>
      <c r="N57" s="515"/>
      <c r="O57" s="442"/>
      <c r="P57" s="442"/>
      <c r="Q57" s="442"/>
      <c r="R57" s="442"/>
      <c r="S57" s="442"/>
      <c r="T57" s="442"/>
      <c r="U57" s="442"/>
      <c r="AC57" s="442"/>
      <c r="AD57" s="590"/>
    </row>
    <row r="58" spans="2:30" s="32" customFormat="1" ht="16.5" customHeight="1" thickBot="1">
      <c r="B58" s="450"/>
      <c r="C58" s="453"/>
      <c r="D58" s="593" t="s">
        <v>103</v>
      </c>
      <c r="E58" s="610">
        <f>10*K46*K28/AC56</f>
        <v>564.4317657288725</v>
      </c>
      <c r="G58" s="514"/>
      <c r="L58" s="515"/>
      <c r="N58" s="515"/>
      <c r="O58" s="516"/>
      <c r="V58"/>
      <c r="W58"/>
      <c r="AD58" s="590"/>
    </row>
    <row r="59" spans="2:30" s="32" customFormat="1" ht="16.5" customHeight="1" thickBot="1" thickTop="1">
      <c r="B59" s="450"/>
      <c r="C59" s="453"/>
      <c r="E59" s="611"/>
      <c r="F59" s="463"/>
      <c r="G59" s="514"/>
      <c r="J59" s="514"/>
      <c r="K59" s="526"/>
      <c r="L59" s="515"/>
      <c r="M59" s="515"/>
      <c r="N59" s="515"/>
      <c r="O59" s="516"/>
      <c r="P59" s="515"/>
      <c r="Q59" s="515"/>
      <c r="R59" s="525"/>
      <c r="S59" s="525"/>
      <c r="T59" s="525"/>
      <c r="U59" s="612"/>
      <c r="V59"/>
      <c r="W59"/>
      <c r="AB59" s="877" t="s">
        <v>356</v>
      </c>
      <c r="AC59" s="876">
        <v>122622.78396095999</v>
      </c>
      <c r="AD59" s="590"/>
    </row>
    <row r="60" spans="2:30" ht="16.5" customHeight="1" thickTop="1">
      <c r="B60" s="450"/>
      <c r="C60" s="453"/>
      <c r="D60" s="613" t="s">
        <v>264</v>
      </c>
      <c r="E60" s="614"/>
      <c r="F60" s="463"/>
      <c r="G60" s="514"/>
      <c r="H60" s="442"/>
      <c r="I60" s="442"/>
      <c r="N60" s="515"/>
      <c r="O60" s="516"/>
      <c r="P60" s="515"/>
      <c r="Q60" s="515"/>
      <c r="R60" s="596"/>
      <c r="S60" s="596"/>
      <c r="T60" s="596"/>
      <c r="U60" s="597"/>
      <c r="AC60" s="597"/>
      <c r="AD60" s="590"/>
    </row>
    <row r="61" spans="2:30" ht="16.5" customHeight="1" thickBot="1">
      <c r="B61" s="450"/>
      <c r="C61" s="453"/>
      <c r="D61" s="613"/>
      <c r="E61" s="614"/>
      <c r="F61" s="463"/>
      <c r="G61" s="514"/>
      <c r="H61" s="442"/>
      <c r="I61" s="442"/>
      <c r="N61" s="515"/>
      <c r="O61" s="516"/>
      <c r="P61" s="515"/>
      <c r="Q61" s="515"/>
      <c r="R61" s="596"/>
      <c r="S61" s="596"/>
      <c r="T61" s="596"/>
      <c r="U61" s="597"/>
      <c r="AC61" s="597"/>
      <c r="AD61" s="590"/>
    </row>
    <row r="62" spans="2:30" s="615" customFormat="1" ht="24" thickBot="1" thickTop="1">
      <c r="B62" s="616"/>
      <c r="C62" s="617"/>
      <c r="D62" s="618"/>
      <c r="E62" s="619"/>
      <c r="F62" s="620"/>
      <c r="G62" s="621"/>
      <c r="I62"/>
      <c r="J62" s="622" t="s">
        <v>104</v>
      </c>
      <c r="K62" s="623">
        <f>IF(E58&gt;3*K28,K28*3,E58)</f>
        <v>564.4317657288725</v>
      </c>
      <c r="L62" s="757"/>
      <c r="M62" s="878"/>
      <c r="N62" s="879" t="s">
        <v>357</v>
      </c>
      <c r="O62" s="878"/>
      <c r="P62" s="624"/>
      <c r="Q62" s="624"/>
      <c r="R62" s="626"/>
      <c r="S62" s="626"/>
      <c r="T62" s="626"/>
      <c r="U62" s="627"/>
      <c r="V62"/>
      <c r="W62"/>
      <c r="AC62" s="627"/>
      <c r="AD62" s="628"/>
    </row>
    <row r="63" spans="2:30" ht="16.5" customHeight="1" thickBot="1" thickTop="1">
      <c r="B63" s="57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193"/>
      <c r="W63" s="193"/>
      <c r="X63" s="193"/>
      <c r="Y63" s="193"/>
      <c r="Z63" s="193"/>
      <c r="AA63" s="193"/>
      <c r="AB63" s="193"/>
      <c r="AC63" s="59"/>
      <c r="AD63" s="629"/>
    </row>
    <row r="64" spans="2:23" ht="16.5" customHeight="1" thickTop="1">
      <c r="B64" s="1"/>
      <c r="C64" s="73"/>
      <c r="W64" s="1"/>
    </row>
  </sheetData>
  <sheetProtection password="CC12"/>
  <mergeCells count="8">
    <mergeCell ref="O42:Q42"/>
    <mergeCell ref="G54:J54"/>
    <mergeCell ref="F38:G38"/>
    <mergeCell ref="F41:G41"/>
    <mergeCell ref="O38:Q38"/>
    <mergeCell ref="O41:Q41"/>
    <mergeCell ref="O39:Q39"/>
    <mergeCell ref="O40:Q40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42" r:id="rId4"/>
  <headerFooter alignWithMargins="0">
    <oddFooter>&amp;L&amp;"Times New Roman,Normal"&amp;8&amp;F-&amp;A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55">
    <pageSetUpPr fitToPage="1"/>
  </sheetPr>
  <dimension ref="A1:GL119"/>
  <sheetViews>
    <sheetView zoomScale="60" zoomScaleNormal="60" zoomScalePageLayoutView="0" workbookViewId="0" topLeftCell="B1">
      <selection activeCell="G35" sqref="G35"/>
    </sheetView>
  </sheetViews>
  <sheetFormatPr defaultColWidth="11.421875" defaultRowHeight="12.75"/>
  <cols>
    <col min="1" max="1" width="15.7109375" style="5" customWidth="1"/>
    <col min="2" max="2" width="10.7109375" style="5" customWidth="1"/>
    <col min="3" max="3" width="10.421875" style="5" customWidth="1"/>
    <col min="4" max="4" width="44.00390625" style="5" customWidth="1"/>
    <col min="5" max="5" width="18.00390625" style="5" bestFit="1" customWidth="1"/>
    <col min="6" max="6" width="15.57421875" style="5" customWidth="1"/>
    <col min="7" max="7" width="7.7109375" style="5" hidden="1" customWidth="1"/>
    <col min="8" max="9" width="8.7109375" style="5" customWidth="1"/>
    <col min="10" max="10" width="9.7109375" style="5" bestFit="1" customWidth="1"/>
    <col min="11" max="20" width="8.7109375" style="5" customWidth="1"/>
    <col min="21" max="21" width="10.7109375" style="5" customWidth="1"/>
    <col min="22" max="16384" width="11.421875" style="5" customWidth="1"/>
  </cols>
  <sheetData>
    <row r="1" spans="21:22" ht="45" customHeight="1">
      <c r="U1" s="891"/>
      <c r="V1" s="892"/>
    </row>
    <row r="2" spans="2:22" s="18" customFormat="1" ht="26.25">
      <c r="B2" s="383" t="str">
        <f>'TOT-0111'!B2</f>
        <v>ANEXO II al Memorándum D.T.E.E. N°  1088 / 2012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893"/>
    </row>
    <row r="3" spans="1:22" s="25" customFormat="1" ht="11.25">
      <c r="A3" s="23" t="s">
        <v>1</v>
      </c>
      <c r="B3" s="124"/>
      <c r="U3" s="894"/>
      <c r="V3" s="894"/>
    </row>
    <row r="4" spans="1:22" s="25" customFormat="1" ht="11.25">
      <c r="A4" s="23" t="s">
        <v>2</v>
      </c>
      <c r="B4" s="124"/>
      <c r="U4" s="124"/>
      <c r="V4" s="894"/>
    </row>
    <row r="5" spans="21:22" ht="9.75" customHeight="1">
      <c r="U5" s="22"/>
      <c r="V5" s="892"/>
    </row>
    <row r="6" spans="2:178" s="881" customFormat="1" ht="23.25">
      <c r="B6" s="882" t="s">
        <v>361</v>
      </c>
      <c r="C6" s="882"/>
      <c r="D6" s="883"/>
      <c r="E6" s="882"/>
      <c r="F6" s="882"/>
      <c r="G6" s="882"/>
      <c r="H6" s="882"/>
      <c r="I6" s="882"/>
      <c r="J6" s="882"/>
      <c r="K6" s="882"/>
      <c r="L6" s="882"/>
      <c r="M6" s="882"/>
      <c r="N6" s="882"/>
      <c r="O6" s="882"/>
      <c r="P6" s="882"/>
      <c r="Q6" s="882"/>
      <c r="R6" s="882"/>
      <c r="S6" s="882"/>
      <c r="T6" s="882"/>
      <c r="U6" s="882"/>
      <c r="V6" s="884"/>
      <c r="W6" s="882"/>
      <c r="X6" s="882"/>
      <c r="Y6" s="882"/>
      <c r="Z6" s="882"/>
      <c r="AA6" s="882"/>
      <c r="AB6" s="882"/>
      <c r="AC6" s="882"/>
      <c r="AD6" s="882"/>
      <c r="AE6" s="882"/>
      <c r="AF6" s="882"/>
      <c r="AG6" s="882"/>
      <c r="AH6" s="882"/>
      <c r="AI6" s="882"/>
      <c r="AJ6" s="882"/>
      <c r="AK6" s="882"/>
      <c r="AL6" s="882"/>
      <c r="AM6" s="882"/>
      <c r="AN6" s="882"/>
      <c r="AO6" s="882"/>
      <c r="AP6" s="882"/>
      <c r="AQ6" s="882"/>
      <c r="AR6" s="882"/>
      <c r="AS6" s="882"/>
      <c r="AT6" s="882"/>
      <c r="AU6" s="882"/>
      <c r="AV6" s="882"/>
      <c r="AW6" s="882"/>
      <c r="AX6" s="882"/>
      <c r="AY6" s="882"/>
      <c r="AZ6" s="882"/>
      <c r="BA6" s="882"/>
      <c r="BB6" s="882"/>
      <c r="BC6" s="882"/>
      <c r="BD6" s="882"/>
      <c r="BE6" s="882"/>
      <c r="BF6" s="882"/>
      <c r="BG6" s="882"/>
      <c r="BH6" s="882"/>
      <c r="BI6" s="882"/>
      <c r="BJ6" s="882"/>
      <c r="BK6" s="882"/>
      <c r="BL6" s="882"/>
      <c r="BM6" s="882"/>
      <c r="BN6" s="882"/>
      <c r="BO6" s="882"/>
      <c r="BP6" s="882"/>
      <c r="BQ6" s="882"/>
      <c r="BR6" s="882"/>
      <c r="BS6" s="882"/>
      <c r="BT6" s="882"/>
      <c r="BU6" s="882"/>
      <c r="BV6" s="882"/>
      <c r="BW6" s="882"/>
      <c r="BX6" s="882"/>
      <c r="BY6" s="882"/>
      <c r="BZ6" s="882"/>
      <c r="CA6" s="882"/>
      <c r="CB6" s="882"/>
      <c r="CC6" s="882"/>
      <c r="CD6" s="882"/>
      <c r="CE6" s="882"/>
      <c r="CF6" s="882"/>
      <c r="CG6" s="882"/>
      <c r="CH6" s="882"/>
      <c r="CI6" s="882"/>
      <c r="CJ6" s="882"/>
      <c r="CK6" s="882"/>
      <c r="CL6" s="882"/>
      <c r="CM6" s="882"/>
      <c r="CN6" s="882"/>
      <c r="CO6" s="882"/>
      <c r="CP6" s="882"/>
      <c r="CQ6" s="882"/>
      <c r="CR6" s="882"/>
      <c r="CS6" s="882"/>
      <c r="CT6" s="882"/>
      <c r="CU6" s="882"/>
      <c r="CV6" s="882"/>
      <c r="CW6" s="882"/>
      <c r="CX6" s="882"/>
      <c r="CY6" s="882"/>
      <c r="CZ6" s="882"/>
      <c r="DA6" s="882"/>
      <c r="DB6" s="882"/>
      <c r="DC6" s="882"/>
      <c r="DD6" s="882"/>
      <c r="DE6" s="882"/>
      <c r="DF6" s="882"/>
      <c r="DG6" s="882"/>
      <c r="DH6" s="882"/>
      <c r="DI6" s="882"/>
      <c r="DJ6" s="882"/>
      <c r="DK6" s="882"/>
      <c r="DL6" s="882"/>
      <c r="DM6" s="882"/>
      <c r="DN6" s="882"/>
      <c r="DO6" s="882"/>
      <c r="DP6" s="882"/>
      <c r="DQ6" s="882"/>
      <c r="DR6" s="882"/>
      <c r="DS6" s="882"/>
      <c r="DT6" s="882"/>
      <c r="DU6" s="882"/>
      <c r="DV6" s="882"/>
      <c r="DW6" s="882"/>
      <c r="DX6" s="882"/>
      <c r="DY6" s="882"/>
      <c r="DZ6" s="882"/>
      <c r="EA6" s="882"/>
      <c r="EB6" s="882"/>
      <c r="EC6" s="882"/>
      <c r="ED6" s="882"/>
      <c r="EE6" s="882"/>
      <c r="EF6" s="882"/>
      <c r="EG6" s="882"/>
      <c r="EH6" s="882"/>
      <c r="EI6" s="882"/>
      <c r="EJ6" s="882"/>
      <c r="EK6" s="882"/>
      <c r="EL6" s="882"/>
      <c r="EM6" s="882"/>
      <c r="EN6" s="882"/>
      <c r="EO6" s="882"/>
      <c r="EP6" s="882"/>
      <c r="EQ6" s="882"/>
      <c r="ER6" s="882"/>
      <c r="ES6" s="882"/>
      <c r="ET6" s="882"/>
      <c r="EU6" s="882"/>
      <c r="EV6" s="882"/>
      <c r="EW6" s="882"/>
      <c r="EX6" s="882"/>
      <c r="EY6" s="882"/>
      <c r="EZ6" s="882"/>
      <c r="FA6" s="882"/>
      <c r="FB6" s="882"/>
      <c r="FC6" s="882"/>
      <c r="FD6" s="882"/>
      <c r="FE6" s="882"/>
      <c r="FF6" s="882"/>
      <c r="FG6" s="882"/>
      <c r="FH6" s="882"/>
      <c r="FI6" s="882"/>
      <c r="FJ6" s="882"/>
      <c r="FK6" s="882"/>
      <c r="FL6" s="882"/>
      <c r="FM6" s="882"/>
      <c r="FN6" s="882"/>
      <c r="FO6" s="882"/>
      <c r="FP6" s="882"/>
      <c r="FQ6" s="882"/>
      <c r="FR6" s="882"/>
      <c r="FS6" s="882"/>
      <c r="FT6" s="882"/>
      <c r="FU6" s="882"/>
      <c r="FV6" s="882"/>
    </row>
    <row r="7" spans="2:178" s="32" customFormat="1" ht="9.75" customHeight="1">
      <c r="B7" s="605"/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791"/>
      <c r="V7" s="791"/>
      <c r="W7" s="605"/>
      <c r="X7" s="605"/>
      <c r="Y7" s="605"/>
      <c r="Z7" s="605"/>
      <c r="AA7" s="605"/>
      <c r="AB7" s="605"/>
      <c r="AC7" s="605"/>
      <c r="AD7" s="605"/>
      <c r="AE7" s="605"/>
      <c r="AF7" s="605"/>
      <c r="AG7" s="605"/>
      <c r="AH7" s="605"/>
      <c r="AI7" s="605"/>
      <c r="AJ7" s="605"/>
      <c r="AK7" s="605"/>
      <c r="AL7" s="605"/>
      <c r="AM7" s="605"/>
      <c r="AN7" s="605"/>
      <c r="AO7" s="605"/>
      <c r="AP7" s="605"/>
      <c r="AQ7" s="605"/>
      <c r="AR7" s="605"/>
      <c r="AS7" s="605"/>
      <c r="AT7" s="605"/>
      <c r="AU7" s="605"/>
      <c r="AV7" s="605"/>
      <c r="AW7" s="605"/>
      <c r="AX7" s="605"/>
      <c r="AY7" s="605"/>
      <c r="AZ7" s="605"/>
      <c r="BA7" s="605"/>
      <c r="BB7" s="605"/>
      <c r="BC7" s="605"/>
      <c r="BD7" s="605"/>
      <c r="BE7" s="605"/>
      <c r="BF7" s="605"/>
      <c r="BG7" s="605"/>
      <c r="BH7" s="605"/>
      <c r="BI7" s="605"/>
      <c r="BJ7" s="605"/>
      <c r="BK7" s="605"/>
      <c r="BL7" s="605"/>
      <c r="BM7" s="605"/>
      <c r="BN7" s="605"/>
      <c r="BO7" s="605"/>
      <c r="BP7" s="605"/>
      <c r="BQ7" s="605"/>
      <c r="BR7" s="605"/>
      <c r="BS7" s="605"/>
      <c r="BT7" s="605"/>
      <c r="BU7" s="605"/>
      <c r="BV7" s="605"/>
      <c r="BW7" s="605"/>
      <c r="BX7" s="605"/>
      <c r="BY7" s="605"/>
      <c r="BZ7" s="605"/>
      <c r="CA7" s="605"/>
      <c r="CB7" s="605"/>
      <c r="CC7" s="605"/>
      <c r="CD7" s="605"/>
      <c r="CE7" s="605"/>
      <c r="CF7" s="605"/>
      <c r="CG7" s="605"/>
      <c r="CH7" s="605"/>
      <c r="CI7" s="605"/>
      <c r="CJ7" s="605"/>
      <c r="CK7" s="605"/>
      <c r="CL7" s="605"/>
      <c r="CM7" s="605"/>
      <c r="CN7" s="605"/>
      <c r="CO7" s="605"/>
      <c r="CP7" s="605"/>
      <c r="CQ7" s="605"/>
      <c r="CR7" s="605"/>
      <c r="CS7" s="605"/>
      <c r="CT7" s="605"/>
      <c r="CU7" s="605"/>
      <c r="CV7" s="605"/>
      <c r="CW7" s="605"/>
      <c r="CX7" s="605"/>
      <c r="CY7" s="605"/>
      <c r="CZ7" s="605"/>
      <c r="DA7" s="605"/>
      <c r="DB7" s="605"/>
      <c r="DC7" s="605"/>
      <c r="DD7" s="605"/>
      <c r="DE7" s="605"/>
      <c r="DF7" s="605"/>
      <c r="DG7" s="605"/>
      <c r="DH7" s="605"/>
      <c r="DI7" s="605"/>
      <c r="DJ7" s="605"/>
      <c r="DK7" s="605"/>
      <c r="DL7" s="605"/>
      <c r="DM7" s="605"/>
      <c r="DN7" s="605"/>
      <c r="DO7" s="605"/>
      <c r="DP7" s="605"/>
      <c r="DQ7" s="605"/>
      <c r="DR7" s="605"/>
      <c r="DS7" s="605"/>
      <c r="DT7" s="605"/>
      <c r="DU7" s="605"/>
      <c r="DV7" s="605"/>
      <c r="DW7" s="605"/>
      <c r="DX7" s="605"/>
      <c r="DY7" s="605"/>
      <c r="DZ7" s="605"/>
      <c r="EA7" s="605"/>
      <c r="EB7" s="605"/>
      <c r="EC7" s="605"/>
      <c r="ED7" s="605"/>
      <c r="EE7" s="605"/>
      <c r="EF7" s="605"/>
      <c r="EG7" s="605"/>
      <c r="EH7" s="605"/>
      <c r="EI7" s="605"/>
      <c r="EJ7" s="605"/>
      <c r="EK7" s="605"/>
      <c r="EL7" s="605"/>
      <c r="EM7" s="605"/>
      <c r="EN7" s="605"/>
      <c r="EO7" s="605"/>
      <c r="EP7" s="605"/>
      <c r="EQ7" s="605"/>
      <c r="ER7" s="605"/>
      <c r="ES7" s="605"/>
      <c r="ET7" s="605"/>
      <c r="EU7" s="605"/>
      <c r="EV7" s="605"/>
      <c r="EW7" s="605"/>
      <c r="EX7" s="605"/>
      <c r="EY7" s="605"/>
      <c r="EZ7" s="605"/>
      <c r="FA7" s="605"/>
      <c r="FB7" s="605"/>
      <c r="FC7" s="605"/>
      <c r="FD7" s="605"/>
      <c r="FE7" s="605"/>
      <c r="FF7" s="605"/>
      <c r="FG7" s="605"/>
      <c r="FH7" s="605"/>
      <c r="FI7" s="605"/>
      <c r="FJ7" s="605"/>
      <c r="FK7" s="605"/>
      <c r="FL7" s="605"/>
      <c r="FM7" s="605"/>
      <c r="FN7" s="605"/>
      <c r="FO7" s="605"/>
      <c r="FP7" s="605"/>
      <c r="FQ7" s="605"/>
      <c r="FR7" s="605"/>
      <c r="FS7" s="605"/>
      <c r="FT7" s="605"/>
      <c r="FU7" s="605"/>
      <c r="FV7" s="605"/>
    </row>
    <row r="8" spans="2:178" s="885" customFormat="1" ht="23.25">
      <c r="B8" s="882" t="s">
        <v>61</v>
      </c>
      <c r="C8" s="883"/>
      <c r="D8" s="883"/>
      <c r="E8" s="883"/>
      <c r="F8" s="883"/>
      <c r="G8" s="883"/>
      <c r="H8" s="883"/>
      <c r="I8" s="883"/>
      <c r="J8" s="883"/>
      <c r="K8" s="883"/>
      <c r="L8" s="883"/>
      <c r="M8" s="883"/>
      <c r="N8" s="883"/>
      <c r="O8" s="883"/>
      <c r="P8" s="883"/>
      <c r="Q8" s="883"/>
      <c r="R8" s="883"/>
      <c r="S8" s="883"/>
      <c r="T8" s="883"/>
      <c r="U8" s="883"/>
      <c r="V8" s="886"/>
      <c r="W8" s="883"/>
      <c r="X8" s="883"/>
      <c r="Y8" s="883"/>
      <c r="Z8" s="883"/>
      <c r="AA8" s="883"/>
      <c r="AB8" s="883"/>
      <c r="AC8" s="883"/>
      <c r="AD8" s="883"/>
      <c r="AE8" s="883"/>
      <c r="AF8" s="883"/>
      <c r="AG8" s="883"/>
      <c r="AH8" s="883"/>
      <c r="AI8" s="883"/>
      <c r="AJ8" s="883"/>
      <c r="AK8" s="883"/>
      <c r="AL8" s="883"/>
      <c r="AM8" s="883"/>
      <c r="AN8" s="883"/>
      <c r="AO8" s="883"/>
      <c r="AP8" s="883"/>
      <c r="AQ8" s="883"/>
      <c r="AR8" s="883"/>
      <c r="AS8" s="883"/>
      <c r="AT8" s="883"/>
      <c r="AU8" s="883"/>
      <c r="AV8" s="883"/>
      <c r="AW8" s="883"/>
      <c r="AX8" s="883"/>
      <c r="AY8" s="883"/>
      <c r="AZ8" s="883"/>
      <c r="BA8" s="883"/>
      <c r="BB8" s="883"/>
      <c r="BC8" s="883"/>
      <c r="BD8" s="883"/>
      <c r="BE8" s="883"/>
      <c r="BF8" s="883"/>
      <c r="BG8" s="883"/>
      <c r="BH8" s="883"/>
      <c r="BI8" s="883"/>
      <c r="BJ8" s="883"/>
      <c r="BK8" s="883"/>
      <c r="BL8" s="883"/>
      <c r="BM8" s="883"/>
      <c r="BN8" s="883"/>
      <c r="BO8" s="883"/>
      <c r="BP8" s="883"/>
      <c r="BQ8" s="883"/>
      <c r="BR8" s="883"/>
      <c r="BS8" s="883"/>
      <c r="BT8" s="883"/>
      <c r="BU8" s="883"/>
      <c r="BV8" s="883"/>
      <c r="BW8" s="883"/>
      <c r="BX8" s="883"/>
      <c r="BY8" s="883"/>
      <c r="BZ8" s="883"/>
      <c r="CA8" s="883"/>
      <c r="CB8" s="883"/>
      <c r="CC8" s="883"/>
      <c r="CD8" s="883"/>
      <c r="CE8" s="883"/>
      <c r="CF8" s="883"/>
      <c r="CG8" s="883"/>
      <c r="CH8" s="883"/>
      <c r="CI8" s="883"/>
      <c r="CJ8" s="883"/>
      <c r="CK8" s="883"/>
      <c r="CL8" s="883"/>
      <c r="CM8" s="883"/>
      <c r="CN8" s="883"/>
      <c r="CO8" s="883"/>
      <c r="CP8" s="883"/>
      <c r="CQ8" s="883"/>
      <c r="CR8" s="883"/>
      <c r="CS8" s="883"/>
      <c r="CT8" s="883"/>
      <c r="CU8" s="883"/>
      <c r="CV8" s="883"/>
      <c r="CW8" s="883"/>
      <c r="CX8" s="883"/>
      <c r="CY8" s="883"/>
      <c r="CZ8" s="883"/>
      <c r="DA8" s="883"/>
      <c r="DB8" s="883"/>
      <c r="DC8" s="883"/>
      <c r="DD8" s="883"/>
      <c r="DE8" s="883"/>
      <c r="DF8" s="883"/>
      <c r="DG8" s="883"/>
      <c r="DH8" s="883"/>
      <c r="DI8" s="883"/>
      <c r="DJ8" s="883"/>
      <c r="DK8" s="883"/>
      <c r="DL8" s="883"/>
      <c r="DM8" s="883"/>
      <c r="DN8" s="883"/>
      <c r="DO8" s="883"/>
      <c r="DP8" s="883"/>
      <c r="DQ8" s="883"/>
      <c r="DR8" s="883"/>
      <c r="DS8" s="883"/>
      <c r="DT8" s="883"/>
      <c r="DU8" s="883"/>
      <c r="DV8" s="883"/>
      <c r="DW8" s="883"/>
      <c r="DX8" s="883"/>
      <c r="DY8" s="883"/>
      <c r="DZ8" s="883"/>
      <c r="EA8" s="883"/>
      <c r="EB8" s="883"/>
      <c r="EC8" s="883"/>
      <c r="ED8" s="883"/>
      <c r="EE8" s="883"/>
      <c r="EF8" s="883"/>
      <c r="EG8" s="883"/>
      <c r="EH8" s="883"/>
      <c r="EI8" s="883"/>
      <c r="EJ8" s="883"/>
      <c r="EK8" s="883"/>
      <c r="EL8" s="883"/>
      <c r="EM8" s="883"/>
      <c r="EN8" s="883"/>
      <c r="EO8" s="883"/>
      <c r="EP8" s="883"/>
      <c r="EQ8" s="883"/>
      <c r="ER8" s="883"/>
      <c r="ES8" s="883"/>
      <c r="ET8" s="883"/>
      <c r="EU8" s="883"/>
      <c r="EV8" s="883"/>
      <c r="EW8" s="883"/>
      <c r="EX8" s="883"/>
      <c r="EY8" s="883"/>
      <c r="EZ8" s="883"/>
      <c r="FA8" s="883"/>
      <c r="FB8" s="883"/>
      <c r="FC8" s="883"/>
      <c r="FD8" s="883"/>
      <c r="FE8" s="883"/>
      <c r="FF8" s="883"/>
      <c r="FG8" s="883"/>
      <c r="FH8" s="883"/>
      <c r="FI8" s="883"/>
      <c r="FJ8" s="883"/>
      <c r="FK8" s="883"/>
      <c r="FL8" s="883"/>
      <c r="FM8" s="883"/>
      <c r="FN8" s="883"/>
      <c r="FO8" s="883"/>
      <c r="FP8" s="883"/>
      <c r="FQ8" s="883"/>
      <c r="FR8" s="883"/>
      <c r="FS8" s="883"/>
      <c r="FT8" s="883"/>
      <c r="FU8" s="883"/>
      <c r="FV8" s="883"/>
    </row>
    <row r="9" spans="2:178" s="32" customFormat="1" ht="9.75" customHeight="1">
      <c r="B9" s="605"/>
      <c r="C9" s="605"/>
      <c r="D9" s="605"/>
      <c r="E9" s="605"/>
      <c r="F9" s="605"/>
      <c r="G9" s="605"/>
      <c r="H9" s="605"/>
      <c r="I9" s="605"/>
      <c r="J9" s="605"/>
      <c r="K9" s="605"/>
      <c r="L9" s="605"/>
      <c r="M9" s="605"/>
      <c r="N9" s="605"/>
      <c r="O9" s="605"/>
      <c r="P9" s="605"/>
      <c r="Q9" s="605"/>
      <c r="R9" s="605"/>
      <c r="S9" s="605"/>
      <c r="T9" s="605"/>
      <c r="U9" s="791"/>
      <c r="V9" s="791"/>
      <c r="W9" s="605"/>
      <c r="X9" s="605"/>
      <c r="Y9" s="605"/>
      <c r="Z9" s="605"/>
      <c r="AA9" s="605"/>
      <c r="AB9" s="605"/>
      <c r="AC9" s="605"/>
      <c r="AD9" s="605"/>
      <c r="AE9" s="605"/>
      <c r="AF9" s="605"/>
      <c r="AG9" s="605"/>
      <c r="AH9" s="605"/>
      <c r="AI9" s="605"/>
      <c r="AJ9" s="605"/>
      <c r="AK9" s="605"/>
      <c r="AL9" s="605"/>
      <c r="AM9" s="605"/>
      <c r="AN9" s="605"/>
      <c r="AO9" s="605"/>
      <c r="AP9" s="605"/>
      <c r="AQ9" s="605"/>
      <c r="AR9" s="605"/>
      <c r="AS9" s="605"/>
      <c r="AT9" s="605"/>
      <c r="AU9" s="605"/>
      <c r="AV9" s="605"/>
      <c r="AW9" s="605"/>
      <c r="AX9" s="605"/>
      <c r="AY9" s="605"/>
      <c r="AZ9" s="605"/>
      <c r="BA9" s="605"/>
      <c r="BB9" s="605"/>
      <c r="BC9" s="605"/>
      <c r="BD9" s="605"/>
      <c r="BE9" s="605"/>
      <c r="BF9" s="605"/>
      <c r="BG9" s="605"/>
      <c r="BH9" s="605"/>
      <c r="BI9" s="605"/>
      <c r="BJ9" s="605"/>
      <c r="BK9" s="605"/>
      <c r="BL9" s="605"/>
      <c r="BM9" s="605"/>
      <c r="BN9" s="605"/>
      <c r="BO9" s="605"/>
      <c r="BP9" s="605"/>
      <c r="BQ9" s="605"/>
      <c r="BR9" s="605"/>
      <c r="BS9" s="605"/>
      <c r="BT9" s="605"/>
      <c r="BU9" s="605"/>
      <c r="BV9" s="605"/>
      <c r="BW9" s="605"/>
      <c r="BX9" s="605"/>
      <c r="BY9" s="605"/>
      <c r="BZ9" s="605"/>
      <c r="CA9" s="605"/>
      <c r="CB9" s="605"/>
      <c r="CC9" s="605"/>
      <c r="CD9" s="605"/>
      <c r="CE9" s="605"/>
      <c r="CF9" s="605"/>
      <c r="CG9" s="605"/>
      <c r="CH9" s="605"/>
      <c r="CI9" s="605"/>
      <c r="CJ9" s="605"/>
      <c r="CK9" s="605"/>
      <c r="CL9" s="605"/>
      <c r="CM9" s="605"/>
      <c r="CN9" s="605"/>
      <c r="CO9" s="605"/>
      <c r="CP9" s="605"/>
      <c r="CQ9" s="605"/>
      <c r="CR9" s="605"/>
      <c r="CS9" s="605"/>
      <c r="CT9" s="605"/>
      <c r="CU9" s="605"/>
      <c r="CV9" s="605"/>
      <c r="CW9" s="605"/>
      <c r="CX9" s="605"/>
      <c r="CY9" s="605"/>
      <c r="CZ9" s="605"/>
      <c r="DA9" s="605"/>
      <c r="DB9" s="605"/>
      <c r="DC9" s="605"/>
      <c r="DD9" s="605"/>
      <c r="DE9" s="605"/>
      <c r="DF9" s="605"/>
      <c r="DG9" s="605"/>
      <c r="DH9" s="605"/>
      <c r="DI9" s="605"/>
      <c r="DJ9" s="605"/>
      <c r="DK9" s="605"/>
      <c r="DL9" s="605"/>
      <c r="DM9" s="605"/>
      <c r="DN9" s="605"/>
      <c r="DO9" s="605"/>
      <c r="DP9" s="605"/>
      <c r="DQ9" s="605"/>
      <c r="DR9" s="605"/>
      <c r="DS9" s="605"/>
      <c r="DT9" s="605"/>
      <c r="DU9" s="605"/>
      <c r="DV9" s="605"/>
      <c r="DW9" s="605"/>
      <c r="DX9" s="605"/>
      <c r="DY9" s="605"/>
      <c r="DZ9" s="605"/>
      <c r="EA9" s="605"/>
      <c r="EB9" s="605"/>
      <c r="EC9" s="605"/>
      <c r="ED9" s="605"/>
      <c r="EE9" s="605"/>
      <c r="EF9" s="605"/>
      <c r="EG9" s="605"/>
      <c r="EH9" s="605"/>
      <c r="EI9" s="605"/>
      <c r="EJ9" s="605"/>
      <c r="EK9" s="605"/>
      <c r="EL9" s="605"/>
      <c r="EM9" s="605"/>
      <c r="EN9" s="605"/>
      <c r="EO9" s="605"/>
      <c r="EP9" s="605"/>
      <c r="EQ9" s="605"/>
      <c r="ER9" s="605"/>
      <c r="ES9" s="605"/>
      <c r="ET9" s="605"/>
      <c r="EU9" s="605"/>
      <c r="EV9" s="605"/>
      <c r="EW9" s="605"/>
      <c r="EX9" s="605"/>
      <c r="EY9" s="605"/>
      <c r="EZ9" s="605"/>
      <c r="FA9" s="605"/>
      <c r="FB9" s="605"/>
      <c r="FC9" s="605"/>
      <c r="FD9" s="605"/>
      <c r="FE9" s="605"/>
      <c r="FF9" s="605"/>
      <c r="FG9" s="605"/>
      <c r="FH9" s="605"/>
      <c r="FI9" s="605"/>
      <c r="FJ9" s="605"/>
      <c r="FK9" s="605"/>
      <c r="FL9" s="605"/>
      <c r="FM9" s="605"/>
      <c r="FN9" s="605"/>
      <c r="FO9" s="605"/>
      <c r="FP9" s="605"/>
      <c r="FQ9" s="605"/>
      <c r="FR9" s="605"/>
      <c r="FS9" s="605"/>
      <c r="FT9" s="605"/>
      <c r="FU9" s="605"/>
      <c r="FV9" s="605"/>
    </row>
    <row r="10" spans="2:178" s="885" customFormat="1" ht="23.25">
      <c r="B10" s="882" t="s">
        <v>362</v>
      </c>
      <c r="C10" s="883"/>
      <c r="D10" s="883"/>
      <c r="E10" s="883"/>
      <c r="F10" s="883"/>
      <c r="G10" s="883"/>
      <c r="H10" s="883"/>
      <c r="I10" s="883"/>
      <c r="J10" s="883"/>
      <c r="K10" s="883"/>
      <c r="L10" s="883"/>
      <c r="M10" s="883"/>
      <c r="N10" s="883"/>
      <c r="O10" s="883"/>
      <c r="P10" s="883"/>
      <c r="Q10" s="883"/>
      <c r="R10" s="883"/>
      <c r="S10" s="883"/>
      <c r="T10" s="883"/>
      <c r="U10" s="883"/>
      <c r="V10" s="886"/>
      <c r="W10" s="883"/>
      <c r="X10" s="883"/>
      <c r="Y10" s="883"/>
      <c r="Z10" s="883"/>
      <c r="AA10" s="883"/>
      <c r="AB10" s="883"/>
      <c r="AC10" s="883"/>
      <c r="AD10" s="883"/>
      <c r="AE10" s="883"/>
      <c r="AF10" s="883"/>
      <c r="AG10" s="883"/>
      <c r="AH10" s="883"/>
      <c r="AI10" s="883"/>
      <c r="AJ10" s="883"/>
      <c r="AK10" s="883"/>
      <c r="AL10" s="883"/>
      <c r="AM10" s="883"/>
      <c r="AN10" s="883"/>
      <c r="AO10" s="883"/>
      <c r="AP10" s="883"/>
      <c r="AQ10" s="883"/>
      <c r="AR10" s="883"/>
      <c r="AS10" s="883"/>
      <c r="AT10" s="883"/>
      <c r="AU10" s="883"/>
      <c r="AV10" s="883"/>
      <c r="AW10" s="883"/>
      <c r="AX10" s="883"/>
      <c r="AY10" s="883"/>
      <c r="AZ10" s="883"/>
      <c r="BA10" s="883"/>
      <c r="BB10" s="883"/>
      <c r="BC10" s="883"/>
      <c r="BD10" s="883"/>
      <c r="BE10" s="883"/>
      <c r="BF10" s="883"/>
      <c r="BG10" s="883"/>
      <c r="BH10" s="883"/>
      <c r="BI10" s="883"/>
      <c r="BJ10" s="883"/>
      <c r="BK10" s="883"/>
      <c r="BL10" s="883"/>
      <c r="BM10" s="883"/>
      <c r="BN10" s="883"/>
      <c r="BO10" s="883"/>
      <c r="BP10" s="883"/>
      <c r="BQ10" s="883"/>
      <c r="BR10" s="883"/>
      <c r="BS10" s="883"/>
      <c r="BT10" s="883"/>
      <c r="BU10" s="883"/>
      <c r="BV10" s="883"/>
      <c r="BW10" s="883"/>
      <c r="BX10" s="883"/>
      <c r="BY10" s="883"/>
      <c r="BZ10" s="883"/>
      <c r="CA10" s="883"/>
      <c r="CB10" s="883"/>
      <c r="CC10" s="883"/>
      <c r="CD10" s="883"/>
      <c r="CE10" s="883"/>
      <c r="CF10" s="883"/>
      <c r="CG10" s="883"/>
      <c r="CH10" s="883"/>
      <c r="CI10" s="883"/>
      <c r="CJ10" s="883"/>
      <c r="CK10" s="883"/>
      <c r="CL10" s="883"/>
      <c r="CM10" s="883"/>
      <c r="CN10" s="883"/>
      <c r="CO10" s="883"/>
      <c r="CP10" s="883"/>
      <c r="CQ10" s="883"/>
      <c r="CR10" s="883"/>
      <c r="CS10" s="883"/>
      <c r="CT10" s="883"/>
      <c r="CU10" s="883"/>
      <c r="CV10" s="883"/>
      <c r="CW10" s="883"/>
      <c r="CX10" s="883"/>
      <c r="CY10" s="883"/>
      <c r="CZ10" s="883"/>
      <c r="DA10" s="883"/>
      <c r="DB10" s="883"/>
      <c r="DC10" s="883"/>
      <c r="DD10" s="883"/>
      <c r="DE10" s="883"/>
      <c r="DF10" s="883"/>
      <c r="DG10" s="883"/>
      <c r="DH10" s="883"/>
      <c r="DI10" s="883"/>
      <c r="DJ10" s="883"/>
      <c r="DK10" s="883"/>
      <c r="DL10" s="883"/>
      <c r="DM10" s="883"/>
      <c r="DN10" s="883"/>
      <c r="DO10" s="883"/>
      <c r="DP10" s="883"/>
      <c r="DQ10" s="883"/>
      <c r="DR10" s="883"/>
      <c r="DS10" s="883"/>
      <c r="DT10" s="883"/>
      <c r="DU10" s="883"/>
      <c r="DV10" s="883"/>
      <c r="DW10" s="883"/>
      <c r="DX10" s="883"/>
      <c r="DY10" s="883"/>
      <c r="DZ10" s="883"/>
      <c r="EA10" s="883"/>
      <c r="EB10" s="883"/>
      <c r="EC10" s="883"/>
      <c r="ED10" s="883"/>
      <c r="EE10" s="883"/>
      <c r="EF10" s="883"/>
      <c r="EG10" s="883"/>
      <c r="EH10" s="883"/>
      <c r="EI10" s="883"/>
      <c r="EJ10" s="883"/>
      <c r="EK10" s="883"/>
      <c r="EL10" s="883"/>
      <c r="EM10" s="883"/>
      <c r="EN10" s="883"/>
      <c r="EO10" s="883"/>
      <c r="EP10" s="883"/>
      <c r="EQ10" s="883"/>
      <c r="ER10" s="883"/>
      <c r="ES10" s="883"/>
      <c r="ET10" s="883"/>
      <c r="EU10" s="883"/>
      <c r="EV10" s="883"/>
      <c r="EW10" s="883"/>
      <c r="EX10" s="883"/>
      <c r="EY10" s="883"/>
      <c r="EZ10" s="883"/>
      <c r="FA10" s="883"/>
      <c r="FB10" s="883"/>
      <c r="FC10" s="883"/>
      <c r="FD10" s="883"/>
      <c r="FE10" s="883"/>
      <c r="FF10" s="883"/>
      <c r="FG10" s="883"/>
      <c r="FH10" s="883"/>
      <c r="FI10" s="883"/>
      <c r="FJ10" s="883"/>
      <c r="FK10" s="883"/>
      <c r="FL10" s="883"/>
      <c r="FM10" s="883"/>
      <c r="FN10" s="883"/>
      <c r="FO10" s="883"/>
      <c r="FP10" s="883"/>
      <c r="FQ10" s="883"/>
      <c r="FR10" s="883"/>
      <c r="FS10" s="883"/>
      <c r="FT10" s="883"/>
      <c r="FU10" s="883"/>
      <c r="FV10" s="883"/>
    </row>
    <row r="11" spans="2:178" s="32" customFormat="1" ht="9.75" customHeight="1" thickBot="1"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791"/>
      <c r="V11" s="791"/>
      <c r="W11" s="605"/>
      <c r="X11" s="605"/>
      <c r="Y11" s="605"/>
      <c r="Z11" s="605"/>
      <c r="AA11" s="605"/>
      <c r="AB11" s="605"/>
      <c r="AC11" s="605"/>
      <c r="AD11" s="605"/>
      <c r="AE11" s="605"/>
      <c r="AF11" s="605"/>
      <c r="AG11" s="605"/>
      <c r="AH11" s="605"/>
      <c r="AI11" s="605"/>
      <c r="AJ11" s="605"/>
      <c r="AK11" s="605"/>
      <c r="AL11" s="605"/>
      <c r="AM11" s="605"/>
      <c r="AN11" s="605"/>
      <c r="AO11" s="605"/>
      <c r="AP11" s="605"/>
      <c r="AQ11" s="605"/>
      <c r="AR11" s="605"/>
      <c r="AS11" s="605"/>
      <c r="AT11" s="605"/>
      <c r="AU11" s="605"/>
      <c r="AV11" s="605"/>
      <c r="AW11" s="605"/>
      <c r="AX11" s="605"/>
      <c r="AY11" s="605"/>
      <c r="AZ11" s="605"/>
      <c r="BA11" s="605"/>
      <c r="BB11" s="605"/>
      <c r="BC11" s="605"/>
      <c r="BD11" s="605"/>
      <c r="BE11" s="605"/>
      <c r="BF11" s="605"/>
      <c r="BG11" s="605"/>
      <c r="BH11" s="605"/>
      <c r="BI11" s="605"/>
      <c r="BJ11" s="605"/>
      <c r="BK11" s="605"/>
      <c r="BL11" s="605"/>
      <c r="BM11" s="605"/>
      <c r="BN11" s="605"/>
      <c r="BO11" s="605"/>
      <c r="BP11" s="605"/>
      <c r="BQ11" s="605"/>
      <c r="BR11" s="605"/>
      <c r="BS11" s="605"/>
      <c r="BT11" s="605"/>
      <c r="BU11" s="605"/>
      <c r="BV11" s="605"/>
      <c r="BW11" s="605"/>
      <c r="BX11" s="605"/>
      <c r="BY11" s="605"/>
      <c r="BZ11" s="605"/>
      <c r="CA11" s="605"/>
      <c r="CB11" s="605"/>
      <c r="CC11" s="605"/>
      <c r="CD11" s="605"/>
      <c r="CE11" s="605"/>
      <c r="CF11" s="605"/>
      <c r="CG11" s="605"/>
      <c r="CH11" s="605"/>
      <c r="CI11" s="605"/>
      <c r="CJ11" s="605"/>
      <c r="CK11" s="605"/>
      <c r="CL11" s="605"/>
      <c r="CM11" s="605"/>
      <c r="CN11" s="605"/>
      <c r="CO11" s="605"/>
      <c r="CP11" s="605"/>
      <c r="CQ11" s="605"/>
      <c r="CR11" s="605"/>
      <c r="CS11" s="605"/>
      <c r="CT11" s="605"/>
      <c r="CU11" s="605"/>
      <c r="CV11" s="605"/>
      <c r="CW11" s="605"/>
      <c r="CX11" s="605"/>
      <c r="CY11" s="605"/>
      <c r="CZ11" s="605"/>
      <c r="DA11" s="605"/>
      <c r="DB11" s="605"/>
      <c r="DC11" s="605"/>
      <c r="DD11" s="605"/>
      <c r="DE11" s="605"/>
      <c r="DF11" s="605"/>
      <c r="DG11" s="605"/>
      <c r="DH11" s="605"/>
      <c r="DI11" s="605"/>
      <c r="DJ11" s="605"/>
      <c r="DK11" s="605"/>
      <c r="DL11" s="605"/>
      <c r="DM11" s="605"/>
      <c r="DN11" s="605"/>
      <c r="DO11" s="605"/>
      <c r="DP11" s="605"/>
      <c r="DQ11" s="605"/>
      <c r="DR11" s="605"/>
      <c r="DS11" s="605"/>
      <c r="DT11" s="605"/>
      <c r="DU11" s="605"/>
      <c r="DV11" s="605"/>
      <c r="DW11" s="605"/>
      <c r="DX11" s="605"/>
      <c r="DY11" s="605"/>
      <c r="DZ11" s="605"/>
      <c r="EA11" s="605"/>
      <c r="EB11" s="605"/>
      <c r="EC11" s="605"/>
      <c r="ED11" s="605"/>
      <c r="EE11" s="605"/>
      <c r="EF11" s="605"/>
      <c r="EG11" s="605"/>
      <c r="EH11" s="605"/>
      <c r="EI11" s="605"/>
      <c r="EJ11" s="605"/>
      <c r="EK11" s="605"/>
      <c r="EL11" s="605"/>
      <c r="EM11" s="605"/>
      <c r="EN11" s="605"/>
      <c r="EO11" s="605"/>
      <c r="EP11" s="605"/>
      <c r="EQ11" s="605"/>
      <c r="ER11" s="605"/>
      <c r="ES11" s="605"/>
      <c r="ET11" s="605"/>
      <c r="EU11" s="605"/>
      <c r="EV11" s="605"/>
      <c r="EW11" s="605"/>
      <c r="EX11" s="605"/>
      <c r="EY11" s="605"/>
      <c r="EZ11" s="605"/>
      <c r="FA11" s="605"/>
      <c r="FB11" s="605"/>
      <c r="FC11" s="605"/>
      <c r="FD11" s="605"/>
      <c r="FE11" s="605"/>
      <c r="FF11" s="605"/>
      <c r="FG11" s="605"/>
      <c r="FH11" s="605"/>
      <c r="FI11" s="605"/>
      <c r="FJ11" s="605"/>
      <c r="FK11" s="605"/>
      <c r="FL11" s="605"/>
      <c r="FM11" s="605"/>
      <c r="FN11" s="605"/>
      <c r="FO11" s="605"/>
      <c r="FP11" s="605"/>
      <c r="FQ11" s="605"/>
      <c r="FR11" s="605"/>
      <c r="FS11" s="605"/>
      <c r="FT11" s="605"/>
      <c r="FU11" s="605"/>
      <c r="FV11" s="605"/>
    </row>
    <row r="12" spans="2:177" s="32" customFormat="1" ht="9.75" customHeight="1" thickTop="1">
      <c r="B12" s="887"/>
      <c r="C12" s="888"/>
      <c r="D12" s="888"/>
      <c r="E12" s="888"/>
      <c r="F12" s="888"/>
      <c r="G12" s="888"/>
      <c r="H12" s="888"/>
      <c r="I12" s="888"/>
      <c r="J12" s="888"/>
      <c r="K12" s="888"/>
      <c r="L12" s="888"/>
      <c r="M12" s="888"/>
      <c r="N12" s="888"/>
      <c r="O12" s="888"/>
      <c r="P12" s="888"/>
      <c r="Q12" s="888"/>
      <c r="R12" s="888"/>
      <c r="S12" s="888"/>
      <c r="T12" s="888"/>
      <c r="U12" s="889"/>
      <c r="V12" s="605"/>
      <c r="W12" s="605"/>
      <c r="X12" s="605"/>
      <c r="Y12" s="605"/>
      <c r="Z12" s="605"/>
      <c r="AA12" s="605"/>
      <c r="AB12" s="605"/>
      <c r="AC12" s="605"/>
      <c r="AD12" s="605"/>
      <c r="AE12" s="605"/>
      <c r="AF12" s="605"/>
      <c r="AG12" s="605"/>
      <c r="AH12" s="605"/>
      <c r="AI12" s="605"/>
      <c r="AJ12" s="605"/>
      <c r="AK12" s="605"/>
      <c r="AL12" s="605"/>
      <c r="AM12" s="605"/>
      <c r="AN12" s="605"/>
      <c r="AO12" s="605"/>
      <c r="AP12" s="605"/>
      <c r="AQ12" s="605"/>
      <c r="AR12" s="605"/>
      <c r="AS12" s="605"/>
      <c r="AT12" s="605"/>
      <c r="AU12" s="605"/>
      <c r="AV12" s="605"/>
      <c r="AW12" s="605"/>
      <c r="AX12" s="605"/>
      <c r="AY12" s="605"/>
      <c r="AZ12" s="605"/>
      <c r="BA12" s="605"/>
      <c r="BB12" s="605"/>
      <c r="BC12" s="605"/>
      <c r="BD12" s="605"/>
      <c r="BE12" s="605"/>
      <c r="BF12" s="605"/>
      <c r="BG12" s="605"/>
      <c r="BH12" s="605"/>
      <c r="BI12" s="605"/>
      <c r="BJ12" s="605"/>
      <c r="BK12" s="605"/>
      <c r="BL12" s="605"/>
      <c r="BM12" s="605"/>
      <c r="BN12" s="605"/>
      <c r="BO12" s="605"/>
      <c r="BP12" s="605"/>
      <c r="BQ12" s="605"/>
      <c r="BR12" s="605"/>
      <c r="BS12" s="605"/>
      <c r="BT12" s="605"/>
      <c r="BU12" s="605"/>
      <c r="BV12" s="605"/>
      <c r="BW12" s="605"/>
      <c r="BX12" s="605"/>
      <c r="BY12" s="605"/>
      <c r="BZ12" s="605"/>
      <c r="CA12" s="605"/>
      <c r="CB12" s="605"/>
      <c r="CC12" s="605"/>
      <c r="CD12" s="605"/>
      <c r="CE12" s="605"/>
      <c r="CF12" s="605"/>
      <c r="CG12" s="605"/>
      <c r="CH12" s="605"/>
      <c r="CI12" s="605"/>
      <c r="CJ12" s="605"/>
      <c r="CK12" s="605"/>
      <c r="CL12" s="605"/>
      <c r="CM12" s="605"/>
      <c r="CN12" s="605"/>
      <c r="CO12" s="605"/>
      <c r="CP12" s="605"/>
      <c r="CQ12" s="605"/>
      <c r="CR12" s="605"/>
      <c r="CS12" s="605"/>
      <c r="CT12" s="605"/>
      <c r="CU12" s="605"/>
      <c r="CV12" s="605"/>
      <c r="CW12" s="605"/>
      <c r="CX12" s="605"/>
      <c r="CY12" s="605"/>
      <c r="CZ12" s="605"/>
      <c r="DA12" s="605"/>
      <c r="DB12" s="605"/>
      <c r="DC12" s="605"/>
      <c r="DD12" s="605"/>
      <c r="DE12" s="605"/>
      <c r="DF12" s="605"/>
      <c r="DG12" s="605"/>
      <c r="DH12" s="605"/>
      <c r="DI12" s="605"/>
      <c r="DJ12" s="605"/>
      <c r="DK12" s="605"/>
      <c r="DL12" s="605"/>
      <c r="DM12" s="605"/>
      <c r="DN12" s="605"/>
      <c r="DO12" s="605"/>
      <c r="DP12" s="605"/>
      <c r="DQ12" s="605"/>
      <c r="DR12" s="605"/>
      <c r="DS12" s="605"/>
      <c r="DT12" s="605"/>
      <c r="DU12" s="605"/>
      <c r="DV12" s="605"/>
      <c r="DW12" s="605"/>
      <c r="DX12" s="605"/>
      <c r="DY12" s="605"/>
      <c r="DZ12" s="605"/>
      <c r="EA12" s="605"/>
      <c r="EB12" s="605"/>
      <c r="EC12" s="605"/>
      <c r="ED12" s="605"/>
      <c r="EE12" s="605"/>
      <c r="EF12" s="605"/>
      <c r="EG12" s="605"/>
      <c r="EH12" s="605"/>
      <c r="EI12" s="605"/>
      <c r="EJ12" s="605"/>
      <c r="EK12" s="605"/>
      <c r="EL12" s="605"/>
      <c r="EM12" s="605"/>
      <c r="EN12" s="605"/>
      <c r="EO12" s="605"/>
      <c r="EP12" s="605"/>
      <c r="EQ12" s="605"/>
      <c r="ER12" s="605"/>
      <c r="ES12" s="605"/>
      <c r="ET12" s="605"/>
      <c r="EU12" s="605"/>
      <c r="EV12" s="605"/>
      <c r="EW12" s="605"/>
      <c r="EX12" s="605"/>
      <c r="EY12" s="605"/>
      <c r="EZ12" s="605"/>
      <c r="FA12" s="605"/>
      <c r="FB12" s="605"/>
      <c r="FC12" s="605"/>
      <c r="FD12" s="605"/>
      <c r="FE12" s="605"/>
      <c r="FF12" s="605"/>
      <c r="FG12" s="605"/>
      <c r="FH12" s="605"/>
      <c r="FI12" s="605"/>
      <c r="FJ12" s="605"/>
      <c r="FK12" s="605"/>
      <c r="FL12" s="605"/>
      <c r="FM12" s="605"/>
      <c r="FN12" s="605"/>
      <c r="FO12" s="605"/>
      <c r="FP12" s="605"/>
      <c r="FQ12" s="605"/>
      <c r="FR12" s="605"/>
      <c r="FS12" s="605"/>
      <c r="FT12" s="605"/>
      <c r="FU12" s="605"/>
    </row>
    <row r="13" spans="2:177" s="32" customFormat="1" ht="19.5">
      <c r="B13" s="37" t="s">
        <v>363</v>
      </c>
      <c r="C13" s="895"/>
      <c r="D13" s="895"/>
      <c r="E13" s="895"/>
      <c r="F13" s="895"/>
      <c r="G13" s="895"/>
      <c r="H13" s="895"/>
      <c r="I13" s="895"/>
      <c r="J13" s="895"/>
      <c r="K13" s="895"/>
      <c r="L13" s="895"/>
      <c r="M13" s="895"/>
      <c r="N13" s="895"/>
      <c r="O13" s="895"/>
      <c r="P13" s="895"/>
      <c r="Q13" s="895"/>
      <c r="R13" s="895"/>
      <c r="S13" s="895"/>
      <c r="T13" s="895"/>
      <c r="U13" s="896"/>
      <c r="V13" s="605"/>
      <c r="W13" s="605"/>
      <c r="X13" s="605"/>
      <c r="Y13" s="605"/>
      <c r="Z13" s="605"/>
      <c r="AA13" s="605"/>
      <c r="AB13" s="605"/>
      <c r="AC13" s="605"/>
      <c r="AD13" s="605"/>
      <c r="AE13" s="605"/>
      <c r="AF13" s="605"/>
      <c r="AG13" s="605"/>
      <c r="AH13" s="605"/>
      <c r="AI13" s="605"/>
      <c r="AJ13" s="605"/>
      <c r="AK13" s="605"/>
      <c r="AL13" s="605"/>
      <c r="AM13" s="605"/>
      <c r="AN13" s="605"/>
      <c r="AO13" s="605"/>
      <c r="AP13" s="605"/>
      <c r="AQ13" s="605"/>
      <c r="AR13" s="605"/>
      <c r="AS13" s="605"/>
      <c r="AT13" s="605"/>
      <c r="AU13" s="605"/>
      <c r="AV13" s="605"/>
      <c r="AW13" s="605"/>
      <c r="AX13" s="605"/>
      <c r="AY13" s="605"/>
      <c r="AZ13" s="605"/>
      <c r="BA13" s="605"/>
      <c r="BB13" s="605"/>
      <c r="BC13" s="605"/>
      <c r="BD13" s="605"/>
      <c r="BE13" s="605"/>
      <c r="BF13" s="605"/>
      <c r="BG13" s="605"/>
      <c r="BH13" s="605"/>
      <c r="BI13" s="605"/>
      <c r="BJ13" s="605"/>
      <c r="BK13" s="605"/>
      <c r="BL13" s="605"/>
      <c r="BM13" s="605"/>
      <c r="BN13" s="605"/>
      <c r="BO13" s="605"/>
      <c r="BP13" s="605"/>
      <c r="BQ13" s="605"/>
      <c r="BR13" s="605"/>
      <c r="BS13" s="605"/>
      <c r="BT13" s="605"/>
      <c r="BU13" s="605"/>
      <c r="BV13" s="605"/>
      <c r="BW13" s="605"/>
      <c r="BX13" s="605"/>
      <c r="BY13" s="605"/>
      <c r="BZ13" s="605"/>
      <c r="CA13" s="605"/>
      <c r="CB13" s="605"/>
      <c r="CC13" s="605"/>
      <c r="CD13" s="605"/>
      <c r="CE13" s="605"/>
      <c r="CF13" s="605"/>
      <c r="CG13" s="605"/>
      <c r="CH13" s="605"/>
      <c r="CI13" s="605"/>
      <c r="CJ13" s="605"/>
      <c r="CK13" s="605"/>
      <c r="CL13" s="605"/>
      <c r="CM13" s="605"/>
      <c r="CN13" s="605"/>
      <c r="CO13" s="605"/>
      <c r="CP13" s="605"/>
      <c r="CQ13" s="605"/>
      <c r="CR13" s="605"/>
      <c r="CS13" s="605"/>
      <c r="CT13" s="605"/>
      <c r="CU13" s="605"/>
      <c r="CV13" s="605"/>
      <c r="CW13" s="605"/>
      <c r="CX13" s="605"/>
      <c r="CY13" s="605"/>
      <c r="CZ13" s="605"/>
      <c r="DA13" s="605"/>
      <c r="DB13" s="605"/>
      <c r="DC13" s="605"/>
      <c r="DD13" s="605"/>
      <c r="DE13" s="605"/>
      <c r="DF13" s="605"/>
      <c r="DG13" s="605"/>
      <c r="DH13" s="605"/>
      <c r="DI13" s="605"/>
      <c r="DJ13" s="605"/>
      <c r="DK13" s="605"/>
      <c r="DL13" s="605"/>
      <c r="DM13" s="605"/>
      <c r="DN13" s="605"/>
      <c r="DO13" s="605"/>
      <c r="DP13" s="605"/>
      <c r="DQ13" s="605"/>
      <c r="DR13" s="605"/>
      <c r="DS13" s="605"/>
      <c r="DT13" s="605"/>
      <c r="DU13" s="605"/>
      <c r="DV13" s="605"/>
      <c r="DW13" s="605"/>
      <c r="DX13" s="605"/>
      <c r="DY13" s="605"/>
      <c r="DZ13" s="605"/>
      <c r="EA13" s="605"/>
      <c r="EB13" s="605"/>
      <c r="EC13" s="605"/>
      <c r="ED13" s="605"/>
      <c r="EE13" s="605"/>
      <c r="EF13" s="605"/>
      <c r="EG13" s="605"/>
      <c r="EH13" s="605"/>
      <c r="EI13" s="605"/>
      <c r="EJ13" s="605"/>
      <c r="EK13" s="605"/>
      <c r="EL13" s="605"/>
      <c r="EM13" s="605"/>
      <c r="EN13" s="605"/>
      <c r="EO13" s="605"/>
      <c r="EP13" s="605"/>
      <c r="EQ13" s="605"/>
      <c r="ER13" s="605"/>
      <c r="ES13" s="605"/>
      <c r="ET13" s="605"/>
      <c r="EU13" s="605"/>
      <c r="EV13" s="605"/>
      <c r="EW13" s="605"/>
      <c r="EX13" s="605"/>
      <c r="EY13" s="605"/>
      <c r="EZ13" s="605"/>
      <c r="FA13" s="605"/>
      <c r="FB13" s="605"/>
      <c r="FC13" s="605"/>
      <c r="FD13" s="605"/>
      <c r="FE13" s="605"/>
      <c r="FF13" s="605"/>
      <c r="FG13" s="605"/>
      <c r="FH13" s="605"/>
      <c r="FI13" s="605"/>
      <c r="FJ13" s="605"/>
      <c r="FK13" s="605"/>
      <c r="FL13" s="605"/>
      <c r="FM13" s="605"/>
      <c r="FN13" s="605"/>
      <c r="FO13" s="605"/>
      <c r="FP13" s="605"/>
      <c r="FQ13" s="605"/>
      <c r="FR13" s="605"/>
      <c r="FS13" s="605"/>
      <c r="FT13" s="605"/>
      <c r="FU13" s="605"/>
    </row>
    <row r="14" spans="2:21" s="32" customFormat="1" ht="9.75" customHeight="1" thickBot="1">
      <c r="B14" s="450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897"/>
    </row>
    <row r="15" spans="2:21" s="898" customFormat="1" ht="33.75" customHeight="1" thickBot="1" thickTop="1">
      <c r="B15" s="899"/>
      <c r="C15" s="84"/>
      <c r="D15" s="84" t="s">
        <v>0</v>
      </c>
      <c r="E15" s="132" t="s">
        <v>13</v>
      </c>
      <c r="F15" s="132" t="s">
        <v>14</v>
      </c>
      <c r="G15" s="900" t="s">
        <v>364</v>
      </c>
      <c r="H15" s="900">
        <v>40179</v>
      </c>
      <c r="I15" s="900">
        <v>40210</v>
      </c>
      <c r="J15" s="900">
        <v>40238</v>
      </c>
      <c r="K15" s="900">
        <v>40269</v>
      </c>
      <c r="L15" s="900">
        <v>40299</v>
      </c>
      <c r="M15" s="900">
        <v>40330</v>
      </c>
      <c r="N15" s="900">
        <v>40360</v>
      </c>
      <c r="O15" s="900">
        <v>40391</v>
      </c>
      <c r="P15" s="900">
        <v>40422</v>
      </c>
      <c r="Q15" s="900">
        <v>40452</v>
      </c>
      <c r="R15" s="900">
        <v>40483</v>
      </c>
      <c r="S15" s="900">
        <v>40513</v>
      </c>
      <c r="T15" s="900">
        <v>40544</v>
      </c>
      <c r="U15" s="901"/>
    </row>
    <row r="16" spans="2:21" s="902" customFormat="1" ht="9.75" customHeight="1" thickTop="1">
      <c r="B16" s="903"/>
      <c r="C16" s="904"/>
      <c r="D16" s="905"/>
      <c r="E16" s="905"/>
      <c r="F16" s="905"/>
      <c r="G16" s="905"/>
      <c r="H16" s="906"/>
      <c r="I16" s="906"/>
      <c r="J16" s="906"/>
      <c r="K16" s="906"/>
      <c r="L16" s="906"/>
      <c r="M16" s="906"/>
      <c r="N16" s="906"/>
      <c r="O16" s="906"/>
      <c r="P16" s="906"/>
      <c r="Q16" s="906"/>
      <c r="R16" s="906"/>
      <c r="S16" s="906"/>
      <c r="T16" s="907"/>
      <c r="U16" s="908"/>
    </row>
    <row r="17" spans="2:21" s="902" customFormat="1" ht="19.5" customHeight="1">
      <c r="B17" s="903"/>
      <c r="C17" s="909">
        <f>IF('[3]BASE'!C17=0,"",'[3]BASE'!C17)</f>
        <v>1</v>
      </c>
      <c r="D17" s="909" t="str">
        <f>IF('[3]BASE'!D17=0,"",'[3]BASE'!D17)</f>
        <v>ABASTO - OLAVARRIA 1</v>
      </c>
      <c r="E17" s="909">
        <f>IF('[3]BASE'!E17=0,"",'[3]BASE'!E17)</f>
        <v>500</v>
      </c>
      <c r="F17" s="909">
        <f>IF('[3]BASE'!F17=0,"",'[3]BASE'!F17)</f>
        <v>291</v>
      </c>
      <c r="G17" s="910" t="str">
        <f>IF('[2]BASE'!G17=0,"",'[2]BASE'!G17)</f>
        <v>B</v>
      </c>
      <c r="H17" s="911">
        <f>IF('[3]BASE'!GS17=0,"",'[3]BASE'!GS17)</f>
      </c>
      <c r="I17" s="911">
        <f>IF('[3]BASE'!GT17=0,"",'[3]BASE'!GT17)</f>
      </c>
      <c r="J17" s="911">
        <f>IF('[3]BASE'!GU17=0,"",'[3]BASE'!GU17)</f>
      </c>
      <c r="K17" s="911">
        <f>IF('[3]BASE'!GV17=0,"",'[3]BASE'!GV17)</f>
      </c>
      <c r="L17" s="911">
        <f>IF('[3]BASE'!GW17=0,"",'[3]BASE'!GW17)</f>
      </c>
      <c r="M17" s="911">
        <f>IF('[3]BASE'!GX17=0,"",'[3]BASE'!GX17)</f>
      </c>
      <c r="N17" s="911">
        <f>IF('[3]BASE'!GY17=0,"",'[3]BASE'!GY17)</f>
      </c>
      <c r="O17" s="911">
        <f>IF('[3]BASE'!GZ17=0,"",'[3]BASE'!GZ17)</f>
      </c>
      <c r="P17" s="911">
        <f>IF('[3]BASE'!HA17=0,"",'[3]BASE'!HA17)</f>
      </c>
      <c r="Q17" s="911">
        <f>IF('[3]BASE'!HB17=0,"",'[3]BASE'!HB17)</f>
      </c>
      <c r="R17" s="911">
        <f>IF('[3]BASE'!HC17=0,"",'[3]BASE'!HC17)</f>
      </c>
      <c r="S17" s="911">
        <f>IF('[3]BASE'!HD17=0,"",'[3]BASE'!HD17)</f>
      </c>
      <c r="T17" s="912"/>
      <c r="U17" s="908"/>
    </row>
    <row r="18" spans="2:21" s="902" customFormat="1" ht="19.5" customHeight="1">
      <c r="B18" s="903"/>
      <c r="C18" s="913">
        <f>IF('[3]BASE'!C18=0,"",'[3]BASE'!C18)</f>
        <v>2</v>
      </c>
      <c r="D18" s="913" t="str">
        <f>IF('[3]BASE'!D18=0,"",'[3]BASE'!D18)</f>
        <v>ABASTO - OLAVARRIA 2</v>
      </c>
      <c r="E18" s="913">
        <f>IF('[3]BASE'!E18=0,"",'[3]BASE'!E18)</f>
        <v>500</v>
      </c>
      <c r="F18" s="913">
        <f>IF('[3]BASE'!F18=0,"",'[3]BASE'!F18)</f>
        <v>301.9</v>
      </c>
      <c r="G18" s="914" t="e">
        <f>IF('[2]BASE'!G18=0,"",'[2]BASE'!G18)</f>
        <v>#REF!</v>
      </c>
      <c r="H18" s="911">
        <f>IF('[3]BASE'!GS18=0,"",'[3]BASE'!GS18)</f>
      </c>
      <c r="I18" s="911">
        <f>IF('[3]BASE'!GT18=0,"",'[3]BASE'!GT18)</f>
      </c>
      <c r="J18" s="911">
        <f>IF('[3]BASE'!GU18=0,"",'[3]BASE'!GU18)</f>
      </c>
      <c r="K18" s="911">
        <f>IF('[3]BASE'!GV18=0,"",'[3]BASE'!GV18)</f>
      </c>
      <c r="L18" s="911">
        <f>IF('[3]BASE'!GW18=0,"",'[3]BASE'!GW18)</f>
      </c>
      <c r="M18" s="911">
        <f>IF('[3]BASE'!GX18=0,"",'[3]BASE'!GX18)</f>
      </c>
      <c r="N18" s="911">
        <f>IF('[3]BASE'!GY18=0,"",'[3]BASE'!GY18)</f>
      </c>
      <c r="O18" s="911">
        <f>IF('[3]BASE'!GZ18=0,"",'[3]BASE'!GZ18)</f>
      </c>
      <c r="P18" s="911">
        <f>IF('[3]BASE'!HA18=0,"",'[3]BASE'!HA18)</f>
      </c>
      <c r="Q18" s="911">
        <f>IF('[3]BASE'!HB18=0,"",'[3]BASE'!HB18)</f>
      </c>
      <c r="R18" s="911">
        <f>IF('[3]BASE'!HC18=0,"",'[3]BASE'!HC18)</f>
      </c>
      <c r="S18" s="911">
        <f>IF('[3]BASE'!HD18=0,"",'[3]BASE'!HD18)</f>
      </c>
      <c r="T18" s="912"/>
      <c r="U18" s="908"/>
    </row>
    <row r="19" spans="2:21" s="902" customFormat="1" ht="19.5" customHeight="1">
      <c r="B19" s="903"/>
      <c r="C19" s="915">
        <f>IF('[3]BASE'!C19=0,"",'[3]BASE'!C19)</f>
        <v>3</v>
      </c>
      <c r="D19" s="915" t="str">
        <f>IF('[3]BASE'!D19=0,"",'[3]BASE'!D19)</f>
        <v>AGUA DEL CAJON - CHOCON OESTE</v>
      </c>
      <c r="E19" s="915">
        <f>IF('[3]BASE'!E19=0,"",'[3]BASE'!E19)</f>
        <v>500</v>
      </c>
      <c r="F19" s="915">
        <f>IF('[3]BASE'!F19=0,"",'[3]BASE'!F19)</f>
        <v>52</v>
      </c>
      <c r="G19" s="916" t="e">
        <f>IF('[2]BASE'!G19=0,"",'[2]BASE'!G19)</f>
        <v>#REF!</v>
      </c>
      <c r="H19" s="911">
        <f>IF('[3]BASE'!GS19=0,"",'[3]BASE'!GS19)</f>
      </c>
      <c r="I19" s="911">
        <f>IF('[3]BASE'!GT19=0,"",'[3]BASE'!GT19)</f>
      </c>
      <c r="J19" s="911">
        <f>IF('[3]BASE'!GU19=0,"",'[3]BASE'!GU19)</f>
      </c>
      <c r="K19" s="911">
        <f>IF('[3]BASE'!GV19=0,"",'[3]BASE'!GV19)</f>
      </c>
      <c r="L19" s="911">
        <f>IF('[3]BASE'!GW19=0,"",'[3]BASE'!GW19)</f>
      </c>
      <c r="M19" s="911">
        <f>IF('[3]BASE'!GX19=0,"",'[3]BASE'!GX19)</f>
      </c>
      <c r="N19" s="911">
        <f>IF('[3]BASE'!GY19=0,"",'[3]BASE'!GY19)</f>
      </c>
      <c r="O19" s="911">
        <f>IF('[3]BASE'!GZ19=0,"",'[3]BASE'!GZ19)</f>
      </c>
      <c r="P19" s="911">
        <f>IF('[3]BASE'!HA19=0,"",'[3]BASE'!HA19)</f>
      </c>
      <c r="Q19" s="911">
        <f>IF('[3]BASE'!HB19=0,"",'[3]BASE'!HB19)</f>
      </c>
      <c r="R19" s="911">
        <f>IF('[3]BASE'!HC19=0,"",'[3]BASE'!HC19)</f>
      </c>
      <c r="S19" s="911">
        <f>IF('[3]BASE'!HD19=0,"",'[3]BASE'!HD19)</f>
      </c>
      <c r="T19" s="912"/>
      <c r="U19" s="908"/>
    </row>
    <row r="20" spans="2:21" s="902" customFormat="1" ht="19.5" customHeight="1">
      <c r="B20" s="903"/>
      <c r="C20" s="913">
        <f>IF('[3]BASE'!C20=0,"",'[3]BASE'!C20)</f>
        <v>4</v>
      </c>
      <c r="D20" s="913" t="str">
        <f>IF('[3]BASE'!D20=0,"",'[3]BASE'!D20)</f>
        <v>ALICURA - E.T. P.del A. 1 (5LG1)</v>
      </c>
      <c r="E20" s="913">
        <f>IF('[3]BASE'!E20=0,"",'[3]BASE'!E20)</f>
        <v>500</v>
      </c>
      <c r="F20" s="913">
        <f>IF('[3]BASE'!F20=0,"",'[3]BASE'!F20)</f>
        <v>76</v>
      </c>
      <c r="G20" s="914" t="str">
        <f>IF('[2]BASE'!G20=0,"",'[2]BASE'!G20)</f>
        <v>C</v>
      </c>
      <c r="H20" s="911">
        <f>IF('[3]BASE'!GS20=0,"",'[3]BASE'!GS20)</f>
      </c>
      <c r="I20" s="911">
        <f>IF('[3]BASE'!GT20=0,"",'[3]BASE'!GT20)</f>
        <v>1</v>
      </c>
      <c r="J20" s="911">
        <f>IF('[3]BASE'!GU20=0,"",'[3]BASE'!GU20)</f>
      </c>
      <c r="K20" s="911">
        <f>IF('[3]BASE'!GV20=0,"",'[3]BASE'!GV20)</f>
      </c>
      <c r="L20" s="911">
        <f>IF('[3]BASE'!GW20=0,"",'[3]BASE'!GW20)</f>
      </c>
      <c r="M20" s="911">
        <f>IF('[3]BASE'!GX20=0,"",'[3]BASE'!GX20)</f>
      </c>
      <c r="N20" s="911">
        <f>IF('[3]BASE'!GY20=0,"",'[3]BASE'!GY20)</f>
      </c>
      <c r="O20" s="911">
        <f>IF('[3]BASE'!GZ20=0,"",'[3]BASE'!GZ20)</f>
        <v>1</v>
      </c>
      <c r="P20" s="911">
        <f>IF('[3]BASE'!HA20=0,"",'[3]BASE'!HA20)</f>
      </c>
      <c r="Q20" s="911">
        <f>IF('[3]BASE'!HB20=0,"",'[3]BASE'!HB20)</f>
      </c>
      <c r="R20" s="911">
        <f>IF('[3]BASE'!HC20=0,"",'[3]BASE'!HC20)</f>
      </c>
      <c r="S20" s="911">
        <f>IF('[3]BASE'!HD20=0,"",'[3]BASE'!HD20)</f>
      </c>
      <c r="T20" s="912"/>
      <c r="U20" s="908"/>
    </row>
    <row r="21" spans="2:21" s="902" customFormat="1" ht="19.5" customHeight="1">
      <c r="B21" s="903"/>
      <c r="C21" s="915">
        <f>IF('[3]BASE'!C21=0,"",'[3]BASE'!C21)</f>
        <v>5</v>
      </c>
      <c r="D21" s="915" t="str">
        <f>IF('[3]BASE'!D21=0,"",'[3]BASE'!D21)</f>
        <v>ALICURA - E.T. P.del A. 2 (5LG2)</v>
      </c>
      <c r="E21" s="915">
        <f>IF('[3]BASE'!E21=0,"",'[3]BASE'!E21)</f>
        <v>500</v>
      </c>
      <c r="F21" s="915">
        <f>IF('[3]BASE'!F21=0,"",'[3]BASE'!F21)</f>
        <v>76</v>
      </c>
      <c r="G21" s="916" t="str">
        <f>IF('[2]BASE'!G21=0,"",'[2]BASE'!G21)</f>
        <v>C</v>
      </c>
      <c r="H21" s="911">
        <f>IF('[3]BASE'!GS21=0,"",'[3]BASE'!GS21)</f>
      </c>
      <c r="I21" s="911">
        <f>IF('[3]BASE'!GT21=0,"",'[3]BASE'!GT21)</f>
      </c>
      <c r="J21" s="911">
        <f>IF('[3]BASE'!GU21=0,"",'[3]BASE'!GU21)</f>
      </c>
      <c r="K21" s="911">
        <f>IF('[3]BASE'!GV21=0,"",'[3]BASE'!GV21)</f>
      </c>
      <c r="L21" s="911">
        <f>IF('[3]BASE'!GW21=0,"",'[3]BASE'!GW21)</f>
      </c>
      <c r="M21" s="911">
        <f>IF('[3]BASE'!GX21=0,"",'[3]BASE'!GX21)</f>
      </c>
      <c r="N21" s="911">
        <f>IF('[3]BASE'!GY21=0,"",'[3]BASE'!GY21)</f>
      </c>
      <c r="O21" s="911">
        <f>IF('[3]BASE'!GZ21=0,"",'[3]BASE'!GZ21)</f>
      </c>
      <c r="P21" s="911">
        <f>IF('[3]BASE'!HA21=0,"",'[3]BASE'!HA21)</f>
      </c>
      <c r="Q21" s="911">
        <f>IF('[3]BASE'!HB21=0,"",'[3]BASE'!HB21)</f>
      </c>
      <c r="R21" s="911">
        <f>IF('[3]BASE'!HC21=0,"",'[3]BASE'!HC21)</f>
      </c>
      <c r="S21" s="911">
        <f>IF('[3]BASE'!HD21=0,"",'[3]BASE'!HD21)</f>
      </c>
      <c r="T21" s="912"/>
      <c r="U21" s="908"/>
    </row>
    <row r="22" spans="2:21" s="902" customFormat="1" ht="19.5" customHeight="1">
      <c r="B22" s="903"/>
      <c r="C22" s="913">
        <f>IF('[3]BASE'!C22=0,"",'[3]BASE'!C22)</f>
        <v>6</v>
      </c>
      <c r="D22" s="913" t="str">
        <f>IF('[3]BASE'!D22=0,"",'[3]BASE'!D22)</f>
        <v>ALMAFUERTE - EMBALSE </v>
      </c>
      <c r="E22" s="913">
        <f>IF('[3]BASE'!E22=0,"",'[3]BASE'!E22)</f>
        <v>500</v>
      </c>
      <c r="F22" s="913">
        <f>IF('[3]BASE'!F22=0,"",'[3]BASE'!F22)</f>
        <v>12</v>
      </c>
      <c r="G22" s="914" t="str">
        <f>IF('[2]BASE'!G22=0,"",'[2]BASE'!G22)</f>
        <v>A</v>
      </c>
      <c r="H22" s="911">
        <f>IF('[3]BASE'!GS22=0,"",'[3]BASE'!GS22)</f>
      </c>
      <c r="I22" s="911">
        <f>IF('[3]BASE'!GT22=0,"",'[3]BASE'!GT22)</f>
      </c>
      <c r="J22" s="911">
        <f>IF('[3]BASE'!GU22=0,"",'[3]BASE'!GU22)</f>
      </c>
      <c r="K22" s="911">
        <f>IF('[3]BASE'!GV22=0,"",'[3]BASE'!GV22)</f>
      </c>
      <c r="L22" s="911">
        <f>IF('[3]BASE'!GW22=0,"",'[3]BASE'!GW22)</f>
      </c>
      <c r="M22" s="911">
        <f>IF('[3]BASE'!GX22=0,"",'[3]BASE'!GX22)</f>
      </c>
      <c r="N22" s="911">
        <f>IF('[3]BASE'!GY22=0,"",'[3]BASE'!GY22)</f>
      </c>
      <c r="O22" s="911">
        <f>IF('[3]BASE'!GZ22=0,"",'[3]BASE'!GZ22)</f>
      </c>
      <c r="P22" s="911">
        <f>IF('[3]BASE'!HA22=0,"",'[3]BASE'!HA22)</f>
      </c>
      <c r="Q22" s="911">
        <f>IF('[3]BASE'!HB22=0,"",'[3]BASE'!HB22)</f>
      </c>
      <c r="R22" s="911">
        <f>IF('[3]BASE'!HC22=0,"",'[3]BASE'!HC22)</f>
      </c>
      <c r="S22" s="911">
        <f>IF('[3]BASE'!HD22=0,"",'[3]BASE'!HD22)</f>
      </c>
      <c r="T22" s="912"/>
      <c r="U22" s="908"/>
    </row>
    <row r="23" spans="2:21" s="902" customFormat="1" ht="19.5" customHeight="1">
      <c r="B23" s="903"/>
      <c r="C23" s="915">
        <f>IF('[3]BASE'!C23=0,"",'[3]BASE'!C23)</f>
        <v>7</v>
      </c>
      <c r="D23" s="915" t="str">
        <f>IF('[3]BASE'!D23=0,"",'[3]BASE'!D23)</f>
        <v> ALMAFUERTE - ROSARIO OESTE</v>
      </c>
      <c r="E23" s="915">
        <f>IF('[3]BASE'!E23=0,"",'[3]BASE'!E23)</f>
        <v>500</v>
      </c>
      <c r="F23" s="915">
        <f>IF('[3]BASE'!F23=0,"",'[3]BASE'!F23)</f>
        <v>345</v>
      </c>
      <c r="G23" s="916" t="str">
        <f>IF('[2]BASE'!G23=0,"",'[2]BASE'!G23)</f>
        <v>B</v>
      </c>
      <c r="H23" s="911">
        <f>IF('[3]BASE'!GS23=0,"",'[3]BASE'!GS23)</f>
      </c>
      <c r="I23" s="911">
        <f>IF('[3]BASE'!GT23=0,"",'[3]BASE'!GT23)</f>
      </c>
      <c r="J23" s="911">
        <f>IF('[3]BASE'!GU23=0,"",'[3]BASE'!GU23)</f>
        <v>1</v>
      </c>
      <c r="K23" s="911">
        <f>IF('[3]BASE'!GV23=0,"",'[3]BASE'!GV23)</f>
      </c>
      <c r="L23" s="911">
        <f>IF('[3]BASE'!GW23=0,"",'[3]BASE'!GW23)</f>
      </c>
      <c r="M23" s="911">
        <f>IF('[3]BASE'!GX23=0,"",'[3]BASE'!GX23)</f>
      </c>
      <c r="N23" s="911">
        <f>IF('[3]BASE'!GY23=0,"",'[3]BASE'!GY23)</f>
      </c>
      <c r="O23" s="911">
        <f>IF('[3]BASE'!GZ23=0,"",'[3]BASE'!GZ23)</f>
      </c>
      <c r="P23" s="911">
        <f>IF('[3]BASE'!HA23=0,"",'[3]BASE'!HA23)</f>
      </c>
      <c r="Q23" s="911">
        <f>IF('[3]BASE'!HB23=0,"",'[3]BASE'!HB23)</f>
      </c>
      <c r="R23" s="911">
        <f>IF('[3]BASE'!HC23=0,"",'[3]BASE'!HC23)</f>
      </c>
      <c r="S23" s="911">
        <f>IF('[3]BASE'!HD23=0,"",'[3]BASE'!HD23)</f>
      </c>
      <c r="T23" s="912"/>
      <c r="U23" s="908"/>
    </row>
    <row r="24" spans="2:21" s="902" customFormat="1" ht="19.5" customHeight="1">
      <c r="B24" s="903"/>
      <c r="C24" s="913">
        <f>IF('[3]BASE'!C24=0,"",'[3]BASE'!C24)</f>
        <v>8</v>
      </c>
      <c r="D24" s="913" t="str">
        <f>IF('[3]BASE'!D24=0,"",'[3]BASE'!D24)</f>
        <v>BAHIA BLANCA - CHOELE CHOEL 1</v>
      </c>
      <c r="E24" s="913">
        <f>IF('[3]BASE'!E24=0,"",'[3]BASE'!E24)</f>
        <v>500</v>
      </c>
      <c r="F24" s="913">
        <f>IF('[3]BASE'!F24=0,"",'[3]BASE'!F24)</f>
        <v>346</v>
      </c>
      <c r="G24" s="914" t="str">
        <f>IF('[2]BASE'!G24=0,"",'[2]BASE'!G24)</f>
        <v>B</v>
      </c>
      <c r="H24" s="911">
        <f>IF('[3]BASE'!GS24=0,"",'[3]BASE'!GS24)</f>
      </c>
      <c r="I24" s="911">
        <f>IF('[3]BASE'!GT24=0,"",'[3]BASE'!GT24)</f>
      </c>
      <c r="J24" s="911">
        <f>IF('[3]BASE'!GU24=0,"",'[3]BASE'!GU24)</f>
      </c>
      <c r="K24" s="911">
        <f>IF('[3]BASE'!GV24=0,"",'[3]BASE'!GV24)</f>
      </c>
      <c r="L24" s="911">
        <f>IF('[3]BASE'!GW24=0,"",'[3]BASE'!GW24)</f>
      </c>
      <c r="M24" s="911">
        <f>IF('[3]BASE'!GX24=0,"",'[3]BASE'!GX24)</f>
      </c>
      <c r="N24" s="911">
        <f>IF('[3]BASE'!GY24=0,"",'[3]BASE'!GY24)</f>
      </c>
      <c r="O24" s="911">
        <f>IF('[3]BASE'!GZ24=0,"",'[3]BASE'!GZ24)</f>
      </c>
      <c r="P24" s="911">
        <f>IF('[3]BASE'!HA24=0,"",'[3]BASE'!HA24)</f>
      </c>
      <c r="Q24" s="911">
        <f>IF('[3]BASE'!HB24=0,"",'[3]BASE'!HB24)</f>
      </c>
      <c r="R24" s="911">
        <f>IF('[3]BASE'!HC24=0,"",'[3]BASE'!HC24)</f>
      </c>
      <c r="S24" s="911">
        <f>IF('[3]BASE'!HD24=0,"",'[3]BASE'!HD24)</f>
      </c>
      <c r="T24" s="912"/>
      <c r="U24" s="908"/>
    </row>
    <row r="25" spans="2:21" s="902" customFormat="1" ht="19.5" customHeight="1">
      <c r="B25" s="903"/>
      <c r="C25" s="915">
        <f>IF('[3]BASE'!C25=0,"",'[3]BASE'!C25)</f>
        <v>9</v>
      </c>
      <c r="D25" s="915" t="str">
        <f>IF('[3]BASE'!D25=0,"",'[3]BASE'!D25)</f>
        <v>BAHIA BLANCA - CHOELE CHOEL 2</v>
      </c>
      <c r="E25" s="915">
        <f>IF('[3]BASE'!E25=0,"",'[3]BASE'!E25)</f>
        <v>500</v>
      </c>
      <c r="F25" s="915">
        <f>IF('[3]BASE'!F25=0,"",'[3]BASE'!F25)</f>
        <v>348.4</v>
      </c>
      <c r="G25" s="916" t="e">
        <f>IF('[2]BASE'!G25=0,"",'[2]BASE'!G25)</f>
        <v>#REF!</v>
      </c>
      <c r="H25" s="911">
        <f>IF('[3]BASE'!GS25=0,"",'[3]BASE'!GS25)</f>
      </c>
      <c r="I25" s="911">
        <f>IF('[3]BASE'!GT25=0,"",'[3]BASE'!GT25)</f>
      </c>
      <c r="J25" s="911">
        <f>IF('[3]BASE'!GU25=0,"",'[3]BASE'!GU25)</f>
      </c>
      <c r="K25" s="911">
        <f>IF('[3]BASE'!GV25=0,"",'[3]BASE'!GV25)</f>
      </c>
      <c r="L25" s="911">
        <f>IF('[3]BASE'!GW25=0,"",'[3]BASE'!GW25)</f>
      </c>
      <c r="M25" s="911">
        <f>IF('[3]BASE'!GX25=0,"",'[3]BASE'!GX25)</f>
      </c>
      <c r="N25" s="911">
        <f>IF('[3]BASE'!GY25=0,"",'[3]BASE'!GY25)</f>
      </c>
      <c r="O25" s="911">
        <f>IF('[3]BASE'!GZ25=0,"",'[3]BASE'!GZ25)</f>
      </c>
      <c r="P25" s="911">
        <f>IF('[3]BASE'!HA25=0,"",'[3]BASE'!HA25)</f>
      </c>
      <c r="Q25" s="911">
        <f>IF('[3]BASE'!HB25=0,"",'[3]BASE'!HB25)</f>
      </c>
      <c r="R25" s="911">
        <f>IF('[3]BASE'!HC25=0,"",'[3]BASE'!HC25)</f>
      </c>
      <c r="S25" s="911">
        <f>IF('[3]BASE'!HD25=0,"",'[3]BASE'!HD25)</f>
        <v>1</v>
      </c>
      <c r="T25" s="912"/>
      <c r="U25" s="908"/>
    </row>
    <row r="26" spans="2:21" s="902" customFormat="1" ht="19.5" customHeight="1">
      <c r="B26" s="903"/>
      <c r="C26" s="913">
        <f>IF('[3]BASE'!C26=0,"",'[3]BASE'!C26)</f>
        <v>10</v>
      </c>
      <c r="D26" s="913" t="str">
        <f>IF('[3]BASE'!D26=0,"",'[3]BASE'!D26)</f>
        <v>CERR. de la CTA - P.BAND. (A3)</v>
      </c>
      <c r="E26" s="913">
        <f>IF('[3]BASE'!E26=0,"",'[3]BASE'!E26)</f>
        <v>500</v>
      </c>
      <c r="F26" s="913">
        <f>IF('[3]BASE'!F26=0,"",'[3]BASE'!F26)</f>
        <v>27</v>
      </c>
      <c r="G26" s="914" t="str">
        <f>IF('[2]BASE'!G26=0,"",'[2]BASE'!G26)</f>
        <v>C</v>
      </c>
      <c r="H26" s="911">
        <f>IF('[3]BASE'!GS26=0,"",'[3]BASE'!GS26)</f>
      </c>
      <c r="I26" s="911">
        <f>IF('[3]BASE'!GT26=0,"",'[3]BASE'!GT26)</f>
      </c>
      <c r="J26" s="911">
        <f>IF('[3]BASE'!GU26=0,"",'[3]BASE'!GU26)</f>
      </c>
      <c r="K26" s="911">
        <f>IF('[3]BASE'!GV26=0,"",'[3]BASE'!GV26)</f>
      </c>
      <c r="L26" s="911">
        <f>IF('[3]BASE'!GW26=0,"",'[3]BASE'!GW26)</f>
      </c>
      <c r="M26" s="911">
        <f>IF('[3]BASE'!GX26=0,"",'[3]BASE'!GX26)</f>
      </c>
      <c r="N26" s="911">
        <f>IF('[3]BASE'!GY26=0,"",'[3]BASE'!GY26)</f>
      </c>
      <c r="O26" s="911">
        <f>IF('[3]BASE'!GZ26=0,"",'[3]BASE'!GZ26)</f>
      </c>
      <c r="P26" s="911">
        <f>IF('[3]BASE'!HA26=0,"",'[3]BASE'!HA26)</f>
      </c>
      <c r="Q26" s="911">
        <f>IF('[3]BASE'!HB26=0,"",'[3]BASE'!HB26)</f>
      </c>
      <c r="R26" s="911">
        <f>IF('[3]BASE'!HC26=0,"",'[3]BASE'!HC26)</f>
      </c>
      <c r="S26" s="911">
        <f>IF('[3]BASE'!HD26=0,"",'[3]BASE'!HD26)</f>
      </c>
      <c r="T26" s="912"/>
      <c r="U26" s="908"/>
    </row>
    <row r="27" spans="2:21" s="902" customFormat="1" ht="19.5" customHeight="1">
      <c r="B27" s="903"/>
      <c r="C27" s="915">
        <f>IF('[3]BASE'!C27=0,"",'[3]BASE'!C27)</f>
        <v>11</v>
      </c>
      <c r="D27" s="915" t="str">
        <f>IF('[3]BASE'!D27=0,"",'[3]BASE'!D27)</f>
        <v>COLONIA ELIA - CAMPANA</v>
      </c>
      <c r="E27" s="915">
        <f>IF('[3]BASE'!E27=0,"",'[3]BASE'!E27)</f>
        <v>500</v>
      </c>
      <c r="F27" s="915">
        <f>IF('[3]BASE'!F27=0,"",'[3]BASE'!F27)</f>
        <v>194</v>
      </c>
      <c r="G27" s="916" t="str">
        <f>IF('[2]BASE'!G27=0,"",'[2]BASE'!G27)</f>
        <v>C</v>
      </c>
      <c r="H27" s="911">
        <f>IF('[3]BASE'!GS27=0,"",'[3]BASE'!GS27)</f>
        <v>1</v>
      </c>
      <c r="I27" s="911">
        <f>IF('[3]BASE'!GT27=0,"",'[3]BASE'!GT27)</f>
      </c>
      <c r="J27" s="911">
        <f>IF('[3]BASE'!GU27=0,"",'[3]BASE'!GU27)</f>
      </c>
      <c r="K27" s="911">
        <f>IF('[3]BASE'!GV27=0,"",'[3]BASE'!GV27)</f>
      </c>
      <c r="L27" s="911">
        <f>IF('[3]BASE'!GW27=0,"",'[3]BASE'!GW27)</f>
      </c>
      <c r="M27" s="911">
        <f>IF('[3]BASE'!GX27=0,"",'[3]BASE'!GX27)</f>
      </c>
      <c r="N27" s="911">
        <f>IF('[3]BASE'!GY27=0,"",'[3]BASE'!GY27)</f>
      </c>
      <c r="O27" s="911">
        <f>IF('[3]BASE'!GZ27=0,"",'[3]BASE'!GZ27)</f>
      </c>
      <c r="P27" s="911">
        <f>IF('[3]BASE'!HA27=0,"",'[3]BASE'!HA27)</f>
      </c>
      <c r="Q27" s="911">
        <f>IF('[3]BASE'!HB27=0,"",'[3]BASE'!HB27)</f>
      </c>
      <c r="R27" s="911">
        <f>IF('[3]BASE'!HC27=0,"",'[3]BASE'!HC27)</f>
        <v>2</v>
      </c>
      <c r="S27" s="911">
        <f>IF('[3]BASE'!HD27=0,"",'[3]BASE'!HD27)</f>
      </c>
      <c r="T27" s="912"/>
      <c r="U27" s="908"/>
    </row>
    <row r="28" spans="2:21" s="902" customFormat="1" ht="19.5" customHeight="1">
      <c r="B28" s="903"/>
      <c r="C28" s="913">
        <f>IF('[3]BASE'!C28=0,"",'[3]BASE'!C28)</f>
        <v>12</v>
      </c>
      <c r="D28" s="913" t="str">
        <f>IF('[3]BASE'!D28=0,"",'[3]BASE'!D28)</f>
        <v>CHO. W. - CHOELE CHOEL (5WH1)</v>
      </c>
      <c r="E28" s="913">
        <f>IF('[3]BASE'!E28=0,"",'[3]BASE'!E28)</f>
        <v>500</v>
      </c>
      <c r="F28" s="913">
        <f>IF('[3]BASE'!F28=0,"",'[3]BASE'!F28)</f>
        <v>269</v>
      </c>
      <c r="G28" s="914" t="str">
        <f>IF('[2]BASE'!G28=0,"",'[2]BASE'!G28)</f>
        <v>B</v>
      </c>
      <c r="H28" s="911">
        <f>IF('[3]BASE'!GS28=0,"",'[3]BASE'!GS28)</f>
      </c>
      <c r="I28" s="911">
        <f>IF('[3]BASE'!GT28=0,"",'[3]BASE'!GT28)</f>
      </c>
      <c r="J28" s="911">
        <f>IF('[3]BASE'!GU28=0,"",'[3]BASE'!GU28)</f>
      </c>
      <c r="K28" s="911">
        <f>IF('[3]BASE'!GV28=0,"",'[3]BASE'!GV28)</f>
        <v>1</v>
      </c>
      <c r="L28" s="911">
        <f>IF('[3]BASE'!GW28=0,"",'[3]BASE'!GW28)</f>
      </c>
      <c r="M28" s="911">
        <f>IF('[3]BASE'!GX28=0,"",'[3]BASE'!GX28)</f>
      </c>
      <c r="N28" s="911">
        <f>IF('[3]BASE'!GY28=0,"",'[3]BASE'!GY28)</f>
      </c>
      <c r="O28" s="911">
        <f>IF('[3]BASE'!GZ28=0,"",'[3]BASE'!GZ28)</f>
      </c>
      <c r="P28" s="911">
        <f>IF('[3]BASE'!HA28=0,"",'[3]BASE'!HA28)</f>
      </c>
      <c r="Q28" s="911">
        <f>IF('[3]BASE'!HB28=0,"",'[3]BASE'!HB28)</f>
      </c>
      <c r="R28" s="911">
        <f>IF('[3]BASE'!HC28=0,"",'[3]BASE'!HC28)</f>
      </c>
      <c r="S28" s="911">
        <f>IF('[3]BASE'!HD28=0,"",'[3]BASE'!HD28)</f>
      </c>
      <c r="T28" s="912"/>
      <c r="U28" s="908"/>
    </row>
    <row r="29" spans="2:21" s="902" customFormat="1" ht="19.5" customHeight="1">
      <c r="B29" s="903"/>
      <c r="C29" s="915">
        <f>IF('[3]BASE'!C29=0,"",'[3]BASE'!C29)</f>
        <v>13</v>
      </c>
      <c r="D29" s="915" t="str">
        <f>IF('[3]BASE'!D29=0,"",'[3]BASE'!D29)</f>
        <v>CHO.W. - CHO. 1 (5WC1)</v>
      </c>
      <c r="E29" s="915">
        <f>IF('[3]BASE'!E29=0,"",'[3]BASE'!E29)</f>
        <v>500</v>
      </c>
      <c r="F29" s="915">
        <f>IF('[3]BASE'!F29=0,"",'[3]BASE'!F29)</f>
        <v>4.5</v>
      </c>
      <c r="G29" s="916" t="str">
        <f>IF('[2]BASE'!G29=0,"",'[2]BASE'!G29)</f>
        <v>C</v>
      </c>
      <c r="H29" s="911">
        <f>IF('[3]BASE'!GS29=0,"",'[3]BASE'!GS29)</f>
      </c>
      <c r="I29" s="911">
        <f>IF('[3]BASE'!GT29=0,"",'[3]BASE'!GT29)</f>
      </c>
      <c r="J29" s="911">
        <f>IF('[3]BASE'!GU29=0,"",'[3]BASE'!GU29)</f>
      </c>
      <c r="K29" s="911">
        <f>IF('[3]BASE'!GV29=0,"",'[3]BASE'!GV29)</f>
      </c>
      <c r="L29" s="911">
        <f>IF('[3]BASE'!GW29=0,"",'[3]BASE'!GW29)</f>
      </c>
      <c r="M29" s="911">
        <f>IF('[3]BASE'!GX29=0,"",'[3]BASE'!GX29)</f>
      </c>
      <c r="N29" s="911">
        <f>IF('[3]BASE'!GY29=0,"",'[3]BASE'!GY29)</f>
      </c>
      <c r="O29" s="911">
        <f>IF('[3]BASE'!GZ29=0,"",'[3]BASE'!GZ29)</f>
      </c>
      <c r="P29" s="911">
        <f>IF('[3]BASE'!HA29=0,"",'[3]BASE'!HA29)</f>
      </c>
      <c r="Q29" s="911">
        <f>IF('[3]BASE'!HB29=0,"",'[3]BASE'!HB29)</f>
      </c>
      <c r="R29" s="911">
        <f>IF('[3]BASE'!HC29=0,"",'[3]BASE'!HC29)</f>
      </c>
      <c r="S29" s="911">
        <f>IF('[3]BASE'!HD29=0,"",'[3]BASE'!HD29)</f>
      </c>
      <c r="T29" s="912"/>
      <c r="U29" s="908"/>
    </row>
    <row r="30" spans="2:21" s="902" customFormat="1" ht="19.5" customHeight="1">
      <c r="B30" s="903"/>
      <c r="C30" s="913">
        <f>IF('[3]BASE'!C30=0,"",'[3]BASE'!C30)</f>
        <v>14</v>
      </c>
      <c r="D30" s="913" t="str">
        <f>IF('[3]BASE'!D30=0,"",'[3]BASE'!D30)</f>
        <v>CHO.W. - CHO. 2 (5WC2)</v>
      </c>
      <c r="E30" s="913">
        <f>IF('[3]BASE'!E30=0,"",'[3]BASE'!E30)</f>
        <v>500</v>
      </c>
      <c r="F30" s="913">
        <f>IF('[3]BASE'!F30=0,"",'[3]BASE'!F30)</f>
        <v>4.5</v>
      </c>
      <c r="G30" s="914" t="str">
        <f>IF('[2]BASE'!G30=0,"",'[2]BASE'!G30)</f>
        <v>C</v>
      </c>
      <c r="H30" s="911">
        <f>IF('[3]BASE'!GS30=0,"",'[3]BASE'!GS30)</f>
      </c>
      <c r="I30" s="911">
        <f>IF('[3]BASE'!GT30=0,"",'[3]BASE'!GT30)</f>
      </c>
      <c r="J30" s="911">
        <f>IF('[3]BASE'!GU30=0,"",'[3]BASE'!GU30)</f>
      </c>
      <c r="K30" s="911">
        <f>IF('[3]BASE'!GV30=0,"",'[3]BASE'!GV30)</f>
      </c>
      <c r="L30" s="911">
        <f>IF('[3]BASE'!GW30=0,"",'[3]BASE'!GW30)</f>
      </c>
      <c r="M30" s="911">
        <f>IF('[3]BASE'!GX30=0,"",'[3]BASE'!GX30)</f>
      </c>
      <c r="N30" s="911">
        <f>IF('[3]BASE'!GY30=0,"",'[3]BASE'!GY30)</f>
      </c>
      <c r="O30" s="911">
        <f>IF('[3]BASE'!GZ30=0,"",'[3]BASE'!GZ30)</f>
      </c>
      <c r="P30" s="911">
        <f>IF('[3]BASE'!HA30=0,"",'[3]BASE'!HA30)</f>
      </c>
      <c r="Q30" s="911">
        <f>IF('[3]BASE'!HB30=0,"",'[3]BASE'!HB30)</f>
      </c>
      <c r="R30" s="911">
        <f>IF('[3]BASE'!HC30=0,"",'[3]BASE'!HC30)</f>
      </c>
      <c r="S30" s="911">
        <f>IF('[3]BASE'!HD30=0,"",'[3]BASE'!HD30)</f>
      </c>
      <c r="T30" s="912"/>
      <c r="U30" s="908"/>
    </row>
    <row r="31" spans="2:21" s="902" customFormat="1" ht="19.5" customHeight="1">
      <c r="B31" s="903"/>
      <c r="C31" s="915">
        <f>IF('[3]BASE'!C31=0,"",'[3]BASE'!C31)</f>
        <v>15</v>
      </c>
      <c r="D31" s="915" t="str">
        <f>IF('[3]BASE'!D31=0,"",'[3]BASE'!D31)</f>
        <v>CHOCON - C.H. CHOCON 1</v>
      </c>
      <c r="E31" s="915">
        <f>IF('[3]BASE'!E31=0,"",'[3]BASE'!E31)</f>
        <v>500</v>
      </c>
      <c r="F31" s="915">
        <f>IF('[3]BASE'!F31=0,"",'[3]BASE'!F31)</f>
        <v>3</v>
      </c>
      <c r="G31" s="916" t="str">
        <f>IF('[2]BASE'!G31=0,"",'[2]BASE'!G31)</f>
        <v>C</v>
      </c>
      <c r="H31" s="911">
        <f>IF('[3]BASE'!GS31=0,"",'[3]BASE'!GS31)</f>
      </c>
      <c r="I31" s="911">
        <f>IF('[3]BASE'!GT31=0,"",'[3]BASE'!GT31)</f>
      </c>
      <c r="J31" s="911">
        <f>IF('[3]BASE'!GU31=0,"",'[3]BASE'!GU31)</f>
      </c>
      <c r="K31" s="911">
        <f>IF('[3]BASE'!GV31=0,"",'[3]BASE'!GV31)</f>
      </c>
      <c r="L31" s="911">
        <f>IF('[3]BASE'!GW31=0,"",'[3]BASE'!GW31)</f>
      </c>
      <c r="M31" s="911">
        <f>IF('[3]BASE'!GX31=0,"",'[3]BASE'!GX31)</f>
      </c>
      <c r="N31" s="911">
        <f>IF('[3]BASE'!GY31=0,"",'[3]BASE'!GY31)</f>
      </c>
      <c r="O31" s="911">
        <f>IF('[3]BASE'!GZ31=0,"",'[3]BASE'!GZ31)</f>
      </c>
      <c r="P31" s="911">
        <f>IF('[3]BASE'!HA31=0,"",'[3]BASE'!HA31)</f>
      </c>
      <c r="Q31" s="911">
        <f>IF('[3]BASE'!HB31=0,"",'[3]BASE'!HB31)</f>
      </c>
      <c r="R31" s="911">
        <f>IF('[3]BASE'!HC31=0,"",'[3]BASE'!HC31)</f>
      </c>
      <c r="S31" s="911">
        <f>IF('[3]BASE'!HD31=0,"",'[3]BASE'!HD31)</f>
      </c>
      <c r="T31" s="912"/>
      <c r="U31" s="908"/>
    </row>
    <row r="32" spans="2:21" s="902" customFormat="1" ht="19.5" customHeight="1">
      <c r="B32" s="903"/>
      <c r="C32" s="913">
        <f>IF('[3]BASE'!C32=0,"",'[3]BASE'!C32)</f>
        <v>16</v>
      </c>
      <c r="D32" s="913" t="str">
        <f>IF('[3]BASE'!D32=0,"",'[3]BASE'!D32)</f>
        <v>CHOCON - C.H. CHOCON 2</v>
      </c>
      <c r="E32" s="913">
        <f>IF('[3]BASE'!E32=0,"",'[3]BASE'!E32)</f>
        <v>500</v>
      </c>
      <c r="F32" s="913">
        <f>IF('[3]BASE'!F32=0,"",'[3]BASE'!F32)</f>
        <v>3</v>
      </c>
      <c r="G32" s="914" t="str">
        <f>IF('[2]BASE'!G32=0,"",'[2]BASE'!G32)</f>
        <v>C</v>
      </c>
      <c r="H32" s="911">
        <f>IF('[3]BASE'!GS32=0,"",'[3]BASE'!GS32)</f>
      </c>
      <c r="I32" s="911">
        <f>IF('[3]BASE'!GT32=0,"",'[3]BASE'!GT32)</f>
      </c>
      <c r="J32" s="911">
        <f>IF('[3]BASE'!GU32=0,"",'[3]BASE'!GU32)</f>
      </c>
      <c r="K32" s="911">
        <f>IF('[3]BASE'!GV32=0,"",'[3]BASE'!GV32)</f>
      </c>
      <c r="L32" s="911">
        <f>IF('[3]BASE'!GW32=0,"",'[3]BASE'!GW32)</f>
      </c>
      <c r="M32" s="911">
        <f>IF('[3]BASE'!GX32=0,"",'[3]BASE'!GX32)</f>
      </c>
      <c r="N32" s="911">
        <f>IF('[3]BASE'!GY32=0,"",'[3]BASE'!GY32)</f>
      </c>
      <c r="O32" s="911">
        <f>IF('[3]BASE'!GZ32=0,"",'[3]BASE'!GZ32)</f>
      </c>
      <c r="P32" s="911">
        <f>IF('[3]BASE'!HA32=0,"",'[3]BASE'!HA32)</f>
      </c>
      <c r="Q32" s="911">
        <f>IF('[3]BASE'!HB32=0,"",'[3]BASE'!HB32)</f>
      </c>
      <c r="R32" s="911">
        <f>IF('[3]BASE'!HC32=0,"",'[3]BASE'!HC32)</f>
      </c>
      <c r="S32" s="911">
        <f>IF('[3]BASE'!HD32=0,"",'[3]BASE'!HD32)</f>
      </c>
      <c r="T32" s="912"/>
      <c r="U32" s="908"/>
    </row>
    <row r="33" spans="2:21" s="902" customFormat="1" ht="19.5" customHeight="1">
      <c r="B33" s="903"/>
      <c r="C33" s="915">
        <f>IF('[3]BASE'!C33=0,"",'[3]BASE'!C33)</f>
        <v>17</v>
      </c>
      <c r="D33" s="915" t="str">
        <f>IF('[3]BASE'!D33=0,"",'[3]BASE'!D33)</f>
        <v>CHOCON - C.H. CHOCON 3</v>
      </c>
      <c r="E33" s="915">
        <f>IF('[3]BASE'!E33=0,"",'[3]BASE'!E33)</f>
        <v>500</v>
      </c>
      <c r="F33" s="915">
        <f>IF('[3]BASE'!F33=0,"",'[3]BASE'!F33)</f>
        <v>3</v>
      </c>
      <c r="G33" s="916" t="str">
        <f>IF('[2]BASE'!G33=0,"",'[2]BASE'!G33)</f>
        <v>C</v>
      </c>
      <c r="H33" s="911">
        <f>IF('[3]BASE'!GS33=0,"",'[3]BASE'!GS33)</f>
      </c>
      <c r="I33" s="911">
        <f>IF('[3]BASE'!GT33=0,"",'[3]BASE'!GT33)</f>
      </c>
      <c r="J33" s="911">
        <f>IF('[3]BASE'!GU33=0,"",'[3]BASE'!GU33)</f>
      </c>
      <c r="K33" s="911">
        <f>IF('[3]BASE'!GV33=0,"",'[3]BASE'!GV33)</f>
      </c>
      <c r="L33" s="911">
        <f>IF('[3]BASE'!GW33=0,"",'[3]BASE'!GW33)</f>
      </c>
      <c r="M33" s="911">
        <f>IF('[3]BASE'!GX33=0,"",'[3]BASE'!GX33)</f>
      </c>
      <c r="N33" s="911">
        <f>IF('[3]BASE'!GY33=0,"",'[3]BASE'!GY33)</f>
      </c>
      <c r="O33" s="911">
        <f>IF('[3]BASE'!GZ33=0,"",'[3]BASE'!GZ33)</f>
      </c>
      <c r="P33" s="911">
        <f>IF('[3]BASE'!HA33=0,"",'[3]BASE'!HA33)</f>
      </c>
      <c r="Q33" s="911">
        <f>IF('[3]BASE'!HB33=0,"",'[3]BASE'!HB33)</f>
      </c>
      <c r="R33" s="911">
        <f>IF('[3]BASE'!HC33=0,"",'[3]BASE'!HC33)</f>
      </c>
      <c r="S33" s="911">
        <f>IF('[3]BASE'!HD33=0,"",'[3]BASE'!HD33)</f>
      </c>
      <c r="T33" s="912"/>
      <c r="U33" s="908"/>
    </row>
    <row r="34" spans="2:21" s="902" customFormat="1" ht="19.5" customHeight="1">
      <c r="B34" s="903"/>
      <c r="C34" s="913">
        <f>IF('[3]BASE'!C34=0,"",'[3]BASE'!C34)</f>
        <v>18</v>
      </c>
      <c r="D34" s="913" t="str">
        <f>IF('[3]BASE'!D34=0,"",'[3]BASE'!D34)</f>
        <v>CHOCON - PUELCHES 1</v>
      </c>
      <c r="E34" s="913">
        <f>IF('[3]BASE'!E34=0,"",'[3]BASE'!E34)</f>
        <v>500</v>
      </c>
      <c r="F34" s="913">
        <f>IF('[3]BASE'!F34=0,"",'[3]BASE'!F34)</f>
        <v>304</v>
      </c>
      <c r="G34" s="914" t="str">
        <f>IF('[2]BASE'!G34=0,"",'[2]BASE'!G34)</f>
        <v>A</v>
      </c>
      <c r="H34" s="911">
        <f>IF('[3]BASE'!GS34=0,"",'[3]BASE'!GS34)</f>
      </c>
      <c r="I34" s="911">
        <f>IF('[3]BASE'!GT34=0,"",'[3]BASE'!GT34)</f>
      </c>
      <c r="J34" s="911">
        <f>IF('[3]BASE'!GU34=0,"",'[3]BASE'!GU34)</f>
      </c>
      <c r="K34" s="911">
        <f>IF('[3]BASE'!GV34=0,"",'[3]BASE'!GV34)</f>
      </c>
      <c r="L34" s="911">
        <f>IF('[3]BASE'!GW34=0,"",'[3]BASE'!GW34)</f>
      </c>
      <c r="M34" s="911">
        <f>IF('[3]BASE'!GX34=0,"",'[3]BASE'!GX34)</f>
      </c>
      <c r="N34" s="911">
        <f>IF('[3]BASE'!GY34=0,"",'[3]BASE'!GY34)</f>
      </c>
      <c r="O34" s="911">
        <f>IF('[3]BASE'!GZ34=0,"",'[3]BASE'!GZ34)</f>
      </c>
      <c r="P34" s="911">
        <f>IF('[3]BASE'!HA34=0,"",'[3]BASE'!HA34)</f>
      </c>
      <c r="Q34" s="911">
        <f>IF('[3]BASE'!HB34=0,"",'[3]BASE'!HB34)</f>
      </c>
      <c r="R34" s="911">
        <f>IF('[3]BASE'!HC34=0,"",'[3]BASE'!HC34)</f>
      </c>
      <c r="S34" s="911">
        <f>IF('[3]BASE'!HD34=0,"",'[3]BASE'!HD34)</f>
      </c>
      <c r="T34" s="912"/>
      <c r="U34" s="908"/>
    </row>
    <row r="35" spans="2:21" s="902" customFormat="1" ht="19.5" customHeight="1">
      <c r="B35" s="903"/>
      <c r="C35" s="915">
        <f>IF('[3]BASE'!C35=0,"",'[3]BASE'!C35)</f>
        <v>19</v>
      </c>
      <c r="D35" s="915" t="str">
        <f>IF('[3]BASE'!D35=0,"",'[3]BASE'!D35)</f>
        <v>CHOCON - PUELCHES 2</v>
      </c>
      <c r="E35" s="915">
        <f>IF('[3]BASE'!E35=0,"",'[3]BASE'!E35)</f>
        <v>500</v>
      </c>
      <c r="F35" s="915">
        <f>IF('[3]BASE'!F35=0,"",'[3]BASE'!F35)</f>
        <v>304</v>
      </c>
      <c r="G35" s="916" t="str">
        <f>IF('[2]BASE'!G35=0,"",'[2]BASE'!G35)</f>
        <v>A</v>
      </c>
      <c r="H35" s="911">
        <f>IF('[3]BASE'!GS35=0,"",'[3]BASE'!GS35)</f>
      </c>
      <c r="I35" s="911">
        <f>IF('[3]BASE'!GT35=0,"",'[3]BASE'!GT35)</f>
      </c>
      <c r="J35" s="911">
        <f>IF('[3]BASE'!GU35=0,"",'[3]BASE'!GU35)</f>
      </c>
      <c r="K35" s="911">
        <f>IF('[3]BASE'!GV35=0,"",'[3]BASE'!GV35)</f>
      </c>
      <c r="L35" s="911">
        <f>IF('[3]BASE'!GW35=0,"",'[3]BASE'!GW35)</f>
      </c>
      <c r="M35" s="911">
        <f>IF('[3]BASE'!GX35=0,"",'[3]BASE'!GX35)</f>
      </c>
      <c r="N35" s="911">
        <f>IF('[3]BASE'!GY35=0,"",'[3]BASE'!GY35)</f>
      </c>
      <c r="O35" s="911">
        <f>IF('[3]BASE'!GZ35=0,"",'[3]BASE'!GZ35)</f>
      </c>
      <c r="P35" s="911">
        <f>IF('[3]BASE'!HA35=0,"",'[3]BASE'!HA35)</f>
      </c>
      <c r="Q35" s="911">
        <f>IF('[3]BASE'!HB35=0,"",'[3]BASE'!HB35)</f>
      </c>
      <c r="R35" s="911">
        <f>IF('[3]BASE'!HC35=0,"",'[3]BASE'!HC35)</f>
      </c>
      <c r="S35" s="911">
        <f>IF('[3]BASE'!HD35=0,"",'[3]BASE'!HD35)</f>
      </c>
      <c r="T35" s="912"/>
      <c r="U35" s="908"/>
    </row>
    <row r="36" spans="2:21" s="902" customFormat="1" ht="19.5" customHeight="1">
      <c r="B36" s="903"/>
      <c r="C36" s="913">
        <f>IF('[3]BASE'!C36=0,"",'[3]BASE'!C36)</f>
        <v>20</v>
      </c>
      <c r="D36" s="913" t="str">
        <f>IF('[3]BASE'!D36=0,"",'[3]BASE'!D36)</f>
        <v>E.T.P.del AGUILA - CENTRAL P.del A. 1</v>
      </c>
      <c r="E36" s="913">
        <f>IF('[3]BASE'!E36=0,"",'[3]BASE'!E36)</f>
        <v>500</v>
      </c>
      <c r="F36" s="913">
        <f>IF('[3]BASE'!F36=0,"",'[3]BASE'!F36)</f>
        <v>5.6</v>
      </c>
      <c r="G36" s="914" t="str">
        <f>IF('[2]BASE'!G36=0,"",'[2]BASE'!G36)</f>
        <v>C</v>
      </c>
      <c r="H36" s="911">
        <f>IF('[3]BASE'!GS36=0,"",'[3]BASE'!GS36)</f>
      </c>
      <c r="I36" s="911">
        <f>IF('[3]BASE'!GT36=0,"",'[3]BASE'!GT36)</f>
      </c>
      <c r="J36" s="911">
        <f>IF('[3]BASE'!GU36=0,"",'[3]BASE'!GU36)</f>
      </c>
      <c r="K36" s="911">
        <f>IF('[3]BASE'!GV36=0,"",'[3]BASE'!GV36)</f>
      </c>
      <c r="L36" s="911">
        <f>IF('[3]BASE'!GW36=0,"",'[3]BASE'!GW36)</f>
      </c>
      <c r="M36" s="911">
        <f>IF('[3]BASE'!GX36=0,"",'[3]BASE'!GX36)</f>
      </c>
      <c r="N36" s="911">
        <f>IF('[3]BASE'!GY36=0,"",'[3]BASE'!GY36)</f>
      </c>
      <c r="O36" s="911">
        <f>IF('[3]BASE'!GZ36=0,"",'[3]BASE'!GZ36)</f>
      </c>
      <c r="P36" s="911">
        <f>IF('[3]BASE'!HA36=0,"",'[3]BASE'!HA36)</f>
      </c>
      <c r="Q36" s="911">
        <f>IF('[3]BASE'!HB36=0,"",'[3]BASE'!HB36)</f>
      </c>
      <c r="R36" s="911">
        <f>IF('[3]BASE'!HC36=0,"",'[3]BASE'!HC36)</f>
      </c>
      <c r="S36" s="911">
        <f>IF('[3]BASE'!HD36=0,"",'[3]BASE'!HD36)</f>
      </c>
      <c r="T36" s="912"/>
      <c r="U36" s="908"/>
    </row>
    <row r="37" spans="2:21" s="902" customFormat="1" ht="19.5" customHeight="1">
      <c r="B37" s="903"/>
      <c r="C37" s="915">
        <f>IF('[3]BASE'!C37=0,"",'[3]BASE'!C37)</f>
        <v>21</v>
      </c>
      <c r="D37" s="915" t="str">
        <f>IF('[3]BASE'!D37=0,"",'[3]BASE'!D37)</f>
        <v>E.T.P.del AGUILA - CENTRAL P.del A. 2</v>
      </c>
      <c r="E37" s="915">
        <f>IF('[3]BASE'!E37=0,"",'[3]BASE'!E37)</f>
        <v>500</v>
      </c>
      <c r="F37" s="915">
        <f>IF('[3]BASE'!F37=0,"",'[3]BASE'!F37)</f>
        <v>5.6</v>
      </c>
      <c r="G37" s="916" t="str">
        <f>IF('[2]BASE'!G37=0,"",'[2]BASE'!G37)</f>
        <v>C</v>
      </c>
      <c r="H37" s="911">
        <f>IF('[3]BASE'!GS37=0,"",'[3]BASE'!GS37)</f>
      </c>
      <c r="I37" s="911">
        <f>IF('[3]BASE'!GT37=0,"",'[3]BASE'!GT37)</f>
      </c>
      <c r="J37" s="911">
        <f>IF('[3]BASE'!GU37=0,"",'[3]BASE'!GU37)</f>
      </c>
      <c r="K37" s="911">
        <f>IF('[3]BASE'!GV37=0,"",'[3]BASE'!GV37)</f>
      </c>
      <c r="L37" s="911">
        <f>IF('[3]BASE'!GW37=0,"",'[3]BASE'!GW37)</f>
      </c>
      <c r="M37" s="911">
        <f>IF('[3]BASE'!GX37=0,"",'[3]BASE'!GX37)</f>
      </c>
      <c r="N37" s="911">
        <f>IF('[3]BASE'!GY37=0,"",'[3]BASE'!GY37)</f>
      </c>
      <c r="O37" s="911">
        <f>IF('[3]BASE'!GZ37=0,"",'[3]BASE'!GZ37)</f>
      </c>
      <c r="P37" s="911">
        <f>IF('[3]BASE'!HA37=0,"",'[3]BASE'!HA37)</f>
      </c>
      <c r="Q37" s="911">
        <f>IF('[3]BASE'!HB37=0,"",'[3]BASE'!HB37)</f>
      </c>
      <c r="R37" s="911">
        <f>IF('[3]BASE'!HC37=0,"",'[3]BASE'!HC37)</f>
      </c>
      <c r="S37" s="911">
        <f>IF('[3]BASE'!HD37=0,"",'[3]BASE'!HD37)</f>
      </c>
      <c r="T37" s="912"/>
      <c r="U37" s="908"/>
    </row>
    <row r="38" spans="2:21" s="902" customFormat="1" ht="19.5" customHeight="1">
      <c r="B38" s="903"/>
      <c r="C38" s="913">
        <f>IF('[3]BASE'!C38=0,"",'[3]BASE'!C38)</f>
        <v>22</v>
      </c>
      <c r="D38" s="913" t="str">
        <f>IF('[3]BASE'!D38=0,"",'[3]BASE'!D38)</f>
        <v>EL BRACHO - RECREO(5)</v>
      </c>
      <c r="E38" s="913">
        <f>IF('[3]BASE'!E38=0,"",'[3]BASE'!E38)</f>
        <v>500</v>
      </c>
      <c r="F38" s="913">
        <f>IF('[3]BASE'!F38=0,"",'[3]BASE'!F38)</f>
        <v>255</v>
      </c>
      <c r="G38" s="914" t="str">
        <f>IF('[2]BASE'!G38=0,"",'[2]BASE'!G38)</f>
        <v>C</v>
      </c>
      <c r="H38" s="911">
        <f>IF('[3]BASE'!GS38=0,"",'[3]BASE'!GS38)</f>
      </c>
      <c r="I38" s="911">
        <f>IF('[3]BASE'!GT38=0,"",'[3]BASE'!GT38)</f>
      </c>
      <c r="J38" s="911">
        <f>IF('[3]BASE'!GU38=0,"",'[3]BASE'!GU38)</f>
      </c>
      <c r="K38" s="911">
        <f>IF('[3]BASE'!GV38=0,"",'[3]BASE'!GV38)</f>
      </c>
      <c r="L38" s="911">
        <f>IF('[3]BASE'!GW38=0,"",'[3]BASE'!GW38)</f>
      </c>
      <c r="M38" s="911">
        <f>IF('[3]BASE'!GX38=0,"",'[3]BASE'!GX38)</f>
      </c>
      <c r="N38" s="911">
        <f>IF('[3]BASE'!GY38=0,"",'[3]BASE'!GY38)</f>
      </c>
      <c r="O38" s="911">
        <f>IF('[3]BASE'!GZ38=0,"",'[3]BASE'!GZ38)</f>
      </c>
      <c r="P38" s="911">
        <f>IF('[3]BASE'!HA38=0,"",'[3]BASE'!HA38)</f>
      </c>
      <c r="Q38" s="911">
        <f>IF('[3]BASE'!HB38=0,"",'[3]BASE'!HB38)</f>
      </c>
      <c r="R38" s="911">
        <f>IF('[3]BASE'!HC38=0,"",'[3]BASE'!HC38)</f>
      </c>
      <c r="S38" s="911">
        <f>IF('[3]BASE'!HD38=0,"",'[3]BASE'!HD38)</f>
      </c>
      <c r="T38" s="912"/>
      <c r="U38" s="908"/>
    </row>
    <row r="39" spans="2:21" s="902" customFormat="1" ht="19.5" customHeight="1">
      <c r="B39" s="903"/>
      <c r="C39" s="915">
        <f>IF('[3]BASE'!C39=0,"",'[3]BASE'!C39)</f>
        <v>23</v>
      </c>
      <c r="D39" s="915" t="str">
        <f>IF('[3]BASE'!D39=0,"",'[3]BASE'!D39)</f>
        <v>EZEIZA - ABASTO 1</v>
      </c>
      <c r="E39" s="915">
        <f>IF('[3]BASE'!E39=0,"",'[3]BASE'!E39)</f>
        <v>500</v>
      </c>
      <c r="F39" s="915">
        <f>IF('[3]BASE'!F39=0,"",'[3]BASE'!F39)</f>
        <v>58</v>
      </c>
      <c r="G39" s="916" t="str">
        <f>IF('[2]BASE'!G39=0,"",'[2]BASE'!G39)</f>
        <v>C</v>
      </c>
      <c r="H39" s="911">
        <f>IF('[3]BASE'!GS39=0,"",'[3]BASE'!GS39)</f>
      </c>
      <c r="I39" s="911">
        <f>IF('[3]BASE'!GT39=0,"",'[3]BASE'!GT39)</f>
      </c>
      <c r="J39" s="911">
        <f>IF('[3]BASE'!GU39=0,"",'[3]BASE'!GU39)</f>
      </c>
      <c r="K39" s="911">
        <f>IF('[3]BASE'!GV39=0,"",'[3]BASE'!GV39)</f>
      </c>
      <c r="L39" s="911">
        <f>IF('[3]BASE'!GW39=0,"",'[3]BASE'!GW39)</f>
      </c>
      <c r="M39" s="911">
        <f>IF('[3]BASE'!GX39=0,"",'[3]BASE'!GX39)</f>
      </c>
      <c r="N39" s="911">
        <f>IF('[3]BASE'!GY39=0,"",'[3]BASE'!GY39)</f>
      </c>
      <c r="O39" s="911">
        <f>IF('[3]BASE'!GZ39=0,"",'[3]BASE'!GZ39)</f>
      </c>
      <c r="P39" s="911">
        <f>IF('[3]BASE'!HA39=0,"",'[3]BASE'!HA39)</f>
      </c>
      <c r="Q39" s="911">
        <f>IF('[3]BASE'!HB39=0,"",'[3]BASE'!HB39)</f>
      </c>
      <c r="R39" s="911">
        <f>IF('[3]BASE'!HC39=0,"",'[3]BASE'!HC39)</f>
      </c>
      <c r="S39" s="911">
        <f>IF('[3]BASE'!HD39=0,"",'[3]BASE'!HD39)</f>
      </c>
      <c r="T39" s="912"/>
      <c r="U39" s="908"/>
    </row>
    <row r="40" spans="2:21" s="902" customFormat="1" ht="19.5" customHeight="1">
      <c r="B40" s="903"/>
      <c r="C40" s="913">
        <f>IF('[3]BASE'!C40=0,"",'[3]BASE'!C40)</f>
        <v>24</v>
      </c>
      <c r="D40" s="913" t="str">
        <f>IF('[3]BASE'!D40=0,"",'[3]BASE'!D40)</f>
        <v>EZEIZA - ABASTO 2</v>
      </c>
      <c r="E40" s="913">
        <f>IF('[3]BASE'!E40=0,"",'[3]BASE'!E40)</f>
        <v>500</v>
      </c>
      <c r="F40" s="913">
        <f>IF('[3]BASE'!F40=0,"",'[3]BASE'!F40)</f>
        <v>58</v>
      </c>
      <c r="G40" s="914" t="str">
        <f>IF('[2]BASE'!G40=0,"",'[2]BASE'!G40)</f>
        <v>C</v>
      </c>
      <c r="H40" s="911">
        <f>IF('[3]BASE'!GS40=0,"",'[3]BASE'!GS40)</f>
      </c>
      <c r="I40" s="911">
        <f>IF('[3]BASE'!GT40=0,"",'[3]BASE'!GT40)</f>
      </c>
      <c r="J40" s="911">
        <f>IF('[3]BASE'!GU40=0,"",'[3]BASE'!GU40)</f>
      </c>
      <c r="K40" s="911">
        <f>IF('[3]BASE'!GV40=0,"",'[3]BASE'!GV40)</f>
      </c>
      <c r="L40" s="911">
        <f>IF('[3]BASE'!GW40=0,"",'[3]BASE'!GW40)</f>
      </c>
      <c r="M40" s="911">
        <f>IF('[3]BASE'!GX40=0,"",'[3]BASE'!GX40)</f>
      </c>
      <c r="N40" s="911">
        <f>IF('[3]BASE'!GY40=0,"",'[3]BASE'!GY40)</f>
      </c>
      <c r="O40" s="911">
        <f>IF('[3]BASE'!GZ40=0,"",'[3]BASE'!GZ40)</f>
      </c>
      <c r="P40" s="911">
        <f>IF('[3]BASE'!HA40=0,"",'[3]BASE'!HA40)</f>
      </c>
      <c r="Q40" s="911">
        <f>IF('[3]BASE'!HB40=0,"",'[3]BASE'!HB40)</f>
      </c>
      <c r="R40" s="911">
        <f>IF('[3]BASE'!HC40=0,"",'[3]BASE'!HC40)</f>
      </c>
      <c r="S40" s="911">
        <f>IF('[3]BASE'!HD40=0,"",'[3]BASE'!HD40)</f>
      </c>
      <c r="T40" s="912"/>
      <c r="U40" s="908"/>
    </row>
    <row r="41" spans="2:21" s="902" customFormat="1" ht="19.5" customHeight="1">
      <c r="B41" s="903"/>
      <c r="C41" s="915">
        <f>IF('[3]BASE'!C41=0,"",'[3]BASE'!C41)</f>
        <v>25</v>
      </c>
      <c r="D41" s="915" t="str">
        <f>IF('[3]BASE'!D41=0,"",'[3]BASE'!D41)</f>
        <v>EZEIZA - RODRIGUEZ 1</v>
      </c>
      <c r="E41" s="915">
        <f>IF('[3]BASE'!E41=0,"",'[3]BASE'!E41)</f>
        <v>500</v>
      </c>
      <c r="F41" s="915">
        <f>IF('[3]BASE'!F41=0,"",'[3]BASE'!F41)</f>
        <v>53</v>
      </c>
      <c r="G41" s="916" t="str">
        <f>IF('[2]BASE'!G41=0,"",'[2]BASE'!G41)</f>
        <v>C</v>
      </c>
      <c r="H41" s="911">
        <f>IF('[3]BASE'!GS41=0,"",'[3]BASE'!GS41)</f>
      </c>
      <c r="I41" s="911">
        <f>IF('[3]BASE'!GT41=0,"",'[3]BASE'!GT41)</f>
      </c>
      <c r="J41" s="911">
        <f>IF('[3]BASE'!GU41=0,"",'[3]BASE'!GU41)</f>
      </c>
      <c r="K41" s="911">
        <f>IF('[3]BASE'!GV41=0,"",'[3]BASE'!GV41)</f>
      </c>
      <c r="L41" s="911">
        <f>IF('[3]BASE'!GW41=0,"",'[3]BASE'!GW41)</f>
      </c>
      <c r="M41" s="911">
        <f>IF('[3]BASE'!GX41=0,"",'[3]BASE'!GX41)</f>
      </c>
      <c r="N41" s="911">
        <f>IF('[3]BASE'!GY41=0,"",'[3]BASE'!GY41)</f>
      </c>
      <c r="O41" s="911">
        <f>IF('[3]BASE'!GZ41=0,"",'[3]BASE'!GZ41)</f>
      </c>
      <c r="P41" s="911">
        <f>IF('[3]BASE'!HA41=0,"",'[3]BASE'!HA41)</f>
      </c>
      <c r="Q41" s="911">
        <f>IF('[3]BASE'!HB41=0,"",'[3]BASE'!HB41)</f>
      </c>
      <c r="R41" s="911">
        <f>IF('[3]BASE'!HC41=0,"",'[3]BASE'!HC41)</f>
      </c>
      <c r="S41" s="911">
        <f>IF('[3]BASE'!HD41=0,"",'[3]BASE'!HD41)</f>
      </c>
      <c r="T41" s="912"/>
      <c r="U41" s="908"/>
    </row>
    <row r="42" spans="2:21" s="902" customFormat="1" ht="19.5" customHeight="1">
      <c r="B42" s="903"/>
      <c r="C42" s="913">
        <f>IF('[3]BASE'!C42=0,"",'[3]BASE'!C42)</f>
        <v>26</v>
      </c>
      <c r="D42" s="913" t="str">
        <f>IF('[3]BASE'!D42=0,"",'[3]BASE'!D42)</f>
        <v>EZEIZA - RODRIGUEZ 2</v>
      </c>
      <c r="E42" s="913">
        <f>IF('[3]BASE'!E42=0,"",'[3]BASE'!E42)</f>
        <v>500</v>
      </c>
      <c r="F42" s="913">
        <f>IF('[3]BASE'!F42=0,"",'[3]BASE'!F42)</f>
        <v>53</v>
      </c>
      <c r="G42" s="914" t="str">
        <f>IF('[2]BASE'!G42=0,"",'[2]BASE'!G42)</f>
        <v>C</v>
      </c>
      <c r="H42" s="911">
        <f>IF('[3]BASE'!GS42=0,"",'[3]BASE'!GS42)</f>
      </c>
      <c r="I42" s="911">
        <f>IF('[3]BASE'!GT42=0,"",'[3]BASE'!GT42)</f>
      </c>
      <c r="J42" s="911">
        <f>IF('[3]BASE'!GU42=0,"",'[3]BASE'!GU42)</f>
      </c>
      <c r="K42" s="911">
        <f>IF('[3]BASE'!GV42=0,"",'[3]BASE'!GV42)</f>
      </c>
      <c r="L42" s="911">
        <f>IF('[3]BASE'!GW42=0,"",'[3]BASE'!GW42)</f>
      </c>
      <c r="M42" s="911">
        <f>IF('[3]BASE'!GX42=0,"",'[3]BASE'!GX42)</f>
      </c>
      <c r="N42" s="911">
        <f>IF('[3]BASE'!GY42=0,"",'[3]BASE'!GY42)</f>
      </c>
      <c r="O42" s="911">
        <f>IF('[3]BASE'!GZ42=0,"",'[3]BASE'!GZ42)</f>
      </c>
      <c r="P42" s="911">
        <f>IF('[3]BASE'!HA42=0,"",'[3]BASE'!HA42)</f>
      </c>
      <c r="Q42" s="911">
        <f>IF('[3]BASE'!HB42=0,"",'[3]BASE'!HB42)</f>
      </c>
      <c r="R42" s="911">
        <f>IF('[3]BASE'!HC42=0,"",'[3]BASE'!HC42)</f>
      </c>
      <c r="S42" s="911">
        <f>IF('[3]BASE'!HD42=0,"",'[3]BASE'!HD42)</f>
      </c>
      <c r="T42" s="912"/>
      <c r="U42" s="908"/>
    </row>
    <row r="43" spans="2:21" s="902" customFormat="1" ht="19.5" customHeight="1">
      <c r="B43" s="903"/>
      <c r="C43" s="915">
        <f>IF('[3]BASE'!C43=0,"",'[3]BASE'!C43)</f>
        <v>27</v>
      </c>
      <c r="D43" s="915" t="str">
        <f>IF('[3]BASE'!D43=0,"",'[3]BASE'!D43)</f>
        <v>EZEIZA- HENDERSON 1</v>
      </c>
      <c r="E43" s="915">
        <f>IF('[3]BASE'!E43=0,"",'[3]BASE'!E43)</f>
        <v>500</v>
      </c>
      <c r="F43" s="915">
        <f>IF('[3]BASE'!F43=0,"",'[3]BASE'!F43)</f>
        <v>313</v>
      </c>
      <c r="G43" s="916" t="str">
        <f>IF('[2]BASE'!G43=0,"",'[2]BASE'!G43)</f>
        <v>A</v>
      </c>
      <c r="H43" s="911">
        <f>IF('[3]BASE'!GS43=0,"",'[3]BASE'!GS43)</f>
      </c>
      <c r="I43" s="911">
        <f>IF('[3]BASE'!GT43=0,"",'[3]BASE'!GT43)</f>
      </c>
      <c r="J43" s="911">
        <f>IF('[3]BASE'!GU43=0,"",'[3]BASE'!GU43)</f>
      </c>
      <c r="K43" s="911">
        <f>IF('[3]BASE'!GV43=0,"",'[3]BASE'!GV43)</f>
      </c>
      <c r="L43" s="911">
        <f>IF('[3]BASE'!GW43=0,"",'[3]BASE'!GW43)</f>
      </c>
      <c r="M43" s="911">
        <f>IF('[3]BASE'!GX43=0,"",'[3]BASE'!GX43)</f>
      </c>
      <c r="N43" s="911">
        <f>IF('[3]BASE'!GY43=0,"",'[3]BASE'!GY43)</f>
      </c>
      <c r="O43" s="911">
        <f>IF('[3]BASE'!GZ43=0,"",'[3]BASE'!GZ43)</f>
      </c>
      <c r="P43" s="911">
        <f>IF('[3]BASE'!HA43=0,"",'[3]BASE'!HA43)</f>
      </c>
      <c r="Q43" s="911">
        <f>IF('[3]BASE'!HB43=0,"",'[3]BASE'!HB43)</f>
      </c>
      <c r="R43" s="911">
        <f>IF('[3]BASE'!HC43=0,"",'[3]BASE'!HC43)</f>
      </c>
      <c r="S43" s="911">
        <f>IF('[3]BASE'!HD43=0,"",'[3]BASE'!HD43)</f>
      </c>
      <c r="T43" s="912"/>
      <c r="U43" s="908"/>
    </row>
    <row r="44" spans="2:21" s="902" customFormat="1" ht="19.5" customHeight="1">
      <c r="B44" s="903"/>
      <c r="C44" s="913">
        <f>IF('[3]BASE'!C44=0,"",'[3]BASE'!C44)</f>
        <v>28</v>
      </c>
      <c r="D44" s="913" t="str">
        <f>IF('[3]BASE'!D44=0,"",'[3]BASE'!D44)</f>
        <v>EZEIZA - HENDERSON 2</v>
      </c>
      <c r="E44" s="913">
        <f>IF('[3]BASE'!E44=0,"",'[3]BASE'!E44)</f>
        <v>500</v>
      </c>
      <c r="F44" s="913">
        <f>IF('[3]BASE'!F44=0,"",'[3]BASE'!F44)</f>
        <v>313</v>
      </c>
      <c r="G44" s="914" t="str">
        <f>IF('[2]BASE'!G44=0,"",'[2]BASE'!G44)</f>
        <v>A</v>
      </c>
      <c r="H44" s="911">
        <f>IF('[3]BASE'!GS44=0,"",'[3]BASE'!GS44)</f>
      </c>
      <c r="I44" s="911">
        <f>IF('[3]BASE'!GT44=0,"",'[3]BASE'!GT44)</f>
      </c>
      <c r="J44" s="911">
        <f>IF('[3]BASE'!GU44=0,"",'[3]BASE'!GU44)</f>
      </c>
      <c r="K44" s="911">
        <f>IF('[3]BASE'!GV44=0,"",'[3]BASE'!GV44)</f>
      </c>
      <c r="L44" s="911">
        <f>IF('[3]BASE'!GW44=0,"",'[3]BASE'!GW44)</f>
      </c>
      <c r="M44" s="911">
        <f>IF('[3]BASE'!GX44=0,"",'[3]BASE'!GX44)</f>
      </c>
      <c r="N44" s="911">
        <f>IF('[3]BASE'!GY44=0,"",'[3]BASE'!GY44)</f>
      </c>
      <c r="O44" s="911">
        <f>IF('[3]BASE'!GZ44=0,"",'[3]BASE'!GZ44)</f>
        <v>2</v>
      </c>
      <c r="P44" s="911">
        <f>IF('[3]BASE'!HA44=0,"",'[3]BASE'!HA44)</f>
      </c>
      <c r="Q44" s="911">
        <f>IF('[3]BASE'!HB44=0,"",'[3]BASE'!HB44)</f>
      </c>
      <c r="R44" s="911">
        <f>IF('[3]BASE'!HC44=0,"",'[3]BASE'!HC44)</f>
      </c>
      <c r="S44" s="911">
        <f>IF('[3]BASE'!HD44=0,"",'[3]BASE'!HD44)</f>
      </c>
      <c r="T44" s="912"/>
      <c r="U44" s="908"/>
    </row>
    <row r="45" spans="2:21" s="902" customFormat="1" ht="19.5" customHeight="1">
      <c r="B45" s="903"/>
      <c r="C45" s="915">
        <f>IF('[3]BASE'!C45=0,"",'[3]BASE'!C45)</f>
        <v>29</v>
      </c>
      <c r="D45" s="915" t="str">
        <f>IF('[3]BASE'!D45=0,"",'[3]BASE'!D45)</f>
        <v>GRAL. RODRIGUEZ - CAMPANA </v>
      </c>
      <c r="E45" s="915">
        <f>IF('[3]BASE'!E45=0,"",'[3]BASE'!E45)</f>
        <v>500</v>
      </c>
      <c r="F45" s="915">
        <f>IF('[3]BASE'!F45=0,"",'[3]BASE'!F45)</f>
        <v>42</v>
      </c>
      <c r="G45" s="916" t="str">
        <f>IF('[2]BASE'!G45=0,"",'[2]BASE'!G45)</f>
        <v>B</v>
      </c>
      <c r="H45" s="911">
        <f>IF('[3]BASE'!GS45=0,"",'[3]BASE'!GS45)</f>
      </c>
      <c r="I45" s="911">
        <f>IF('[3]BASE'!GT45=0,"",'[3]BASE'!GT45)</f>
      </c>
      <c r="J45" s="911">
        <f>IF('[3]BASE'!GU45=0,"",'[3]BASE'!GU45)</f>
      </c>
      <c r="K45" s="911">
        <f>IF('[3]BASE'!GV45=0,"",'[3]BASE'!GV45)</f>
      </c>
      <c r="L45" s="911">
        <f>IF('[3]BASE'!GW45=0,"",'[3]BASE'!GW45)</f>
      </c>
      <c r="M45" s="911">
        <f>IF('[3]BASE'!GX45=0,"",'[3]BASE'!GX45)</f>
      </c>
      <c r="N45" s="911">
        <f>IF('[3]BASE'!GY45=0,"",'[3]BASE'!GY45)</f>
      </c>
      <c r="O45" s="911">
        <f>IF('[3]BASE'!GZ45=0,"",'[3]BASE'!GZ45)</f>
      </c>
      <c r="P45" s="911">
        <f>IF('[3]BASE'!HA45=0,"",'[3]BASE'!HA45)</f>
      </c>
      <c r="Q45" s="911">
        <f>IF('[3]BASE'!HB45=0,"",'[3]BASE'!HB45)</f>
      </c>
      <c r="R45" s="911">
        <f>IF('[3]BASE'!HC45=0,"",'[3]BASE'!HC45)</f>
      </c>
      <c r="S45" s="911">
        <f>IF('[3]BASE'!HD45=0,"",'[3]BASE'!HD45)</f>
      </c>
      <c r="T45" s="912"/>
      <c r="U45" s="908"/>
    </row>
    <row r="46" spans="2:21" s="902" customFormat="1" ht="19.5" customHeight="1">
      <c r="B46" s="903"/>
      <c r="C46" s="913">
        <f>IF('[3]BASE'!C46=0,"",'[3]BASE'!C46)</f>
        <v>30</v>
      </c>
      <c r="D46" s="913" t="str">
        <f>IF('[3]BASE'!D46=0,"",'[3]BASE'!D46)</f>
        <v>GRAL. RODRIGUEZ- ROSARIO OESTE </v>
      </c>
      <c r="E46" s="913">
        <f>IF('[3]BASE'!E46=0,"",'[3]BASE'!E46)</f>
        <v>500</v>
      </c>
      <c r="F46" s="913">
        <f>IF('[3]BASE'!F46=0,"",'[3]BASE'!F46)</f>
        <v>258</v>
      </c>
      <c r="G46" s="914" t="str">
        <f>IF('[2]BASE'!G46=0,"",'[2]BASE'!G46)</f>
        <v>C</v>
      </c>
      <c r="H46" s="911" t="str">
        <f>IF('[3]BASE'!GS46=0,"",'[3]BASE'!GS46)</f>
        <v>XXXX</v>
      </c>
      <c r="I46" s="911" t="str">
        <f>IF('[3]BASE'!GT46=0,"",'[3]BASE'!GT46)</f>
        <v>XXXX</v>
      </c>
      <c r="J46" s="911" t="str">
        <f>IF('[3]BASE'!GU46=0,"",'[3]BASE'!GU46)</f>
        <v>XXXX</v>
      </c>
      <c r="K46" s="911" t="str">
        <f>IF('[3]BASE'!GV46=0,"",'[3]BASE'!GV46)</f>
        <v>XXXX</v>
      </c>
      <c r="L46" s="911" t="str">
        <f>IF('[3]BASE'!GW46=0,"",'[3]BASE'!GW46)</f>
        <v>XXXX</v>
      </c>
      <c r="M46" s="911" t="str">
        <f>IF('[3]BASE'!GX46=0,"",'[3]BASE'!GX46)</f>
        <v>XXXX</v>
      </c>
      <c r="N46" s="911" t="str">
        <f>IF('[3]BASE'!GY46=0,"",'[3]BASE'!GY46)</f>
        <v>XXXX</v>
      </c>
      <c r="O46" s="911" t="str">
        <f>IF('[3]BASE'!GZ46=0,"",'[3]BASE'!GZ46)</f>
        <v>XXXX</v>
      </c>
      <c r="P46" s="911" t="str">
        <f>IF('[3]BASE'!HA46=0,"",'[3]BASE'!HA46)</f>
        <v>XXXX</v>
      </c>
      <c r="Q46" s="911" t="str">
        <f>IF('[3]BASE'!HB46=0,"",'[3]BASE'!HB46)</f>
        <v>XXXX</v>
      </c>
      <c r="R46" s="911" t="str">
        <f>IF('[3]BASE'!HC46=0,"",'[3]BASE'!HC46)</f>
        <v>XXXX</v>
      </c>
      <c r="S46" s="911" t="str">
        <f>IF('[3]BASE'!HD46=0,"",'[3]BASE'!HD46)</f>
        <v>XXXX</v>
      </c>
      <c r="T46" s="912"/>
      <c r="U46" s="908"/>
    </row>
    <row r="47" spans="2:21" s="902" customFormat="1" ht="19.5" customHeight="1">
      <c r="B47" s="903"/>
      <c r="C47" s="915">
        <f>IF('[3]BASE'!C47=0,"",'[3]BASE'!C47)</f>
        <v>31</v>
      </c>
      <c r="D47" s="915" t="str">
        <f>IF('[3]BASE'!D47=0,"",'[3]BASE'!D47)</f>
        <v>MALVINAS ARG. - ALMAFUERTE </v>
      </c>
      <c r="E47" s="915">
        <f>IF('[3]BASE'!E47=0,"",'[3]BASE'!E47)</f>
        <v>500</v>
      </c>
      <c r="F47" s="915">
        <f>IF('[3]BASE'!F47=0,"",'[3]BASE'!F47)</f>
        <v>105</v>
      </c>
      <c r="G47" s="916" t="str">
        <f>IF('[2]BASE'!G47=0,"",'[2]BASE'!G47)</f>
        <v>B</v>
      </c>
      <c r="H47" s="911">
        <f>IF('[3]BASE'!GS47=0,"",'[3]BASE'!GS47)</f>
      </c>
      <c r="I47" s="911">
        <f>IF('[3]BASE'!GT47=0,"",'[3]BASE'!GT47)</f>
      </c>
      <c r="J47" s="911">
        <f>IF('[3]BASE'!GU47=0,"",'[3]BASE'!GU47)</f>
      </c>
      <c r="K47" s="911">
        <f>IF('[3]BASE'!GV47=0,"",'[3]BASE'!GV47)</f>
      </c>
      <c r="L47" s="911">
        <f>IF('[3]BASE'!GW47=0,"",'[3]BASE'!GW47)</f>
      </c>
      <c r="M47" s="911">
        <f>IF('[3]BASE'!GX47=0,"",'[3]BASE'!GX47)</f>
      </c>
      <c r="N47" s="911">
        <f>IF('[3]BASE'!GY47=0,"",'[3]BASE'!GY47)</f>
      </c>
      <c r="O47" s="911">
        <f>IF('[3]BASE'!GZ47=0,"",'[3]BASE'!GZ47)</f>
        <v>1</v>
      </c>
      <c r="P47" s="911">
        <f>IF('[3]BASE'!HA47=0,"",'[3]BASE'!HA47)</f>
      </c>
      <c r="Q47" s="911">
        <f>IF('[3]BASE'!HB47=0,"",'[3]BASE'!HB47)</f>
      </c>
      <c r="R47" s="911">
        <f>IF('[3]BASE'!HC47=0,"",'[3]BASE'!HC47)</f>
      </c>
      <c r="S47" s="911">
        <f>IF('[3]BASE'!HD47=0,"",'[3]BASE'!HD47)</f>
      </c>
      <c r="T47" s="912"/>
      <c r="U47" s="908"/>
    </row>
    <row r="48" spans="2:21" s="902" customFormat="1" ht="19.5" customHeight="1">
      <c r="B48" s="903"/>
      <c r="C48" s="913">
        <f>IF('[3]BASE'!C48=0,"",'[3]BASE'!C48)</f>
        <v>32</v>
      </c>
      <c r="D48" s="913" t="str">
        <f>IF('[3]BASE'!D48=0,"",'[3]BASE'!D48)</f>
        <v>OLAVARRIA - BAHIA BLANCA 1</v>
      </c>
      <c r="E48" s="913">
        <f>IF('[3]BASE'!E48=0,"",'[3]BASE'!E48)</f>
        <v>500</v>
      </c>
      <c r="F48" s="913">
        <f>IF('[3]BASE'!F48=0,"",'[3]BASE'!F48)</f>
        <v>255</v>
      </c>
      <c r="G48" s="914" t="str">
        <f>IF('[2]BASE'!G48=0,"",'[2]BASE'!G48)</f>
        <v>B</v>
      </c>
      <c r="H48" s="911">
        <f>IF('[3]BASE'!GS48=0,"",'[3]BASE'!GS48)</f>
      </c>
      <c r="I48" s="911">
        <f>IF('[3]BASE'!GT48=0,"",'[3]BASE'!GT48)</f>
      </c>
      <c r="J48" s="911">
        <f>IF('[3]BASE'!GU48=0,"",'[3]BASE'!GU48)</f>
      </c>
      <c r="K48" s="911">
        <f>IF('[3]BASE'!GV48=0,"",'[3]BASE'!GV48)</f>
      </c>
      <c r="L48" s="911">
        <f>IF('[3]BASE'!GW48=0,"",'[3]BASE'!GW48)</f>
      </c>
      <c r="M48" s="911">
        <f>IF('[3]BASE'!GX48=0,"",'[3]BASE'!GX48)</f>
      </c>
      <c r="N48" s="911">
        <f>IF('[3]BASE'!GY48=0,"",'[3]BASE'!GY48)</f>
      </c>
      <c r="O48" s="911">
        <f>IF('[3]BASE'!GZ48=0,"",'[3]BASE'!GZ48)</f>
      </c>
      <c r="P48" s="911">
        <f>IF('[3]BASE'!HA48=0,"",'[3]BASE'!HA48)</f>
      </c>
      <c r="Q48" s="911">
        <f>IF('[3]BASE'!HB48=0,"",'[3]BASE'!HB48)</f>
      </c>
      <c r="R48" s="911">
        <f>IF('[3]BASE'!HC48=0,"",'[3]BASE'!HC48)</f>
      </c>
      <c r="S48" s="911">
        <f>IF('[3]BASE'!HD48=0,"",'[3]BASE'!HD48)</f>
      </c>
      <c r="T48" s="912"/>
      <c r="U48" s="908"/>
    </row>
    <row r="49" spans="2:21" s="902" customFormat="1" ht="19.5" customHeight="1">
      <c r="B49" s="903"/>
      <c r="C49" s="915">
        <f>IF('[3]BASE'!C49=0,"",'[3]BASE'!C49)</f>
        <v>33</v>
      </c>
      <c r="D49" s="915" t="str">
        <f>IF('[3]BASE'!D49=0,"",'[3]BASE'!D49)</f>
        <v>OLAVARRIA - BAHIA BLANCA 2</v>
      </c>
      <c r="E49" s="915">
        <f>IF('[3]BASE'!E49=0,"",'[3]BASE'!E49)</f>
        <v>500</v>
      </c>
      <c r="F49" s="915">
        <f>IF('[3]BASE'!F49=0,"",'[3]BASE'!F49)</f>
        <v>254.8</v>
      </c>
      <c r="G49" s="916" t="e">
        <f>IF('[2]BASE'!G49=0,"",'[2]BASE'!G49)</f>
        <v>#REF!</v>
      </c>
      <c r="H49" s="911">
        <f>IF('[3]BASE'!GS49=0,"",'[3]BASE'!GS49)</f>
      </c>
      <c r="I49" s="911">
        <f>IF('[3]BASE'!GT49=0,"",'[3]BASE'!GT49)</f>
      </c>
      <c r="J49" s="911">
        <f>IF('[3]BASE'!GU49=0,"",'[3]BASE'!GU49)</f>
      </c>
      <c r="K49" s="911">
        <f>IF('[3]BASE'!GV49=0,"",'[3]BASE'!GV49)</f>
      </c>
      <c r="L49" s="911">
        <f>IF('[3]BASE'!GW49=0,"",'[3]BASE'!GW49)</f>
      </c>
      <c r="M49" s="911">
        <f>IF('[3]BASE'!GX49=0,"",'[3]BASE'!GX49)</f>
      </c>
      <c r="N49" s="911">
        <f>IF('[3]BASE'!GY49=0,"",'[3]BASE'!GY49)</f>
      </c>
      <c r="O49" s="911">
        <f>IF('[3]BASE'!GZ49=0,"",'[3]BASE'!GZ49)</f>
      </c>
      <c r="P49" s="911">
        <f>IF('[3]BASE'!HA49=0,"",'[3]BASE'!HA49)</f>
      </c>
      <c r="Q49" s="911">
        <f>IF('[3]BASE'!HB49=0,"",'[3]BASE'!HB49)</f>
      </c>
      <c r="R49" s="911">
        <f>IF('[3]BASE'!HC49=0,"",'[3]BASE'!HC49)</f>
      </c>
      <c r="S49" s="911">
        <f>IF('[3]BASE'!HD49=0,"",'[3]BASE'!HD49)</f>
      </c>
      <c r="T49" s="912"/>
      <c r="U49" s="908"/>
    </row>
    <row r="50" spans="2:21" s="902" customFormat="1" ht="19.5" customHeight="1">
      <c r="B50" s="903"/>
      <c r="C50" s="913">
        <f>IF('[3]BASE'!C50=0,"",'[3]BASE'!C50)</f>
        <v>34</v>
      </c>
      <c r="D50" s="913" t="str">
        <f>IF('[3]BASE'!D50=0,"",'[3]BASE'!D50)</f>
        <v>P.del AGUILA  - CHOELE CHOEL</v>
      </c>
      <c r="E50" s="913">
        <f>IF('[3]BASE'!E50=0,"",'[3]BASE'!E50)</f>
        <v>500</v>
      </c>
      <c r="F50" s="913">
        <f>IF('[3]BASE'!F50=0,"",'[3]BASE'!F50)</f>
        <v>386.7</v>
      </c>
      <c r="G50" s="914" t="e">
        <f>IF('[2]BASE'!G50=0,"",'[2]BASE'!G50)</f>
        <v>#REF!</v>
      </c>
      <c r="H50" s="911">
        <f>IF('[3]BASE'!GS50=0,"",'[3]BASE'!GS50)</f>
      </c>
      <c r="I50" s="911">
        <f>IF('[3]BASE'!GT50=0,"",'[3]BASE'!GT50)</f>
      </c>
      <c r="J50" s="911">
        <f>IF('[3]BASE'!GU50=0,"",'[3]BASE'!GU50)</f>
      </c>
      <c r="K50" s="911">
        <f>IF('[3]BASE'!GV50=0,"",'[3]BASE'!GV50)</f>
      </c>
      <c r="L50" s="911">
        <f>IF('[3]BASE'!GW50=0,"",'[3]BASE'!GW50)</f>
      </c>
      <c r="M50" s="911">
        <f>IF('[3]BASE'!GX50=0,"",'[3]BASE'!GX50)</f>
      </c>
      <c r="N50" s="911">
        <f>IF('[3]BASE'!GY50=0,"",'[3]BASE'!GY50)</f>
      </c>
      <c r="O50" s="911">
        <f>IF('[3]BASE'!GZ50=0,"",'[3]BASE'!GZ50)</f>
      </c>
      <c r="P50" s="911">
        <f>IF('[3]BASE'!HA50=0,"",'[3]BASE'!HA50)</f>
      </c>
      <c r="Q50" s="911">
        <f>IF('[3]BASE'!HB50=0,"",'[3]BASE'!HB50)</f>
      </c>
      <c r="R50" s="911">
        <f>IF('[3]BASE'!HC50=0,"",'[3]BASE'!HC50)</f>
      </c>
      <c r="S50" s="911">
        <f>IF('[3]BASE'!HD50=0,"",'[3]BASE'!HD50)</f>
        <v>1</v>
      </c>
      <c r="T50" s="912"/>
      <c r="U50" s="908"/>
    </row>
    <row r="51" spans="2:21" s="902" customFormat="1" ht="19.5" customHeight="1">
      <c r="B51" s="903"/>
      <c r="C51" s="915">
        <f>IF('[3]BASE'!C51=0,"",'[3]BASE'!C51)</f>
        <v>35</v>
      </c>
      <c r="D51" s="915" t="str">
        <f>IF('[3]BASE'!D51=0,"",'[3]BASE'!D51)</f>
        <v>P.del AGUILA  - CHO. W. 1 (5GW1)</v>
      </c>
      <c r="E51" s="915">
        <f>IF('[3]BASE'!E51=0,"",'[3]BASE'!E51)</f>
        <v>500</v>
      </c>
      <c r="F51" s="915">
        <f>IF('[3]BASE'!F51=0,"",'[3]BASE'!F51)</f>
        <v>165</v>
      </c>
      <c r="G51" s="916" t="str">
        <f>IF('[2]BASE'!G51=0,"",'[2]BASE'!G51)</f>
        <v>A</v>
      </c>
      <c r="H51" s="911">
        <f>IF('[3]BASE'!GS51=0,"",'[3]BASE'!GS51)</f>
      </c>
      <c r="I51" s="911">
        <f>IF('[3]BASE'!GT51=0,"",'[3]BASE'!GT51)</f>
      </c>
      <c r="J51" s="911">
        <f>IF('[3]BASE'!GU51=0,"",'[3]BASE'!GU51)</f>
      </c>
      <c r="K51" s="911">
        <f>IF('[3]BASE'!GV51=0,"",'[3]BASE'!GV51)</f>
      </c>
      <c r="L51" s="911">
        <f>IF('[3]BASE'!GW51=0,"",'[3]BASE'!GW51)</f>
      </c>
      <c r="M51" s="911">
        <f>IF('[3]BASE'!GX51=0,"",'[3]BASE'!GX51)</f>
      </c>
      <c r="N51" s="911">
        <f>IF('[3]BASE'!GY51=0,"",'[3]BASE'!GY51)</f>
      </c>
      <c r="O51" s="911">
        <f>IF('[3]BASE'!GZ51=0,"",'[3]BASE'!GZ51)</f>
      </c>
      <c r="P51" s="911">
        <f>IF('[3]BASE'!HA51=0,"",'[3]BASE'!HA51)</f>
      </c>
      <c r="Q51" s="911">
        <f>IF('[3]BASE'!HB51=0,"",'[3]BASE'!HB51)</f>
        <v>1</v>
      </c>
      <c r="R51" s="911">
        <f>IF('[3]BASE'!HC51=0,"",'[3]BASE'!HC51)</f>
      </c>
      <c r="S51" s="911">
        <f>IF('[3]BASE'!HD51=0,"",'[3]BASE'!HD51)</f>
        <v>1</v>
      </c>
      <c r="T51" s="912"/>
      <c r="U51" s="908"/>
    </row>
    <row r="52" spans="2:21" s="902" customFormat="1" ht="19.5" customHeight="1">
      <c r="B52" s="903"/>
      <c r="C52" s="913">
        <f>IF('[3]BASE'!C52=0,"",'[3]BASE'!C52)</f>
        <v>36</v>
      </c>
      <c r="D52" s="913" t="str">
        <f>IF('[3]BASE'!D52=0,"",'[3]BASE'!D52)</f>
        <v>P.del AGUILA  - CHO. W. 2 (5GW2)</v>
      </c>
      <c r="E52" s="913">
        <f>IF('[3]BASE'!E52=0,"",'[3]BASE'!E52)</f>
        <v>500</v>
      </c>
      <c r="F52" s="913">
        <f>IF('[3]BASE'!F52=0,"",'[3]BASE'!F52)</f>
        <v>170</v>
      </c>
      <c r="G52" s="914" t="str">
        <f>IF('[2]BASE'!G52=0,"",'[2]BASE'!G52)</f>
        <v>A</v>
      </c>
      <c r="H52" s="911">
        <f>IF('[3]BASE'!GS52=0,"",'[3]BASE'!GS52)</f>
      </c>
      <c r="I52" s="911">
        <f>IF('[3]BASE'!GT52=0,"",'[3]BASE'!GT52)</f>
      </c>
      <c r="J52" s="911">
        <f>IF('[3]BASE'!GU52=0,"",'[3]BASE'!GU52)</f>
      </c>
      <c r="K52" s="911">
        <f>IF('[3]BASE'!GV52=0,"",'[3]BASE'!GV52)</f>
      </c>
      <c r="L52" s="911">
        <f>IF('[3]BASE'!GW52=0,"",'[3]BASE'!GW52)</f>
      </c>
      <c r="M52" s="911">
        <f>IF('[3]BASE'!GX52=0,"",'[3]BASE'!GX52)</f>
      </c>
      <c r="N52" s="911">
        <f>IF('[3]BASE'!GY52=0,"",'[3]BASE'!GY52)</f>
      </c>
      <c r="O52" s="911">
        <f>IF('[3]BASE'!GZ52=0,"",'[3]BASE'!GZ52)</f>
      </c>
      <c r="P52" s="911">
        <f>IF('[3]BASE'!HA52=0,"",'[3]BASE'!HA52)</f>
      </c>
      <c r="Q52" s="911">
        <f>IF('[3]BASE'!HB52=0,"",'[3]BASE'!HB52)</f>
      </c>
      <c r="R52" s="911">
        <f>IF('[3]BASE'!HC52=0,"",'[3]BASE'!HC52)</f>
      </c>
      <c r="S52" s="911">
        <f>IF('[3]BASE'!HD52=0,"",'[3]BASE'!HD52)</f>
      </c>
      <c r="T52" s="912"/>
      <c r="U52" s="908"/>
    </row>
    <row r="53" spans="2:21" s="902" customFormat="1" ht="19.5" customHeight="1">
      <c r="B53" s="903"/>
      <c r="C53" s="915">
        <f>IF('[3]BASE'!C53=0,"",'[3]BASE'!C53)</f>
        <v>37</v>
      </c>
      <c r="D53" s="915" t="str">
        <f>IF('[3]BASE'!D53=0,"",'[3]BASE'!D53)</f>
        <v>PUELCHES - HENDERSON 1 (B1)</v>
      </c>
      <c r="E53" s="915">
        <f>IF('[3]BASE'!E53=0,"",'[3]BASE'!E53)</f>
        <v>500</v>
      </c>
      <c r="F53" s="915">
        <f>IF('[3]BASE'!F53=0,"",'[3]BASE'!F53)</f>
        <v>421</v>
      </c>
      <c r="G53" s="916" t="str">
        <f>IF('[2]BASE'!G53=0,"",'[2]BASE'!G53)</f>
        <v>A</v>
      </c>
      <c r="H53" s="911">
        <f>IF('[3]BASE'!GS53=0,"",'[3]BASE'!GS53)</f>
      </c>
      <c r="I53" s="911">
        <f>IF('[3]BASE'!GT53=0,"",'[3]BASE'!GT53)</f>
      </c>
      <c r="J53" s="911">
        <f>IF('[3]BASE'!GU53=0,"",'[3]BASE'!GU53)</f>
      </c>
      <c r="K53" s="911">
        <f>IF('[3]BASE'!GV53=0,"",'[3]BASE'!GV53)</f>
      </c>
      <c r="L53" s="911">
        <f>IF('[3]BASE'!GW53=0,"",'[3]BASE'!GW53)</f>
      </c>
      <c r="M53" s="911">
        <f>IF('[3]BASE'!GX53=0,"",'[3]BASE'!GX53)</f>
      </c>
      <c r="N53" s="911">
        <f>IF('[3]BASE'!GY53=0,"",'[3]BASE'!GY53)</f>
      </c>
      <c r="O53" s="911">
        <f>IF('[3]BASE'!GZ53=0,"",'[3]BASE'!GZ53)</f>
        <v>1</v>
      </c>
      <c r="P53" s="911">
        <f>IF('[3]BASE'!HA53=0,"",'[3]BASE'!HA53)</f>
      </c>
      <c r="Q53" s="911">
        <f>IF('[3]BASE'!HB53=0,"",'[3]BASE'!HB53)</f>
      </c>
      <c r="R53" s="911">
        <f>IF('[3]BASE'!HC53=0,"",'[3]BASE'!HC53)</f>
      </c>
      <c r="S53" s="911">
        <f>IF('[3]BASE'!HD53=0,"",'[3]BASE'!HD53)</f>
      </c>
      <c r="T53" s="912"/>
      <c r="U53" s="908"/>
    </row>
    <row r="54" spans="2:21" s="902" customFormat="1" ht="19.5" customHeight="1">
      <c r="B54" s="903"/>
      <c r="C54" s="913">
        <f>IF('[3]BASE'!C54=0,"",'[3]BASE'!C54)</f>
        <v>38</v>
      </c>
      <c r="D54" s="913" t="str">
        <f>IF('[3]BASE'!D54=0,"",'[3]BASE'!D54)</f>
        <v>PUELCHES - HENDERSON 2 (B2)</v>
      </c>
      <c r="E54" s="913">
        <f>IF('[3]BASE'!E54=0,"",'[3]BASE'!E54)</f>
        <v>500</v>
      </c>
      <c r="F54" s="913">
        <f>IF('[3]BASE'!F54=0,"",'[3]BASE'!F54)</f>
        <v>421</v>
      </c>
      <c r="G54" s="914" t="str">
        <f>IF('[2]BASE'!G54=0,"",'[2]BASE'!G54)</f>
        <v>A</v>
      </c>
      <c r="H54" s="911" t="str">
        <f>IF('[3]BASE'!GS54=0,"",'[3]BASE'!GS54)</f>
        <v>XXXX</v>
      </c>
      <c r="I54" s="911" t="str">
        <f>IF('[3]BASE'!GT54=0,"",'[3]BASE'!GT54)</f>
        <v>XXXX</v>
      </c>
      <c r="J54" s="911" t="str">
        <f>IF('[3]BASE'!GU54=0,"",'[3]BASE'!GU54)</f>
        <v>XXXX</v>
      </c>
      <c r="K54" s="911" t="str">
        <f>IF('[3]BASE'!GV54=0,"",'[3]BASE'!GV54)</f>
        <v>XXXX</v>
      </c>
      <c r="L54" s="911" t="str">
        <f>IF('[3]BASE'!GW54=0,"",'[3]BASE'!GW54)</f>
        <v>XXXX</v>
      </c>
      <c r="M54" s="911" t="str">
        <f>IF('[3]BASE'!GX54=0,"",'[3]BASE'!GX54)</f>
        <v>XXXX</v>
      </c>
      <c r="N54" s="911" t="str">
        <f>IF('[3]BASE'!GY54=0,"",'[3]BASE'!GY54)</f>
        <v>XXXX</v>
      </c>
      <c r="O54" s="911" t="str">
        <f>IF('[3]BASE'!GZ54=0,"",'[3]BASE'!GZ54)</f>
        <v>XXXX</v>
      </c>
      <c r="P54" s="911" t="str">
        <f>IF('[3]BASE'!HA54=0,"",'[3]BASE'!HA54)</f>
        <v>XXXX</v>
      </c>
      <c r="Q54" s="911" t="str">
        <f>IF('[3]BASE'!HB54=0,"",'[3]BASE'!HB54)</f>
        <v>XXXX</v>
      </c>
      <c r="R54" s="911" t="str">
        <f>IF('[3]BASE'!HC54=0,"",'[3]BASE'!HC54)</f>
        <v>XXXX</v>
      </c>
      <c r="S54" s="911" t="str">
        <f>IF('[3]BASE'!HD54=0,"",'[3]BASE'!HD54)</f>
        <v>XXXX</v>
      </c>
      <c r="T54" s="912"/>
      <c r="U54" s="908"/>
    </row>
    <row r="55" spans="2:21" s="902" customFormat="1" ht="19.5" customHeight="1">
      <c r="B55" s="903"/>
      <c r="C55" s="915">
        <f>IF('[3]BASE'!C55=0,"",'[3]BASE'!C55)</f>
        <v>39</v>
      </c>
      <c r="D55" s="915" t="str">
        <f>IF('[3]BASE'!D55=0,"",'[3]BASE'!D55)</f>
        <v>RECREO - MALVINAS ARG. </v>
      </c>
      <c r="E55" s="915">
        <f>IF('[3]BASE'!E55=0,"",'[3]BASE'!E55)</f>
        <v>500</v>
      </c>
      <c r="F55" s="915">
        <f>IF('[3]BASE'!F55=0,"",'[3]BASE'!F55)</f>
        <v>259</v>
      </c>
      <c r="G55" s="916" t="str">
        <f>IF('[2]BASE'!G55=0,"",'[2]BASE'!G55)</f>
        <v>C</v>
      </c>
      <c r="H55" s="911">
        <f>IF('[3]BASE'!GS55=0,"",'[3]BASE'!GS55)</f>
      </c>
      <c r="I55" s="911">
        <f>IF('[3]BASE'!GT55=0,"",'[3]BASE'!GT55)</f>
      </c>
      <c r="J55" s="911">
        <f>IF('[3]BASE'!GU55=0,"",'[3]BASE'!GU55)</f>
      </c>
      <c r="K55" s="911">
        <f>IF('[3]BASE'!GV55=0,"",'[3]BASE'!GV55)</f>
      </c>
      <c r="L55" s="911">
        <f>IF('[3]BASE'!GW55=0,"",'[3]BASE'!GW55)</f>
      </c>
      <c r="M55" s="911">
        <f>IF('[3]BASE'!GX55=0,"",'[3]BASE'!GX55)</f>
      </c>
      <c r="N55" s="911">
        <f>IF('[3]BASE'!GY55=0,"",'[3]BASE'!GY55)</f>
      </c>
      <c r="O55" s="911">
        <f>IF('[3]BASE'!GZ55=0,"",'[3]BASE'!GZ55)</f>
      </c>
      <c r="P55" s="911">
        <f>IF('[3]BASE'!HA55=0,"",'[3]BASE'!HA55)</f>
      </c>
      <c r="Q55" s="911">
        <f>IF('[3]BASE'!HB55=0,"",'[3]BASE'!HB55)</f>
      </c>
      <c r="R55" s="911">
        <f>IF('[3]BASE'!HC55=0,"",'[3]BASE'!HC55)</f>
      </c>
      <c r="S55" s="911">
        <f>IF('[3]BASE'!HD55=0,"",'[3]BASE'!HD55)</f>
      </c>
      <c r="T55" s="912"/>
      <c r="U55" s="908"/>
    </row>
    <row r="56" spans="2:21" s="902" customFormat="1" ht="19.5" customHeight="1">
      <c r="B56" s="903"/>
      <c r="C56" s="913">
        <f>IF('[3]BASE'!C56=0,"",'[3]BASE'!C56)</f>
        <v>40</v>
      </c>
      <c r="D56" s="913" t="str">
        <f>IF('[3]BASE'!D56=0,"",'[3]BASE'!D56)</f>
        <v>RIO GRANDE - EMBALSE</v>
      </c>
      <c r="E56" s="913">
        <f>IF('[3]BASE'!E56=0,"",'[3]BASE'!E56)</f>
        <v>500</v>
      </c>
      <c r="F56" s="913">
        <f>IF('[3]BASE'!F56=0,"",'[3]BASE'!F56)</f>
        <v>30</v>
      </c>
      <c r="G56" s="914" t="str">
        <f>IF('[2]BASE'!G56=0,"",'[2]BASE'!G56)</f>
        <v>B</v>
      </c>
      <c r="H56" s="911">
        <f>IF('[3]BASE'!GS56=0,"",'[3]BASE'!GS56)</f>
      </c>
      <c r="I56" s="911">
        <f>IF('[3]BASE'!GT56=0,"",'[3]BASE'!GT56)</f>
      </c>
      <c r="J56" s="911">
        <f>IF('[3]BASE'!GU56=0,"",'[3]BASE'!GU56)</f>
      </c>
      <c r="K56" s="911">
        <f>IF('[3]BASE'!GV56=0,"",'[3]BASE'!GV56)</f>
      </c>
      <c r="L56" s="911">
        <f>IF('[3]BASE'!GW56=0,"",'[3]BASE'!GW56)</f>
      </c>
      <c r="M56" s="911">
        <f>IF('[3]BASE'!GX56=0,"",'[3]BASE'!GX56)</f>
      </c>
      <c r="N56" s="911">
        <f>IF('[3]BASE'!GY56=0,"",'[3]BASE'!GY56)</f>
      </c>
      <c r="O56" s="911">
        <f>IF('[3]BASE'!GZ56=0,"",'[3]BASE'!GZ56)</f>
      </c>
      <c r="P56" s="911">
        <f>IF('[3]BASE'!HA56=0,"",'[3]BASE'!HA56)</f>
      </c>
      <c r="Q56" s="911">
        <f>IF('[3]BASE'!HB56=0,"",'[3]BASE'!HB56)</f>
      </c>
      <c r="R56" s="911">
        <f>IF('[3]BASE'!HC56=0,"",'[3]BASE'!HC56)</f>
      </c>
      <c r="S56" s="911">
        <f>IF('[3]BASE'!HD56=0,"",'[3]BASE'!HD56)</f>
      </c>
      <c r="T56" s="912"/>
      <c r="U56" s="908"/>
    </row>
    <row r="57" spans="2:21" s="902" customFormat="1" ht="19.5" customHeight="1">
      <c r="B57" s="903"/>
      <c r="C57" s="915">
        <f>IF('[3]BASE'!C57=0,"",'[3]BASE'!C57)</f>
        <v>41</v>
      </c>
      <c r="D57" s="915" t="str">
        <f>IF('[3]BASE'!D57=0,"",'[3]BASE'!D57)</f>
        <v>RIO GRANDE - GRAN MENDOZA</v>
      </c>
      <c r="E57" s="915">
        <f>IF('[3]BASE'!E57=0,"",'[3]BASE'!E57)</f>
        <v>500</v>
      </c>
      <c r="F57" s="915">
        <f>IF('[3]BASE'!F57=0,"",'[3]BASE'!F57)</f>
        <v>407</v>
      </c>
      <c r="G57" s="916" t="str">
        <f>IF('[2]BASE'!G57=0,"",'[2]BASE'!G57)</f>
        <v>B</v>
      </c>
      <c r="H57" s="911" t="str">
        <f>IF('[3]BASE'!GS57=0,"",'[3]BASE'!GS57)</f>
        <v>XXXX</v>
      </c>
      <c r="I57" s="911" t="str">
        <f>IF('[3]BASE'!GT57=0,"",'[3]BASE'!GT57)</f>
        <v>XXXX</v>
      </c>
      <c r="J57" s="911" t="str">
        <f>IF('[3]BASE'!GU57=0,"",'[3]BASE'!GU57)</f>
        <v>XXXX</v>
      </c>
      <c r="K57" s="911" t="str">
        <f>IF('[3]BASE'!GV57=0,"",'[3]BASE'!GV57)</f>
        <v>XXXX</v>
      </c>
      <c r="L57" s="911" t="str">
        <f>IF('[3]BASE'!GW57=0,"",'[3]BASE'!GW57)</f>
        <v>XXXX</v>
      </c>
      <c r="M57" s="911" t="str">
        <f>IF('[3]BASE'!GX57=0,"",'[3]BASE'!GX57)</f>
        <v>XXXX</v>
      </c>
      <c r="N57" s="911" t="str">
        <f>IF('[3]BASE'!GY57=0,"",'[3]BASE'!GY57)</f>
        <v>XXXX</v>
      </c>
      <c r="O57" s="911" t="str">
        <f>IF('[3]BASE'!GZ57=0,"",'[3]BASE'!GZ57)</f>
        <v>XXXX</v>
      </c>
      <c r="P57" s="911" t="str">
        <f>IF('[3]BASE'!HA57=0,"",'[3]BASE'!HA57)</f>
        <v>XXXX</v>
      </c>
      <c r="Q57" s="911" t="str">
        <f>IF('[3]BASE'!HB57=0,"",'[3]BASE'!HB57)</f>
        <v>XXXX</v>
      </c>
      <c r="R57" s="911" t="str">
        <f>IF('[3]BASE'!HC57=0,"",'[3]BASE'!HC57)</f>
        <v>XXXX</v>
      </c>
      <c r="S57" s="911" t="str">
        <f>IF('[3]BASE'!HD57=0,"",'[3]BASE'!HD57)</f>
        <v>XXXX</v>
      </c>
      <c r="T57" s="912"/>
      <c r="U57" s="908"/>
    </row>
    <row r="58" spans="2:21" s="902" customFormat="1" ht="19.5" customHeight="1">
      <c r="B58" s="903"/>
      <c r="C58" s="913">
        <f>IF('[3]BASE'!C58=0,"",'[3]BASE'!C58)</f>
        <v>42</v>
      </c>
      <c r="D58" s="913" t="str">
        <f>IF('[3]BASE'!D58=0,"",'[3]BASE'!D58)</f>
        <v>RIO GRANDE - LUJAN</v>
      </c>
      <c r="E58" s="913">
        <f>IF('[3]BASE'!E58=0,"",'[3]BASE'!E58)</f>
        <v>500</v>
      </c>
      <c r="F58" s="913">
        <f>IF('[3]BASE'!F58=0,"",'[3]BASE'!F58)</f>
        <v>150</v>
      </c>
      <c r="G58" s="914" t="str">
        <f>IF('[2]BASE'!G58=0,"",'[2]BASE'!G58)</f>
        <v>A</v>
      </c>
      <c r="H58" s="911">
        <f>IF('[3]BASE'!GS58=0,"",'[3]BASE'!GS58)</f>
      </c>
      <c r="I58" s="911">
        <f>IF('[3]BASE'!GT58=0,"",'[3]BASE'!GT58)</f>
      </c>
      <c r="J58" s="911">
        <f>IF('[3]BASE'!GU58=0,"",'[3]BASE'!GU58)</f>
      </c>
      <c r="K58" s="911">
        <f>IF('[3]BASE'!GV58=0,"",'[3]BASE'!GV58)</f>
      </c>
      <c r="L58" s="911">
        <f>IF('[3]BASE'!GW58=0,"",'[3]BASE'!GW58)</f>
      </c>
      <c r="M58" s="911">
        <f>IF('[3]BASE'!GX58=0,"",'[3]BASE'!GX58)</f>
      </c>
      <c r="N58" s="911">
        <f>IF('[3]BASE'!GY58=0,"",'[3]BASE'!GY58)</f>
      </c>
      <c r="O58" s="911">
        <f>IF('[3]BASE'!GZ58=0,"",'[3]BASE'!GZ58)</f>
      </c>
      <c r="P58" s="911">
        <f>IF('[3]BASE'!HA58=0,"",'[3]BASE'!HA58)</f>
      </c>
      <c r="Q58" s="911">
        <f>IF('[3]BASE'!HB58=0,"",'[3]BASE'!HB58)</f>
      </c>
      <c r="R58" s="911">
        <f>IF('[3]BASE'!HC58=0,"",'[3]BASE'!HC58)</f>
      </c>
      <c r="S58" s="911">
        <f>IF('[3]BASE'!HD58=0,"",'[3]BASE'!HD58)</f>
      </c>
      <c r="T58" s="912"/>
      <c r="U58" s="908"/>
    </row>
    <row r="59" spans="2:21" s="902" customFormat="1" ht="19.5" customHeight="1">
      <c r="B59" s="903"/>
      <c r="C59" s="915">
        <f>IF('[3]BASE'!C59=0,"",'[3]BASE'!C59)</f>
        <v>43</v>
      </c>
      <c r="D59" s="915" t="str">
        <f>IF('[3]BASE'!D59=0,"",'[3]BASE'!D59)</f>
        <v>LUJAN - GRAN MENDOZA</v>
      </c>
      <c r="E59" s="915">
        <f>IF('[3]BASE'!E59=0,"",'[3]BASE'!E59)</f>
        <v>500</v>
      </c>
      <c r="F59" s="915">
        <f>IF('[3]BASE'!F59=0,"",'[3]BASE'!F59)</f>
        <v>257</v>
      </c>
      <c r="G59" s="916" t="str">
        <f>IF('[2]BASE'!G59=0,"",'[2]BASE'!G59)</f>
        <v>B</v>
      </c>
      <c r="H59" s="911">
        <f>IF('[3]BASE'!GS59=0,"",'[3]BASE'!GS59)</f>
      </c>
      <c r="I59" s="911">
        <f>IF('[3]BASE'!GT59=0,"",'[3]BASE'!GT59)</f>
      </c>
      <c r="J59" s="911">
        <f>IF('[3]BASE'!GU59=0,"",'[3]BASE'!GU59)</f>
      </c>
      <c r="K59" s="911">
        <f>IF('[3]BASE'!GV59=0,"",'[3]BASE'!GV59)</f>
      </c>
      <c r="L59" s="911">
        <f>IF('[3]BASE'!GW59=0,"",'[3]BASE'!GW59)</f>
      </c>
      <c r="M59" s="911">
        <f>IF('[3]BASE'!GX59=0,"",'[3]BASE'!GX59)</f>
      </c>
      <c r="N59" s="911">
        <f>IF('[3]BASE'!GY59=0,"",'[3]BASE'!GY59)</f>
      </c>
      <c r="O59" s="911">
        <f>IF('[3]BASE'!GZ59=0,"",'[3]BASE'!GZ59)</f>
      </c>
      <c r="P59" s="911">
        <f>IF('[3]BASE'!HA59=0,"",'[3]BASE'!HA59)</f>
      </c>
      <c r="Q59" s="911">
        <f>IF('[3]BASE'!HB59=0,"",'[3]BASE'!HB59)</f>
      </c>
      <c r="R59" s="911">
        <f>IF('[3]BASE'!HC59=0,"",'[3]BASE'!HC59)</f>
      </c>
      <c r="S59" s="911">
        <f>IF('[3]BASE'!HD59=0,"",'[3]BASE'!HD59)</f>
      </c>
      <c r="T59" s="912"/>
      <c r="U59" s="908"/>
    </row>
    <row r="60" spans="2:21" s="902" customFormat="1" ht="19.5" customHeight="1">
      <c r="B60" s="903"/>
      <c r="C60" s="913">
        <f>IF('[3]BASE'!C60=0,"",'[3]BASE'!C60)</f>
        <v>44</v>
      </c>
      <c r="D60" s="913" t="str">
        <f>IF('[3]BASE'!D60=0,"",'[3]BASE'!D60)</f>
        <v>ROMANG - RESISTENCIA</v>
      </c>
      <c r="E60" s="913">
        <f>IF('[3]BASE'!E60=0,"",'[3]BASE'!E60)</f>
        <v>500</v>
      </c>
      <c r="F60" s="913">
        <f>IF('[3]BASE'!F60=0,"",'[3]BASE'!F60)</f>
        <v>256</v>
      </c>
      <c r="G60" s="914" t="str">
        <f>IF('[2]BASE'!G60=0,"",'[2]BASE'!G60)</f>
        <v>A</v>
      </c>
      <c r="H60" s="911">
        <f>IF('[3]BASE'!GS60=0,"",'[3]BASE'!GS60)</f>
      </c>
      <c r="I60" s="911">
        <f>IF('[3]BASE'!GT60=0,"",'[3]BASE'!GT60)</f>
      </c>
      <c r="J60" s="911">
        <f>IF('[3]BASE'!GU60=0,"",'[3]BASE'!GU60)</f>
      </c>
      <c r="K60" s="911">
        <f>IF('[3]BASE'!GV60=0,"",'[3]BASE'!GV60)</f>
      </c>
      <c r="L60" s="911">
        <f>IF('[3]BASE'!GW60=0,"",'[3]BASE'!GW60)</f>
      </c>
      <c r="M60" s="911">
        <f>IF('[3]BASE'!GX60=0,"",'[3]BASE'!GX60)</f>
      </c>
      <c r="N60" s="911">
        <f>IF('[3]BASE'!GY60=0,"",'[3]BASE'!GY60)</f>
      </c>
      <c r="O60" s="911">
        <f>IF('[3]BASE'!GZ60=0,"",'[3]BASE'!GZ60)</f>
        <v>1</v>
      </c>
      <c r="P60" s="911">
        <f>IF('[3]BASE'!HA60=0,"",'[3]BASE'!HA60)</f>
      </c>
      <c r="Q60" s="911">
        <f>IF('[3]BASE'!HB60=0,"",'[3]BASE'!HB60)</f>
      </c>
      <c r="R60" s="911">
        <f>IF('[3]BASE'!HC60=0,"",'[3]BASE'!HC60)</f>
      </c>
      <c r="S60" s="911">
        <f>IF('[3]BASE'!HD60=0,"",'[3]BASE'!HD60)</f>
      </c>
      <c r="T60" s="912"/>
      <c r="U60" s="908"/>
    </row>
    <row r="61" spans="2:21" s="902" customFormat="1" ht="19.5" customHeight="1">
      <c r="B61" s="903"/>
      <c r="C61" s="915">
        <f>IF('[3]BASE'!C61=0,"",'[3]BASE'!C61)</f>
        <v>45</v>
      </c>
      <c r="D61" s="915" t="str">
        <f>IF('[3]BASE'!D61=0,"",'[3]BASE'!D61)</f>
        <v>ROSARIO OESTE -SANTO TOME</v>
      </c>
      <c r="E61" s="915">
        <f>IF('[3]BASE'!E61=0,"",'[3]BASE'!E61)</f>
        <v>500</v>
      </c>
      <c r="F61" s="915">
        <f>IF('[3]BASE'!F61=0,"",'[3]BASE'!F61)</f>
        <v>159</v>
      </c>
      <c r="G61" s="916" t="str">
        <f>IF('[2]BASE'!G61=0,"",'[2]BASE'!G61)</f>
        <v>C</v>
      </c>
      <c r="H61" s="911" t="str">
        <f>IF('[3]BASE'!GS61=0,"",'[3]BASE'!GS61)</f>
        <v>XXXX</v>
      </c>
      <c r="I61" s="911" t="str">
        <f>IF('[3]BASE'!GT61=0,"",'[3]BASE'!GT61)</f>
        <v>XXXX</v>
      </c>
      <c r="J61" s="911" t="str">
        <f>IF('[3]BASE'!GU61=0,"",'[3]BASE'!GU61)</f>
        <v>XXXX</v>
      </c>
      <c r="K61" s="911" t="str">
        <f>IF('[3]BASE'!GV61=0,"",'[3]BASE'!GV61)</f>
        <v>XXXX</v>
      </c>
      <c r="L61" s="911" t="str">
        <f>IF('[3]BASE'!GW61=0,"",'[3]BASE'!GW61)</f>
        <v>XXXX</v>
      </c>
      <c r="M61" s="911" t="str">
        <f>IF('[3]BASE'!GX61=0,"",'[3]BASE'!GX61)</f>
        <v>XXXX</v>
      </c>
      <c r="N61" s="911" t="str">
        <f>IF('[3]BASE'!GY61=0,"",'[3]BASE'!GY61)</f>
        <v>XXXX</v>
      </c>
      <c r="O61" s="911" t="str">
        <f>IF('[3]BASE'!GZ61=0,"",'[3]BASE'!GZ61)</f>
        <v>XXXX</v>
      </c>
      <c r="P61" s="911" t="str">
        <f>IF('[3]BASE'!HA61=0,"",'[3]BASE'!HA61)</f>
        <v>XXXX</v>
      </c>
      <c r="Q61" s="911" t="str">
        <f>IF('[3]BASE'!HB61=0,"",'[3]BASE'!HB61)</f>
        <v>XXXX</v>
      </c>
      <c r="R61" s="911" t="str">
        <f>IF('[3]BASE'!HC61=0,"",'[3]BASE'!HC61)</f>
        <v>XXXX</v>
      </c>
      <c r="S61" s="911" t="str">
        <f>IF('[3]BASE'!HD61=0,"",'[3]BASE'!HD61)</f>
        <v>XXXX</v>
      </c>
      <c r="T61" s="912"/>
      <c r="U61" s="908"/>
    </row>
    <row r="62" spans="2:21" s="902" customFormat="1" ht="19.5" customHeight="1">
      <c r="B62" s="903"/>
      <c r="C62" s="913">
        <f>IF('[3]BASE'!C62=0,"",'[3]BASE'!C62)</f>
      </c>
      <c r="D62" s="913" t="str">
        <f>IF('[3]BASE'!D62=0,"",'[3]BASE'!D62)</f>
        <v>ROSARIO OESTE - RIO CORONDA</v>
      </c>
      <c r="E62" s="913">
        <f>IF('[3]BASE'!E62=0,"",'[3]BASE'!E62)</f>
        <v>500</v>
      </c>
      <c r="F62" s="913">
        <f>IF('[3]BASE'!F62=0,"",'[3]BASE'!F62)</f>
        <v>64.99</v>
      </c>
      <c r="G62" s="914" t="str">
        <f>IF('[2]BASE'!G62=0,"",'[2]BASE'!G62)</f>
        <v>C</v>
      </c>
      <c r="H62" s="911">
        <f>IF('[3]BASE'!GS62=0,"",'[3]BASE'!GS62)</f>
      </c>
      <c r="I62" s="911">
        <f>IF('[3]BASE'!GT62=0,"",'[3]BASE'!GT62)</f>
      </c>
      <c r="J62" s="911">
        <f>IF('[3]BASE'!GU62=0,"",'[3]BASE'!GU62)</f>
      </c>
      <c r="K62" s="911">
        <f>IF('[3]BASE'!GV62=0,"",'[3]BASE'!GV62)</f>
      </c>
      <c r="L62" s="911">
        <f>IF('[3]BASE'!GW62=0,"",'[3]BASE'!GW62)</f>
      </c>
      <c r="M62" s="911">
        <f>IF('[3]BASE'!GX62=0,"",'[3]BASE'!GX62)</f>
      </c>
      <c r="N62" s="911">
        <f>IF('[3]BASE'!GY62=0,"",'[3]BASE'!GY62)</f>
      </c>
      <c r="O62" s="911">
        <f>IF('[3]BASE'!GZ62=0,"",'[3]BASE'!GZ62)</f>
      </c>
      <c r="P62" s="911">
        <f>IF('[3]BASE'!HA62=0,"",'[3]BASE'!HA62)</f>
      </c>
      <c r="Q62" s="911">
        <f>IF('[3]BASE'!HB62=0,"",'[3]BASE'!HB62)</f>
      </c>
      <c r="R62" s="911">
        <f>IF('[3]BASE'!HC62=0,"",'[3]BASE'!HC62)</f>
      </c>
      <c r="S62" s="911">
        <f>IF('[3]BASE'!HD62=0,"",'[3]BASE'!HD62)</f>
      </c>
      <c r="T62" s="912"/>
      <c r="U62" s="908"/>
    </row>
    <row r="63" spans="2:21" s="902" customFormat="1" ht="19.5" customHeight="1">
      <c r="B63" s="903"/>
      <c r="C63" s="915">
        <f>IF('[3]BASE'!C63=0,"",'[3]BASE'!C63)</f>
      </c>
      <c r="D63" s="915" t="str">
        <f>IF('[3]BASE'!D63=0,"",'[3]BASE'!D63)</f>
        <v>RIO CORONDA - SANTO TOME</v>
      </c>
      <c r="E63" s="915">
        <f>IF('[3]BASE'!E63=0,"",'[3]BASE'!E63)</f>
        <v>500</v>
      </c>
      <c r="F63" s="915">
        <f>IF('[3]BASE'!F63=0,"",'[3]BASE'!F63)</f>
        <v>137.94</v>
      </c>
      <c r="G63" s="916" t="str">
        <f>IF('[2]BASE'!G63=0,"",'[2]BASE'!G63)</f>
        <v>A</v>
      </c>
      <c r="H63" s="911">
        <f>IF('[3]BASE'!GS63=0,"",'[3]BASE'!GS63)</f>
      </c>
      <c r="I63" s="911">
        <f>IF('[3]BASE'!GT63=0,"",'[3]BASE'!GT63)</f>
      </c>
      <c r="J63" s="911">
        <f>IF('[3]BASE'!GU63=0,"",'[3]BASE'!GU63)</f>
        <v>1</v>
      </c>
      <c r="K63" s="911">
        <f>IF('[3]BASE'!GV63=0,"",'[3]BASE'!GV63)</f>
      </c>
      <c r="L63" s="911">
        <f>IF('[3]BASE'!GW63=0,"",'[3]BASE'!GW63)</f>
      </c>
      <c r="M63" s="911">
        <f>IF('[3]BASE'!GX63=0,"",'[3]BASE'!GX63)</f>
      </c>
      <c r="N63" s="911">
        <f>IF('[3]BASE'!GY63=0,"",'[3]BASE'!GY63)</f>
      </c>
      <c r="O63" s="911">
        <f>IF('[3]BASE'!GZ63=0,"",'[3]BASE'!GZ63)</f>
      </c>
      <c r="P63" s="911">
        <f>IF('[3]BASE'!HA63=0,"",'[3]BASE'!HA63)</f>
      </c>
      <c r="Q63" s="911">
        <f>IF('[3]BASE'!HB63=0,"",'[3]BASE'!HB63)</f>
      </c>
      <c r="R63" s="911">
        <f>IF('[3]BASE'!HC63=0,"",'[3]BASE'!HC63)</f>
      </c>
      <c r="S63" s="911">
        <f>IF('[3]BASE'!HD63=0,"",'[3]BASE'!HD63)</f>
      </c>
      <c r="T63" s="912"/>
      <c r="U63" s="908"/>
    </row>
    <row r="64" spans="2:21" s="902" customFormat="1" ht="21" customHeight="1">
      <c r="B64" s="903"/>
      <c r="C64" s="913">
        <f>IF('[3]BASE'!C64=0,"",'[3]BASE'!C64)</f>
        <v>46</v>
      </c>
      <c r="D64" s="913" t="str">
        <f>IF('[3]BASE'!D64=0,"",'[3]BASE'!D64)</f>
        <v>SALTO GRANDE - SANTO TOME </v>
      </c>
      <c r="E64" s="913">
        <f>IF('[3]BASE'!E64=0,"",'[3]BASE'!E64)</f>
        <v>500</v>
      </c>
      <c r="F64" s="913">
        <f>IF('[3]BASE'!F64=0,"",'[3]BASE'!F64)</f>
        <v>289</v>
      </c>
      <c r="G64" s="914" t="str">
        <f>IF('[2]BASE'!G64=0,"",'[2]BASE'!G64)</f>
        <v>C</v>
      </c>
      <c r="H64" s="911">
        <f>IF('[3]BASE'!GS64=0,"",'[3]BASE'!GS64)</f>
        <v>1</v>
      </c>
      <c r="I64" s="911">
        <f>IF('[3]BASE'!GT64=0,"",'[3]BASE'!GT64)</f>
      </c>
      <c r="J64" s="911">
        <f>IF('[3]BASE'!GU64=0,"",'[3]BASE'!GU64)</f>
        <v>1</v>
      </c>
      <c r="K64" s="911">
        <f>IF('[3]BASE'!GV64=0,"",'[3]BASE'!GV64)</f>
      </c>
      <c r="L64" s="911">
        <f>IF('[3]BASE'!GW64=0,"",'[3]BASE'!GW64)</f>
      </c>
      <c r="M64" s="911">
        <f>IF('[3]BASE'!GX64=0,"",'[3]BASE'!GX64)</f>
      </c>
      <c r="N64" s="911">
        <f>IF('[3]BASE'!GY64=0,"",'[3]BASE'!GY64)</f>
      </c>
      <c r="O64" s="911">
        <f>IF('[3]BASE'!GZ64=0,"",'[3]BASE'!GZ64)</f>
      </c>
      <c r="P64" s="911">
        <f>IF('[3]BASE'!HA64=0,"",'[3]BASE'!HA64)</f>
      </c>
      <c r="Q64" s="911">
        <f>IF('[3]BASE'!HB64=0,"",'[3]BASE'!HB64)</f>
        <v>1</v>
      </c>
      <c r="R64" s="911">
        <f>IF('[3]BASE'!HC64=0,"",'[3]BASE'!HC64)</f>
      </c>
      <c r="S64" s="911">
        <f>IF('[3]BASE'!HD64=0,"",'[3]BASE'!HD64)</f>
      </c>
      <c r="T64" s="912"/>
      <c r="U64" s="908"/>
    </row>
    <row r="65" spans="2:21" s="902" customFormat="1" ht="19.5" customHeight="1">
      <c r="B65" s="903"/>
      <c r="C65" s="915">
        <f>IF('[3]BASE'!C65=0,"",'[3]BASE'!C65)</f>
        <v>47</v>
      </c>
      <c r="D65" s="915" t="str">
        <f>IF('[3]BASE'!D65=0,"",'[3]BASE'!D65)</f>
        <v>SANTO TOME - ROMANG </v>
      </c>
      <c r="E65" s="915">
        <f>IF('[3]BASE'!E65=0,"",'[3]BASE'!E65)</f>
        <v>500</v>
      </c>
      <c r="F65" s="915">
        <f>IF('[3]BASE'!F65=0,"",'[3]BASE'!F65)</f>
        <v>270</v>
      </c>
      <c r="G65" s="916" t="str">
        <f>IF('[2]BASE'!G65=0,"",'[2]BASE'!G65)</f>
        <v>C</v>
      </c>
      <c r="H65" s="911">
        <f>IF('[3]BASE'!GS65=0,"",'[3]BASE'!GS65)</f>
      </c>
      <c r="I65" s="911">
        <f>IF('[3]BASE'!GT65=0,"",'[3]BASE'!GT65)</f>
      </c>
      <c r="J65" s="911">
        <f>IF('[3]BASE'!GU65=0,"",'[3]BASE'!GU65)</f>
      </c>
      <c r="K65" s="911">
        <f>IF('[3]BASE'!GV65=0,"",'[3]BASE'!GV65)</f>
      </c>
      <c r="L65" s="911">
        <f>IF('[3]BASE'!GW65=0,"",'[3]BASE'!GW65)</f>
      </c>
      <c r="M65" s="911">
        <f>IF('[3]BASE'!GX65=0,"",'[3]BASE'!GX65)</f>
      </c>
      <c r="N65" s="911">
        <f>IF('[3]BASE'!GY65=0,"",'[3]BASE'!GY65)</f>
      </c>
      <c r="O65" s="911">
        <f>IF('[3]BASE'!GZ65=0,"",'[3]BASE'!GZ65)</f>
      </c>
      <c r="P65" s="911">
        <f>IF('[3]BASE'!HA65=0,"",'[3]BASE'!HA65)</f>
      </c>
      <c r="Q65" s="911">
        <f>IF('[3]BASE'!HB65=0,"",'[3]BASE'!HB65)</f>
      </c>
      <c r="R65" s="911">
        <f>IF('[3]BASE'!HC65=0,"",'[3]BASE'!HC65)</f>
      </c>
      <c r="S65" s="911">
        <f>IF('[3]BASE'!HD65=0,"",'[3]BASE'!HD65)</f>
      </c>
      <c r="T65" s="912"/>
      <c r="U65" s="908"/>
    </row>
    <row r="66" spans="2:21" s="902" customFormat="1" ht="19.5" customHeight="1">
      <c r="B66" s="903"/>
      <c r="C66" s="913">
        <f>IF('[3]BASE'!C66=0,"",'[3]BASE'!C66)</f>
      </c>
      <c r="D66" s="913">
        <f>IF('[3]BASE'!D66=0,"",'[3]BASE'!D66)</f>
      </c>
      <c r="E66" s="913">
        <f>IF('[3]BASE'!E66=0,"",'[3]BASE'!E66)</f>
      </c>
      <c r="F66" s="913">
        <f>IF('[3]BASE'!F66=0,"",'[3]BASE'!F66)</f>
      </c>
      <c r="G66" s="914" t="str">
        <f>IF('[2]BASE'!G66=0,"",'[2]BASE'!G66)</f>
        <v>C</v>
      </c>
      <c r="H66" s="911">
        <f>IF('[3]BASE'!GS66=0,"",'[3]BASE'!GS66)</f>
      </c>
      <c r="I66" s="911">
        <f>IF('[3]BASE'!GT66=0,"",'[3]BASE'!GT66)</f>
      </c>
      <c r="J66" s="911">
        <f>IF('[3]BASE'!GU66=0,"",'[3]BASE'!GU66)</f>
      </c>
      <c r="K66" s="911">
        <f>IF('[3]BASE'!GV66=0,"",'[3]BASE'!GV66)</f>
      </c>
      <c r="L66" s="911">
        <f>IF('[3]BASE'!GW66=0,"",'[3]BASE'!GW66)</f>
      </c>
      <c r="M66" s="911">
        <f>IF('[3]BASE'!GX66=0,"",'[3]BASE'!GX66)</f>
      </c>
      <c r="N66" s="911">
        <f>IF('[3]BASE'!GY66=0,"",'[3]BASE'!GY66)</f>
      </c>
      <c r="O66" s="911">
        <f>IF('[3]BASE'!GZ66=0,"",'[3]BASE'!GZ66)</f>
      </c>
      <c r="P66" s="911">
        <f>IF('[3]BASE'!HA66=0,"",'[3]BASE'!HA66)</f>
      </c>
      <c r="Q66" s="911">
        <f>IF('[3]BASE'!HB66=0,"",'[3]BASE'!HB66)</f>
      </c>
      <c r="R66" s="911">
        <f>IF('[3]BASE'!HC66=0,"",'[3]BASE'!HC66)</f>
      </c>
      <c r="S66" s="911">
        <f>IF('[3]BASE'!HD66=0,"",'[3]BASE'!HD66)</f>
      </c>
      <c r="T66" s="912"/>
      <c r="U66" s="908"/>
    </row>
    <row r="67" spans="2:21" s="902" customFormat="1" ht="19.5" customHeight="1">
      <c r="B67" s="903"/>
      <c r="C67" s="915">
        <f>IF('[3]BASE'!C67=0,"",'[3]BASE'!C67)</f>
        <v>48</v>
      </c>
      <c r="D67" s="915" t="str">
        <f>IF('[3]BASE'!D67=0,"",'[3]BASE'!D67)</f>
        <v>GRAL. RODRIGUEZ - VILLA  LIA 1</v>
      </c>
      <c r="E67" s="915">
        <f>IF('[3]BASE'!E67=0,"",'[3]BASE'!E67)</f>
        <v>220</v>
      </c>
      <c r="F67" s="915">
        <f>IF('[3]BASE'!F67=0,"",'[3]BASE'!F67)</f>
        <v>61</v>
      </c>
      <c r="G67" s="916" t="str">
        <f>IF('[2]BASE'!G67=0,"",'[2]BASE'!G67)</f>
        <v>C</v>
      </c>
      <c r="H67" s="911">
        <f>IF('[3]BASE'!GS67=0,"",'[3]BASE'!GS67)</f>
      </c>
      <c r="I67" s="911">
        <f>IF('[3]BASE'!GT67=0,"",'[3]BASE'!GT67)</f>
      </c>
      <c r="J67" s="911">
        <f>IF('[3]BASE'!GU67=0,"",'[3]BASE'!GU67)</f>
      </c>
      <c r="K67" s="911">
        <f>IF('[3]BASE'!GV67=0,"",'[3]BASE'!GV67)</f>
      </c>
      <c r="L67" s="911">
        <f>IF('[3]BASE'!GW67=0,"",'[3]BASE'!GW67)</f>
      </c>
      <c r="M67" s="911">
        <f>IF('[3]BASE'!GX67=0,"",'[3]BASE'!GX67)</f>
      </c>
      <c r="N67" s="911">
        <f>IF('[3]BASE'!GY67=0,"",'[3]BASE'!GY67)</f>
      </c>
      <c r="O67" s="911">
        <f>IF('[3]BASE'!GZ67=0,"",'[3]BASE'!GZ67)</f>
        <v>1</v>
      </c>
      <c r="P67" s="911">
        <f>IF('[3]BASE'!HA67=0,"",'[3]BASE'!HA67)</f>
      </c>
      <c r="Q67" s="911">
        <f>IF('[3]BASE'!HB67=0,"",'[3]BASE'!HB67)</f>
      </c>
      <c r="R67" s="911">
        <f>IF('[3]BASE'!HC67=0,"",'[3]BASE'!HC67)</f>
      </c>
      <c r="S67" s="911">
        <f>IF('[3]BASE'!HD67=0,"",'[3]BASE'!HD67)</f>
      </c>
      <c r="T67" s="912"/>
      <c r="U67" s="908"/>
    </row>
    <row r="68" spans="2:21" s="902" customFormat="1" ht="19.5" customHeight="1">
      <c r="B68" s="903"/>
      <c r="C68" s="913">
        <f>IF('[3]BASE'!C68=0,"",'[3]BASE'!C68)</f>
        <v>49</v>
      </c>
      <c r="D68" s="913" t="str">
        <f>IF('[3]BASE'!D68=0,"",'[3]BASE'!D68)</f>
        <v>GRAL. RODRIGUEZ - VILLA  LIA 2</v>
      </c>
      <c r="E68" s="913">
        <f>IF('[3]BASE'!E68=0,"",'[3]BASE'!E68)</f>
        <v>220</v>
      </c>
      <c r="F68" s="913">
        <f>IF('[3]BASE'!F68=0,"",'[3]BASE'!F68)</f>
        <v>61</v>
      </c>
      <c r="G68" s="914" t="str">
        <f>IF('[2]BASE'!G68=0,"",'[2]BASE'!G68)</f>
        <v>C</v>
      </c>
      <c r="H68" s="911">
        <f>IF('[3]BASE'!GS68=0,"",'[3]BASE'!GS68)</f>
      </c>
      <c r="I68" s="911">
        <f>IF('[3]BASE'!GT68=0,"",'[3]BASE'!GT68)</f>
      </c>
      <c r="J68" s="911">
        <f>IF('[3]BASE'!GU68=0,"",'[3]BASE'!GU68)</f>
      </c>
      <c r="K68" s="911">
        <f>IF('[3]BASE'!GV68=0,"",'[3]BASE'!GV68)</f>
      </c>
      <c r="L68" s="911">
        <f>IF('[3]BASE'!GW68=0,"",'[3]BASE'!GW68)</f>
      </c>
      <c r="M68" s="911">
        <f>IF('[3]BASE'!GX68=0,"",'[3]BASE'!GX68)</f>
      </c>
      <c r="N68" s="911">
        <f>IF('[3]BASE'!GY68=0,"",'[3]BASE'!GY68)</f>
      </c>
      <c r="O68" s="911">
        <f>IF('[3]BASE'!GZ68=0,"",'[3]BASE'!GZ68)</f>
      </c>
      <c r="P68" s="911">
        <f>IF('[3]BASE'!HA68=0,"",'[3]BASE'!HA68)</f>
      </c>
      <c r="Q68" s="911">
        <f>IF('[3]BASE'!HB68=0,"",'[3]BASE'!HB68)</f>
      </c>
      <c r="R68" s="911">
        <f>IF('[3]BASE'!HC68=0,"",'[3]BASE'!HC68)</f>
      </c>
      <c r="S68" s="911">
        <f>IF('[3]BASE'!HD68=0,"",'[3]BASE'!HD68)</f>
      </c>
      <c r="T68" s="912"/>
      <c r="U68" s="908"/>
    </row>
    <row r="69" spans="2:21" s="902" customFormat="1" ht="19.5" customHeight="1">
      <c r="B69" s="903"/>
      <c r="C69" s="915">
        <f>IF('[3]BASE'!C69=0,"",'[3]BASE'!C69)</f>
        <v>50</v>
      </c>
      <c r="D69" s="915" t="str">
        <f>IF('[3]BASE'!D69=0,"",'[3]BASE'!D69)</f>
        <v>RAMALLO - SAN NICOLAS (2)</v>
      </c>
      <c r="E69" s="915">
        <f>IF('[3]BASE'!E69=0,"",'[3]BASE'!E69)</f>
        <v>220</v>
      </c>
      <c r="F69" s="916">
        <f>IF('[3]BASE'!F69=0,"",'[3]BASE'!F69)</f>
        <v>6</v>
      </c>
      <c r="G69" s="916" t="str">
        <f>IF('[2]BASE'!G69=0,"",'[2]BASE'!G69)</f>
        <v>C</v>
      </c>
      <c r="H69" s="911">
        <f>IF('[3]BASE'!GS69=0,"",'[3]BASE'!GS69)</f>
      </c>
      <c r="I69" s="911">
        <f>IF('[3]BASE'!GT69=0,"",'[3]BASE'!GT69)</f>
      </c>
      <c r="J69" s="911">
        <f>IF('[3]BASE'!GU69=0,"",'[3]BASE'!GU69)</f>
      </c>
      <c r="K69" s="911">
        <f>IF('[3]BASE'!GV69=0,"",'[3]BASE'!GV69)</f>
      </c>
      <c r="L69" s="911">
        <f>IF('[3]BASE'!GW69=0,"",'[3]BASE'!GW69)</f>
      </c>
      <c r="M69" s="911">
        <f>IF('[3]BASE'!GX69=0,"",'[3]BASE'!GX69)</f>
      </c>
      <c r="N69" s="911">
        <f>IF('[3]BASE'!GY69=0,"",'[3]BASE'!GY69)</f>
      </c>
      <c r="O69" s="911">
        <f>IF('[3]BASE'!GZ69=0,"",'[3]BASE'!GZ69)</f>
      </c>
      <c r="P69" s="911">
        <f>IF('[3]BASE'!HA69=0,"",'[3]BASE'!HA69)</f>
      </c>
      <c r="Q69" s="911">
        <f>IF('[3]BASE'!HB69=0,"",'[3]BASE'!HB69)</f>
      </c>
      <c r="R69" s="911">
        <f>IF('[3]BASE'!HC69=0,"",'[3]BASE'!HC69)</f>
      </c>
      <c r="S69" s="911">
        <f>IF('[3]BASE'!HD69=0,"",'[3]BASE'!HD69)</f>
      </c>
      <c r="T69" s="912"/>
      <c r="U69" s="908"/>
    </row>
    <row r="70" spans="2:21" s="902" customFormat="1" ht="19.5" customHeight="1">
      <c r="B70" s="903"/>
      <c r="C70" s="913">
        <f>IF('[3]BASE'!C70=0,"",'[3]BASE'!C70)</f>
        <v>51</v>
      </c>
      <c r="D70" s="913" t="str">
        <f>IF('[3]BASE'!D70=0,"",'[3]BASE'!D70)</f>
        <v>RAMALLO - SAN NICOLAS (1)</v>
      </c>
      <c r="E70" s="913">
        <f>IF('[3]BASE'!E70=0,"",'[3]BASE'!E70)</f>
        <v>220</v>
      </c>
      <c r="F70" s="914">
        <f>IF('[3]BASE'!F70=0,"",'[3]BASE'!F70)</f>
        <v>6</v>
      </c>
      <c r="G70" s="914" t="str">
        <f>IF('[2]BASE'!G70=0,"",'[2]BASE'!G70)</f>
        <v>C</v>
      </c>
      <c r="H70" s="911">
        <f>IF('[3]BASE'!GS70=0,"",'[3]BASE'!GS70)</f>
      </c>
      <c r="I70" s="911">
        <f>IF('[3]BASE'!GT70=0,"",'[3]BASE'!GT70)</f>
      </c>
      <c r="J70" s="911">
        <f>IF('[3]BASE'!GU70=0,"",'[3]BASE'!GU70)</f>
      </c>
      <c r="K70" s="911">
        <f>IF('[3]BASE'!GV70=0,"",'[3]BASE'!GV70)</f>
      </c>
      <c r="L70" s="911">
        <f>IF('[3]BASE'!GW70=0,"",'[3]BASE'!GW70)</f>
      </c>
      <c r="M70" s="911">
        <f>IF('[3]BASE'!GX70=0,"",'[3]BASE'!GX70)</f>
      </c>
      <c r="N70" s="911">
        <f>IF('[3]BASE'!GY70=0,"",'[3]BASE'!GY70)</f>
      </c>
      <c r="O70" s="911">
        <f>IF('[3]BASE'!GZ70=0,"",'[3]BASE'!GZ70)</f>
      </c>
      <c r="P70" s="911">
        <f>IF('[3]BASE'!HA70=0,"",'[3]BASE'!HA70)</f>
      </c>
      <c r="Q70" s="911">
        <f>IF('[3]BASE'!HB70=0,"",'[3]BASE'!HB70)</f>
      </c>
      <c r="R70" s="911">
        <f>IF('[3]BASE'!HC70=0,"",'[3]BASE'!HC70)</f>
      </c>
      <c r="S70" s="911">
        <f>IF('[3]BASE'!HD70=0,"",'[3]BASE'!HD70)</f>
      </c>
      <c r="T70" s="912"/>
      <c r="U70" s="908"/>
    </row>
    <row r="71" spans="2:21" s="902" customFormat="1" ht="19.5" customHeight="1">
      <c r="B71" s="903"/>
      <c r="C71" s="915">
        <f>IF('[3]BASE'!C71=0,"",'[3]BASE'!C71)</f>
        <v>52</v>
      </c>
      <c r="D71" s="915" t="str">
        <f>IF('[3]BASE'!D71=0,"",'[3]BASE'!D71)</f>
        <v>RAMALLO - VILLA LIA  1</v>
      </c>
      <c r="E71" s="915">
        <f>IF('[3]BASE'!E71=0,"",'[3]BASE'!E71)</f>
        <v>220</v>
      </c>
      <c r="F71" s="916">
        <f>IF('[3]BASE'!F71=0,"",'[3]BASE'!F71)</f>
        <v>114</v>
      </c>
      <c r="G71" s="916" t="str">
        <f>IF('[2]BASE'!G71=0,"",'[2]BASE'!G71)</f>
        <v>C</v>
      </c>
      <c r="H71" s="911">
        <f>IF('[3]BASE'!GS71=0,"",'[3]BASE'!GS71)</f>
        <v>1</v>
      </c>
      <c r="I71" s="911">
        <f>IF('[3]BASE'!GT71=0,"",'[3]BASE'!GT71)</f>
      </c>
      <c r="J71" s="911">
        <f>IF('[3]BASE'!GU71=0,"",'[3]BASE'!GU71)</f>
      </c>
      <c r="K71" s="911">
        <f>IF('[3]BASE'!GV71=0,"",'[3]BASE'!GV71)</f>
      </c>
      <c r="L71" s="911">
        <f>IF('[3]BASE'!GW71=0,"",'[3]BASE'!GW71)</f>
      </c>
      <c r="M71" s="911">
        <f>IF('[3]BASE'!GX71=0,"",'[3]BASE'!GX71)</f>
      </c>
      <c r="N71" s="911">
        <f>IF('[3]BASE'!GY71=0,"",'[3]BASE'!GY71)</f>
      </c>
      <c r="O71" s="911">
        <f>IF('[3]BASE'!GZ71=0,"",'[3]BASE'!GZ71)</f>
      </c>
      <c r="P71" s="911">
        <f>IF('[3]BASE'!HA71=0,"",'[3]BASE'!HA71)</f>
      </c>
      <c r="Q71" s="911">
        <f>IF('[3]BASE'!HB71=0,"",'[3]BASE'!HB71)</f>
      </c>
      <c r="R71" s="911">
        <f>IF('[3]BASE'!HC71=0,"",'[3]BASE'!HC71)</f>
      </c>
      <c r="S71" s="911">
        <f>IF('[3]BASE'!HD71=0,"",'[3]BASE'!HD71)</f>
      </c>
      <c r="T71" s="912"/>
      <c r="U71" s="908"/>
    </row>
    <row r="72" spans="2:21" s="902" customFormat="1" ht="19.5" customHeight="1">
      <c r="B72" s="903"/>
      <c r="C72" s="913">
        <f>IF('[3]BASE'!C72=0,"",'[3]BASE'!C72)</f>
        <v>53</v>
      </c>
      <c r="D72" s="913" t="str">
        <f>IF('[3]BASE'!D72=0,"",'[3]BASE'!D72)</f>
        <v>RAMALLO - VILLA LIA  2</v>
      </c>
      <c r="E72" s="913">
        <f>IF('[3]BASE'!E72=0,"",'[3]BASE'!E72)</f>
        <v>220</v>
      </c>
      <c r="F72" s="914">
        <f>IF('[3]BASE'!F72=0,"",'[3]BASE'!F72)</f>
        <v>114</v>
      </c>
      <c r="G72" s="914" t="str">
        <f>IF('[2]BASE'!G72=0,"",'[2]BASE'!G72)</f>
        <v>C</v>
      </c>
      <c r="H72" s="911">
        <f>IF('[3]BASE'!GS72=0,"",'[3]BASE'!GS72)</f>
      </c>
      <c r="I72" s="911">
        <f>IF('[3]BASE'!GT72=0,"",'[3]BASE'!GT72)</f>
        <v>1</v>
      </c>
      <c r="J72" s="911">
        <f>IF('[3]BASE'!GU72=0,"",'[3]BASE'!GU72)</f>
      </c>
      <c r="K72" s="911">
        <f>IF('[3]BASE'!GV72=0,"",'[3]BASE'!GV72)</f>
      </c>
      <c r="L72" s="911">
        <f>IF('[3]BASE'!GW72=0,"",'[3]BASE'!GW72)</f>
      </c>
      <c r="M72" s="911">
        <f>IF('[3]BASE'!GX72=0,"",'[3]BASE'!GX72)</f>
      </c>
      <c r="N72" s="911">
        <f>IF('[3]BASE'!GY72=0,"",'[3]BASE'!GY72)</f>
      </c>
      <c r="O72" s="911">
        <f>IF('[3]BASE'!GZ72=0,"",'[3]BASE'!GZ72)</f>
      </c>
      <c r="P72" s="911">
        <f>IF('[3]BASE'!HA72=0,"",'[3]BASE'!HA72)</f>
      </c>
      <c r="Q72" s="911">
        <f>IF('[3]BASE'!HB72=0,"",'[3]BASE'!HB72)</f>
      </c>
      <c r="R72" s="911">
        <f>IF('[3]BASE'!HC72=0,"",'[3]BASE'!HC72)</f>
      </c>
      <c r="S72" s="911">
        <f>IF('[3]BASE'!HD72=0,"",'[3]BASE'!HD72)</f>
      </c>
      <c r="T72" s="912"/>
      <c r="U72" s="908"/>
    </row>
    <row r="73" spans="2:21" s="902" customFormat="1" ht="19.5" customHeight="1">
      <c r="B73" s="903"/>
      <c r="C73" s="915">
        <f>IF('[3]BASE'!C73=0,"",'[3]BASE'!C73)</f>
        <v>54</v>
      </c>
      <c r="D73" s="915" t="str">
        <f>IF('[3]BASE'!D73=0,"",'[3]BASE'!D73)</f>
        <v>ROSARIO OESTE - RAMALLO  1</v>
      </c>
      <c r="E73" s="915">
        <f>IF('[3]BASE'!E73=0,"",'[3]BASE'!E73)</f>
        <v>220</v>
      </c>
      <c r="F73" s="915">
        <f>IF('[3]BASE'!F73=0,"",'[3]BASE'!F73)</f>
        <v>77</v>
      </c>
      <c r="G73" s="916" t="str">
        <f>IF('[2]BASE'!G73=0,"",'[2]BASE'!G73)</f>
        <v>C</v>
      </c>
      <c r="H73" s="911">
        <f>IF('[3]BASE'!GS73=0,"",'[3]BASE'!GS73)</f>
        <v>1</v>
      </c>
      <c r="I73" s="911">
        <f>IF('[3]BASE'!GT73=0,"",'[3]BASE'!GT73)</f>
        <v>1</v>
      </c>
      <c r="J73" s="911">
        <f>IF('[3]BASE'!GU73=0,"",'[3]BASE'!GU73)</f>
      </c>
      <c r="K73" s="911">
        <f>IF('[3]BASE'!GV73=0,"",'[3]BASE'!GV73)</f>
      </c>
      <c r="L73" s="911">
        <f>IF('[3]BASE'!GW73=0,"",'[3]BASE'!GW73)</f>
      </c>
      <c r="M73" s="911">
        <f>IF('[3]BASE'!GX73=0,"",'[3]BASE'!GX73)</f>
      </c>
      <c r="N73" s="911">
        <f>IF('[3]BASE'!GY73=0,"",'[3]BASE'!GY73)</f>
      </c>
      <c r="O73" s="911">
        <f>IF('[3]BASE'!GZ73=0,"",'[3]BASE'!GZ73)</f>
      </c>
      <c r="P73" s="911">
        <f>IF('[3]BASE'!HA73=0,"",'[3]BASE'!HA73)</f>
      </c>
      <c r="Q73" s="911">
        <f>IF('[3]BASE'!HB73=0,"",'[3]BASE'!HB73)</f>
      </c>
      <c r="R73" s="911">
        <f>IF('[3]BASE'!HC73=0,"",'[3]BASE'!HC73)</f>
        <v>1</v>
      </c>
      <c r="S73" s="911">
        <f>IF('[3]BASE'!HD73=0,"",'[3]BASE'!HD73)</f>
      </c>
      <c r="T73" s="912"/>
      <c r="U73" s="908"/>
    </row>
    <row r="74" spans="2:21" s="902" customFormat="1" ht="19.5" customHeight="1">
      <c r="B74" s="903"/>
      <c r="C74" s="913">
        <f>IF('[3]BASE'!C74=0,"",'[3]BASE'!C74)</f>
        <v>55</v>
      </c>
      <c r="D74" s="913" t="str">
        <f>IF('[3]BASE'!D74=0,"",'[3]BASE'!D74)</f>
        <v>ROSARIO OESTE - RAMALLO  2</v>
      </c>
      <c r="E74" s="913">
        <f>IF('[3]BASE'!E74=0,"",'[3]BASE'!E74)</f>
        <v>220</v>
      </c>
      <c r="F74" s="913">
        <f>IF('[3]BASE'!F74=0,"",'[3]BASE'!F74)</f>
        <v>77</v>
      </c>
      <c r="G74" s="914" t="str">
        <f>IF('[2]BASE'!G74=0,"",'[2]BASE'!G74)</f>
        <v>C</v>
      </c>
      <c r="H74" s="911">
        <f>IF('[3]BASE'!GS74=0,"",'[3]BASE'!GS74)</f>
        <v>1</v>
      </c>
      <c r="I74" s="911">
        <f>IF('[3]BASE'!GT74=0,"",'[3]BASE'!GT74)</f>
      </c>
      <c r="J74" s="911">
        <f>IF('[3]BASE'!GU74=0,"",'[3]BASE'!GU74)</f>
      </c>
      <c r="K74" s="911">
        <f>IF('[3]BASE'!GV74=0,"",'[3]BASE'!GV74)</f>
      </c>
      <c r="L74" s="911">
        <f>IF('[3]BASE'!GW74=0,"",'[3]BASE'!GW74)</f>
      </c>
      <c r="M74" s="911">
        <f>IF('[3]BASE'!GX74=0,"",'[3]BASE'!GX74)</f>
      </c>
      <c r="N74" s="911">
        <f>IF('[3]BASE'!GY74=0,"",'[3]BASE'!GY74)</f>
      </c>
      <c r="O74" s="911">
        <f>IF('[3]BASE'!GZ74=0,"",'[3]BASE'!GZ74)</f>
      </c>
      <c r="P74" s="911">
        <f>IF('[3]BASE'!HA74=0,"",'[3]BASE'!HA74)</f>
      </c>
      <c r="Q74" s="911">
        <f>IF('[3]BASE'!HB74=0,"",'[3]BASE'!HB74)</f>
      </c>
      <c r="R74" s="911">
        <f>IF('[3]BASE'!HC74=0,"",'[3]BASE'!HC74)</f>
        <v>1</v>
      </c>
      <c r="S74" s="911">
        <f>IF('[3]BASE'!HD74=0,"",'[3]BASE'!HD74)</f>
      </c>
      <c r="T74" s="912"/>
      <c r="U74" s="908"/>
    </row>
    <row r="75" spans="2:21" s="902" customFormat="1" ht="21" customHeight="1">
      <c r="B75" s="903"/>
      <c r="C75" s="915">
        <f>IF('[3]BASE'!C75=0,"",'[3]BASE'!C75)</f>
        <v>56</v>
      </c>
      <c r="D75" s="915" t="str">
        <f>IF('[3]BASE'!D75=0,"",'[3]BASE'!D75)</f>
        <v>VILLA LIA - ATUCHA 1</v>
      </c>
      <c r="E75" s="915">
        <f>IF('[3]BASE'!E75=0,"",'[3]BASE'!E75)</f>
        <v>220</v>
      </c>
      <c r="F75" s="915">
        <f>IF('[3]BASE'!F75=0,"",'[3]BASE'!F75)</f>
        <v>26</v>
      </c>
      <c r="G75" s="916" t="str">
        <f>IF('[2]BASE'!G75=0,"",'[2]BASE'!G75)</f>
        <v>C</v>
      </c>
      <c r="H75" s="911">
        <f>IF('[3]BASE'!GS75=0,"",'[3]BASE'!GS75)</f>
      </c>
      <c r="I75" s="911">
        <f>IF('[3]BASE'!GT75=0,"",'[3]BASE'!GT75)</f>
      </c>
      <c r="J75" s="911">
        <f>IF('[3]BASE'!GU75=0,"",'[3]BASE'!GU75)</f>
      </c>
      <c r="K75" s="911">
        <f>IF('[3]BASE'!GV75=0,"",'[3]BASE'!GV75)</f>
      </c>
      <c r="L75" s="911">
        <f>IF('[3]BASE'!GW75=0,"",'[3]BASE'!GW75)</f>
      </c>
      <c r="M75" s="911">
        <f>IF('[3]BASE'!GX75=0,"",'[3]BASE'!GX75)</f>
        <v>1</v>
      </c>
      <c r="N75" s="911">
        <f>IF('[3]BASE'!GY75=0,"",'[3]BASE'!GY75)</f>
      </c>
      <c r="O75" s="911">
        <f>IF('[3]BASE'!GZ75=0,"",'[3]BASE'!GZ75)</f>
      </c>
      <c r="P75" s="911">
        <f>IF('[3]BASE'!HA75=0,"",'[3]BASE'!HA75)</f>
      </c>
      <c r="Q75" s="911">
        <f>IF('[3]BASE'!HB75=0,"",'[3]BASE'!HB75)</f>
      </c>
      <c r="R75" s="911">
        <f>IF('[3]BASE'!HC75=0,"",'[3]BASE'!HC75)</f>
      </c>
      <c r="S75" s="911">
        <f>IF('[3]BASE'!HD75=0,"",'[3]BASE'!HD75)</f>
      </c>
      <c r="T75" s="912"/>
      <c r="U75" s="908"/>
    </row>
    <row r="76" spans="2:21" s="902" customFormat="1" ht="19.5" customHeight="1">
      <c r="B76" s="903"/>
      <c r="C76" s="913">
        <f>IF('[3]BASE'!C76=0,"",'[3]BASE'!C76)</f>
        <v>57</v>
      </c>
      <c r="D76" s="913" t="str">
        <f>IF('[3]BASE'!D76=0,"",'[3]BASE'!D76)</f>
        <v>VILLA LIA - ATUCHA 2</v>
      </c>
      <c r="E76" s="913">
        <f>IF('[3]BASE'!E76=0,"",'[3]BASE'!E76)</f>
        <v>220</v>
      </c>
      <c r="F76" s="914">
        <f>IF('[3]BASE'!F76=0,"",'[3]BASE'!F76)</f>
        <v>26</v>
      </c>
      <c r="G76" s="914" t="str">
        <f>IF('[2]BASE'!G76=0,"",'[2]BASE'!G76)</f>
        <v>C</v>
      </c>
      <c r="H76" s="911">
        <f>IF('[3]BASE'!GS76=0,"",'[3]BASE'!GS76)</f>
      </c>
      <c r="I76" s="911">
        <f>IF('[3]BASE'!GT76=0,"",'[3]BASE'!GT76)</f>
      </c>
      <c r="J76" s="911">
        <f>IF('[3]BASE'!GU76=0,"",'[3]BASE'!GU76)</f>
      </c>
      <c r="K76" s="911">
        <f>IF('[3]BASE'!GV76=0,"",'[3]BASE'!GV76)</f>
      </c>
      <c r="L76" s="911">
        <f>IF('[3]BASE'!GW76=0,"",'[3]BASE'!GW76)</f>
      </c>
      <c r="M76" s="911">
        <f>IF('[3]BASE'!GX76=0,"",'[3]BASE'!GX76)</f>
      </c>
      <c r="N76" s="911">
        <f>IF('[3]BASE'!GY76=0,"",'[3]BASE'!GY76)</f>
      </c>
      <c r="O76" s="911">
        <f>IF('[3]BASE'!GZ76=0,"",'[3]BASE'!GZ76)</f>
      </c>
      <c r="P76" s="911">
        <f>IF('[3]BASE'!HA76=0,"",'[3]BASE'!HA76)</f>
      </c>
      <c r="Q76" s="911">
        <f>IF('[3]BASE'!HB76=0,"",'[3]BASE'!HB76)</f>
      </c>
      <c r="R76" s="911">
        <f>IF('[3]BASE'!HC76=0,"",'[3]BASE'!HC76)</f>
      </c>
      <c r="S76" s="911">
        <f>IF('[3]BASE'!HD76=0,"",'[3]BASE'!HD76)</f>
      </c>
      <c r="T76" s="912"/>
      <c r="U76" s="908"/>
    </row>
    <row r="77" spans="2:21" s="902" customFormat="1" ht="19.5" customHeight="1">
      <c r="B77" s="903"/>
      <c r="C77" s="915">
        <f>IF('[3]BASE'!C77=0,"",'[3]BASE'!C77)</f>
      </c>
      <c r="D77" s="915">
        <f>IF('[3]BASE'!D77=0,"",'[3]BASE'!D77)</f>
      </c>
      <c r="E77" s="915">
        <f>IF('[3]BASE'!E77=0,"",'[3]BASE'!E77)</f>
      </c>
      <c r="F77" s="916">
        <f>IF('[3]BASE'!F77=0,"",'[3]BASE'!F77)</f>
      </c>
      <c r="G77" s="916" t="str">
        <f>IF('[2]BASE'!G77=0,"",'[2]BASE'!G77)</f>
        <v>C</v>
      </c>
      <c r="H77" s="911">
        <f>IF('[3]BASE'!GS77=0,"",'[3]BASE'!GS77)</f>
      </c>
      <c r="I77" s="911">
        <f>IF('[3]BASE'!GT77=0,"",'[3]BASE'!GT77)</f>
      </c>
      <c r="J77" s="911">
        <f>IF('[3]BASE'!GU77=0,"",'[3]BASE'!GU77)</f>
      </c>
      <c r="K77" s="911">
        <f>IF('[3]BASE'!GV77=0,"",'[3]BASE'!GV77)</f>
      </c>
      <c r="L77" s="911">
        <f>IF('[3]BASE'!GW77=0,"",'[3]BASE'!GW77)</f>
      </c>
      <c r="M77" s="911">
        <f>IF('[3]BASE'!GX77=0,"",'[3]BASE'!GX77)</f>
      </c>
      <c r="N77" s="911">
        <f>IF('[3]BASE'!GY77=0,"",'[3]BASE'!GY77)</f>
      </c>
      <c r="O77" s="911">
        <f>IF('[3]BASE'!GZ77=0,"",'[3]BASE'!GZ77)</f>
      </c>
      <c r="P77" s="911">
        <f>IF('[3]BASE'!HA77=0,"",'[3]BASE'!HA77)</f>
      </c>
      <c r="Q77" s="911">
        <f>IF('[3]BASE'!HB77=0,"",'[3]BASE'!HB77)</f>
      </c>
      <c r="R77" s="911">
        <f>IF('[3]BASE'!HC77=0,"",'[3]BASE'!HC77)</f>
      </c>
      <c r="S77" s="911">
        <f>IF('[3]BASE'!HD77=0,"",'[3]BASE'!HD77)</f>
      </c>
      <c r="T77" s="912"/>
      <c r="U77" s="908"/>
    </row>
    <row r="78" spans="2:21" s="902" customFormat="1" ht="19.5" customHeight="1">
      <c r="B78" s="903"/>
      <c r="C78" s="913">
        <f>IF('[3]BASE'!C78=0,"",'[3]BASE'!C78)</f>
        <v>58</v>
      </c>
      <c r="D78" s="913" t="str">
        <f>IF('[3]BASE'!D78=0,"",'[3]BASE'!D78)</f>
        <v>GRAL RODRIGUEZ - RAMALLO</v>
      </c>
      <c r="E78" s="913">
        <f>IF('[3]BASE'!E78=0,"",'[3]BASE'!E78)</f>
        <v>500</v>
      </c>
      <c r="F78" s="914">
        <f>IF('[3]BASE'!F78=0,"",'[3]BASE'!F78)</f>
        <v>183.9</v>
      </c>
      <c r="G78" s="914" t="str">
        <f>IF('[2]BASE'!G78=0,"",'[2]BASE'!G78)</f>
        <v>A</v>
      </c>
      <c r="H78" s="911">
        <f>IF('[3]BASE'!GS78=0,"",'[3]BASE'!GS78)</f>
        <v>1</v>
      </c>
      <c r="I78" s="911">
        <f>IF('[3]BASE'!GT78=0,"",'[3]BASE'!GT78)</f>
      </c>
      <c r="J78" s="911">
        <f>IF('[3]BASE'!GU78=0,"",'[3]BASE'!GU78)</f>
      </c>
      <c r="K78" s="911">
        <f>IF('[3]BASE'!GV78=0,"",'[3]BASE'!GV78)</f>
      </c>
      <c r="L78" s="911">
        <f>IF('[3]BASE'!GW78=0,"",'[3]BASE'!GW78)</f>
      </c>
      <c r="M78" s="911">
        <f>IF('[3]BASE'!GX78=0,"",'[3]BASE'!GX78)</f>
      </c>
      <c r="N78" s="911">
        <f>IF('[3]BASE'!GY78=0,"",'[3]BASE'!GY78)</f>
      </c>
      <c r="O78" s="911">
        <f>IF('[3]BASE'!GZ78=0,"",'[3]BASE'!GZ78)</f>
      </c>
      <c r="P78" s="911">
        <f>IF('[3]BASE'!HA78=0,"",'[3]BASE'!HA78)</f>
      </c>
      <c r="Q78" s="911">
        <f>IF('[3]BASE'!HB78=0,"",'[3]BASE'!HB78)</f>
      </c>
      <c r="R78" s="911">
        <f>IF('[3]BASE'!HC78=0,"",'[3]BASE'!HC78)</f>
      </c>
      <c r="S78" s="911">
        <f>IF('[3]BASE'!HD78=0,"",'[3]BASE'!HD78)</f>
      </c>
      <c r="T78" s="912"/>
      <c r="U78" s="908"/>
    </row>
    <row r="79" spans="2:21" s="902" customFormat="1" ht="19.5" customHeight="1">
      <c r="B79" s="903"/>
      <c r="C79" s="915">
        <f>IF('[3]BASE'!C79=0,"",'[3]BASE'!C79)</f>
        <v>59</v>
      </c>
      <c r="D79" s="915" t="str">
        <f>IF('[3]BASE'!D79=0,"",'[3]BASE'!D79)</f>
        <v>RAMALLO - ROSARIO OESTE</v>
      </c>
      <c r="E79" s="915">
        <f>IF('[3]BASE'!E79=0,"",'[3]BASE'!E79)</f>
        <v>500</v>
      </c>
      <c r="F79" s="915">
        <f>IF('[3]BASE'!F79=0,"",'[3]BASE'!F79)</f>
        <v>77</v>
      </c>
      <c r="G79" s="916" t="str">
        <f>IF('[2]BASE'!G79=0,"",'[2]BASE'!G79)</f>
        <v>A</v>
      </c>
      <c r="H79" s="911">
        <f>IF('[3]BASE'!GS79=0,"",'[3]BASE'!GS79)</f>
        <v>1</v>
      </c>
      <c r="I79" s="911">
        <f>IF('[3]BASE'!GT79=0,"",'[3]BASE'!GT79)</f>
      </c>
      <c r="J79" s="911">
        <f>IF('[3]BASE'!GU79=0,"",'[3]BASE'!GU79)</f>
      </c>
      <c r="K79" s="911">
        <f>IF('[3]BASE'!GV79=0,"",'[3]BASE'!GV79)</f>
      </c>
      <c r="L79" s="911">
        <f>IF('[3]BASE'!GW79=0,"",'[3]BASE'!GW79)</f>
      </c>
      <c r="M79" s="911">
        <f>IF('[3]BASE'!GX79=0,"",'[3]BASE'!GX79)</f>
      </c>
      <c r="N79" s="911">
        <f>IF('[3]BASE'!GY79=0,"",'[3]BASE'!GY79)</f>
      </c>
      <c r="O79" s="911">
        <f>IF('[3]BASE'!GZ79=0,"",'[3]BASE'!GZ79)</f>
      </c>
      <c r="P79" s="911">
        <f>IF('[3]BASE'!HA79=0,"",'[3]BASE'!HA79)</f>
      </c>
      <c r="Q79" s="911">
        <f>IF('[3]BASE'!HB79=0,"",'[3]BASE'!HB79)</f>
      </c>
      <c r="R79" s="911">
        <f>IF('[3]BASE'!HC79=0,"",'[3]BASE'!HC79)</f>
      </c>
      <c r="S79" s="911">
        <f>IF('[3]BASE'!HD79=0,"",'[3]BASE'!HD79)</f>
      </c>
      <c r="T79" s="912"/>
      <c r="U79" s="908"/>
    </row>
    <row r="80" spans="2:21" s="902" customFormat="1" ht="18.75" customHeight="1">
      <c r="B80" s="903"/>
      <c r="C80" s="913">
        <f>IF('[3]BASE'!C80=0,"",'[3]BASE'!C80)</f>
        <v>60</v>
      </c>
      <c r="D80" s="913" t="str">
        <f>IF('[3]BASE'!D80=0,"",'[3]BASE'!D80)</f>
        <v>MACACHIN - HENDERSON</v>
      </c>
      <c r="E80" s="913">
        <f>IF('[3]BASE'!E80=0,"",'[3]BASE'!E80)</f>
        <v>500</v>
      </c>
      <c r="F80" s="914">
        <f>IF('[3]BASE'!F80=0,"",'[3]BASE'!F80)</f>
        <v>194</v>
      </c>
      <c r="G80" s="914" t="str">
        <f>IF('[2]BASE'!G80=0,"",'[2]BASE'!G80)</f>
        <v>A</v>
      </c>
      <c r="H80" s="911">
        <f>IF('[3]BASE'!GS80=0,"",'[3]BASE'!GS80)</f>
      </c>
      <c r="I80" s="911">
        <f>IF('[3]BASE'!GT80=0,"",'[3]BASE'!GT80)</f>
      </c>
      <c r="J80" s="911">
        <f>IF('[3]BASE'!GU80=0,"",'[3]BASE'!GU80)</f>
      </c>
      <c r="K80" s="911">
        <f>IF('[3]BASE'!GV80=0,"",'[3]BASE'!GV80)</f>
      </c>
      <c r="L80" s="911">
        <f>IF('[3]BASE'!GW80=0,"",'[3]BASE'!GW80)</f>
      </c>
      <c r="M80" s="911">
        <f>IF('[3]BASE'!GX80=0,"",'[3]BASE'!GX80)</f>
      </c>
      <c r="N80" s="911">
        <f>IF('[3]BASE'!GY80=0,"",'[3]BASE'!GY80)</f>
      </c>
      <c r="O80" s="911">
        <f>IF('[3]BASE'!GZ80=0,"",'[3]BASE'!GZ80)</f>
      </c>
      <c r="P80" s="911">
        <f>IF('[3]BASE'!HA80=0,"",'[3]BASE'!HA80)</f>
      </c>
      <c r="Q80" s="911">
        <f>IF('[3]BASE'!HB80=0,"",'[3]BASE'!HB80)</f>
      </c>
      <c r="R80" s="911">
        <f>IF('[3]BASE'!HC80=0,"",'[3]BASE'!HC80)</f>
      </c>
      <c r="S80" s="911">
        <f>IF('[3]BASE'!HD80=0,"",'[3]BASE'!HD80)</f>
      </c>
      <c r="T80" s="912"/>
      <c r="U80" s="908"/>
    </row>
    <row r="81" spans="2:21" s="902" customFormat="1" ht="18.75" customHeight="1">
      <c r="B81" s="903"/>
      <c r="C81" s="915">
        <f>IF('[3]BASE'!C81=0,"",'[3]BASE'!C81)</f>
        <v>61</v>
      </c>
      <c r="D81" s="915" t="str">
        <f>IF('[3]BASE'!D81=0,"",'[3]BASE'!D81)</f>
        <v>PUELCHES - MACACHIN</v>
      </c>
      <c r="E81" s="915">
        <f>IF('[3]BASE'!E81=0,"",'[3]BASE'!E81)</f>
        <v>500</v>
      </c>
      <c r="F81" s="916">
        <f>IF('[3]BASE'!F81=0,"",'[3]BASE'!F81)</f>
        <v>227</v>
      </c>
      <c r="G81" s="916" t="str">
        <f>IF('[2]BASE'!G81=0,"",'[2]BASE'!G81)</f>
        <v>A</v>
      </c>
      <c r="H81" s="911">
        <f>IF('[3]BASE'!GS81=0,"",'[3]BASE'!GS81)</f>
      </c>
      <c r="I81" s="911">
        <f>IF('[3]BASE'!GT81=0,"",'[3]BASE'!GT81)</f>
      </c>
      <c r="J81" s="911">
        <f>IF('[3]BASE'!GU81=0,"",'[3]BASE'!GU81)</f>
      </c>
      <c r="K81" s="911">
        <f>IF('[3]BASE'!GV81=0,"",'[3]BASE'!GV81)</f>
      </c>
      <c r="L81" s="911">
        <f>IF('[3]BASE'!GW81=0,"",'[3]BASE'!GW81)</f>
      </c>
      <c r="M81" s="911">
        <f>IF('[3]BASE'!GX81=0,"",'[3]BASE'!GX81)</f>
      </c>
      <c r="N81" s="911">
        <f>IF('[3]BASE'!GY81=0,"",'[3]BASE'!GY81)</f>
      </c>
      <c r="O81" s="911">
        <f>IF('[3]BASE'!GZ81=0,"",'[3]BASE'!GZ81)</f>
      </c>
      <c r="P81" s="911">
        <f>IF('[3]BASE'!HA81=0,"",'[3]BASE'!HA81)</f>
      </c>
      <c r="Q81" s="911">
        <f>IF('[3]BASE'!HB81=0,"",'[3]BASE'!HB81)</f>
      </c>
      <c r="R81" s="911">
        <f>IF('[3]BASE'!HC81=0,"",'[3]BASE'!HC81)</f>
      </c>
      <c r="S81" s="911">
        <f>IF('[3]BASE'!HD81=0,"",'[3]BASE'!HD81)</f>
      </c>
      <c r="T81" s="912"/>
      <c r="U81" s="908"/>
    </row>
    <row r="82" spans="2:21" s="902" customFormat="1" ht="19.5" customHeight="1">
      <c r="B82" s="903"/>
      <c r="C82" s="913">
        <f>IF('[3]BASE'!C82=0,"",'[3]BASE'!C82)</f>
      </c>
      <c r="D82" s="913">
        <f>IF('[3]BASE'!D82=0,"",'[3]BASE'!D82)</f>
      </c>
      <c r="E82" s="913">
        <f>IF('[3]BASE'!E82=0,"",'[3]BASE'!E82)</f>
      </c>
      <c r="F82" s="914">
        <f>IF('[3]BASE'!F82=0,"",'[3]BASE'!F82)</f>
      </c>
      <c r="G82" s="914" t="str">
        <f>IF('[2]BASE'!G82=0,"",'[2]BASE'!G82)</f>
        <v>B</v>
      </c>
      <c r="H82" s="911">
        <f>IF('[3]BASE'!GS82=0,"",'[3]BASE'!GS82)</f>
      </c>
      <c r="I82" s="911">
        <f>IF('[3]BASE'!GT82=0,"",'[3]BASE'!GT82)</f>
      </c>
      <c r="J82" s="911">
        <f>IF('[3]BASE'!GU82=0,"",'[3]BASE'!GU82)</f>
      </c>
      <c r="K82" s="911">
        <f>IF('[3]BASE'!GV82=0,"",'[3]BASE'!GV82)</f>
      </c>
      <c r="L82" s="911">
        <f>IF('[3]BASE'!GW82=0,"",'[3]BASE'!GW82)</f>
      </c>
      <c r="M82" s="911">
        <f>IF('[3]BASE'!GX82=0,"",'[3]BASE'!GX82)</f>
      </c>
      <c r="N82" s="911">
        <f>IF('[3]BASE'!GY82=0,"",'[3]BASE'!GY82)</f>
      </c>
      <c r="O82" s="911">
        <f>IF('[3]BASE'!GZ82=0,"",'[3]BASE'!GZ82)</f>
      </c>
      <c r="P82" s="911">
        <f>IF('[3]BASE'!HA82=0,"",'[3]BASE'!HA82)</f>
      </c>
      <c r="Q82" s="911">
        <f>IF('[3]BASE'!HB82=0,"",'[3]BASE'!HB82)</f>
      </c>
      <c r="R82" s="911">
        <f>IF('[3]BASE'!HC82=0,"",'[3]BASE'!HC82)</f>
      </c>
      <c r="S82" s="911">
        <f>IF('[3]BASE'!HD82=0,"",'[3]BASE'!HD82)</f>
      </c>
      <c r="T82" s="912"/>
      <c r="U82" s="908"/>
    </row>
    <row r="83" spans="2:21" s="902" customFormat="1" ht="19.5" customHeight="1">
      <c r="B83" s="903"/>
      <c r="C83" s="915">
        <f>IF('[3]BASE'!C83=0,"",'[3]BASE'!C83)</f>
      </c>
      <c r="D83" s="915">
        <f>IF('[3]BASE'!D83=0,"",'[3]BASE'!D83)</f>
      </c>
      <c r="E83" s="915">
        <f>IF('[3]BASE'!E83=0,"",'[3]BASE'!E83)</f>
      </c>
      <c r="F83" s="915">
        <f>IF('[3]BASE'!F83=0,"",'[3]BASE'!F83)</f>
      </c>
      <c r="G83" s="916" t="str">
        <f>IF('[2]BASE'!G83=0,"",'[2]BASE'!G83)</f>
        <v>B</v>
      </c>
      <c r="H83" s="911">
        <f>IF('[3]BASE'!GS83=0,"",'[3]BASE'!GS83)</f>
      </c>
      <c r="I83" s="911">
        <f>IF('[3]BASE'!GT83=0,"",'[3]BASE'!GT83)</f>
      </c>
      <c r="J83" s="911">
        <f>IF('[3]BASE'!GU83=0,"",'[3]BASE'!GU83)</f>
      </c>
      <c r="K83" s="911">
        <f>IF('[3]BASE'!GV83=0,"",'[3]BASE'!GV83)</f>
      </c>
      <c r="L83" s="911">
        <f>IF('[3]BASE'!GW83=0,"",'[3]BASE'!GW83)</f>
      </c>
      <c r="M83" s="911">
        <f>IF('[3]BASE'!GX83=0,"",'[3]BASE'!GX83)</f>
      </c>
      <c r="N83" s="911">
        <f>IF('[3]BASE'!GY83=0,"",'[3]BASE'!GY83)</f>
      </c>
      <c r="O83" s="911">
        <f>IF('[3]BASE'!GZ83=0,"",'[3]BASE'!GZ83)</f>
      </c>
      <c r="P83" s="911">
        <f>IF('[3]BASE'!HA83=0,"",'[3]BASE'!HA83)</f>
      </c>
      <c r="Q83" s="911">
        <f>IF('[3]BASE'!HB83=0,"",'[3]BASE'!HB83)</f>
      </c>
      <c r="R83" s="911">
        <f>IF('[3]BASE'!HC83=0,"",'[3]BASE'!HC83)</f>
      </c>
      <c r="S83" s="911">
        <f>IF('[3]BASE'!HD83=0,"",'[3]BASE'!HD83)</f>
      </c>
      <c r="T83" s="912"/>
      <c r="U83" s="908"/>
    </row>
    <row r="84" spans="2:21" s="902" customFormat="1" ht="19.5" customHeight="1">
      <c r="B84" s="903"/>
      <c r="C84" s="913">
        <f>IF('[3]BASE'!C84=0,"",'[3]BASE'!C84)</f>
        <v>62</v>
      </c>
      <c r="D84" s="913" t="str">
        <f>IF('[3]BASE'!D84=0,"",'[3]BASE'!D84)</f>
        <v>YACYRETÁ - RINCON I</v>
      </c>
      <c r="E84" s="913">
        <f>IF('[3]BASE'!E84=0,"",'[3]BASE'!E84)</f>
        <v>500</v>
      </c>
      <c r="F84" s="914">
        <f>IF('[3]BASE'!F84=0,"",'[3]BASE'!F84)</f>
        <v>3.6</v>
      </c>
      <c r="G84" s="914" t="str">
        <f>IF('[2]BASE'!G84=0,"",'[2]BASE'!G84)</f>
        <v>B</v>
      </c>
      <c r="H84" s="911">
        <f>IF('[3]BASE'!GS84=0,"",'[3]BASE'!GS84)</f>
      </c>
      <c r="I84" s="911">
        <f>IF('[3]BASE'!GT84=0,"",'[3]BASE'!GT84)</f>
      </c>
      <c r="J84" s="911">
        <f>IF('[3]BASE'!GU84=0,"",'[3]BASE'!GU84)</f>
      </c>
      <c r="K84" s="911">
        <f>IF('[3]BASE'!GV84=0,"",'[3]BASE'!GV84)</f>
      </c>
      <c r="L84" s="911">
        <f>IF('[3]BASE'!GW84=0,"",'[3]BASE'!GW84)</f>
      </c>
      <c r="M84" s="911">
        <f>IF('[3]BASE'!GX84=0,"",'[3]BASE'!GX84)</f>
      </c>
      <c r="N84" s="911">
        <f>IF('[3]BASE'!GY84=0,"",'[3]BASE'!GY84)</f>
      </c>
      <c r="O84" s="911">
        <f>IF('[3]BASE'!GZ84=0,"",'[3]BASE'!GZ84)</f>
      </c>
      <c r="P84" s="911">
        <f>IF('[3]BASE'!HA84=0,"",'[3]BASE'!HA84)</f>
      </c>
      <c r="Q84" s="911">
        <f>IF('[3]BASE'!HB84=0,"",'[3]BASE'!HB84)</f>
      </c>
      <c r="R84" s="911">
        <f>IF('[3]BASE'!HC84=0,"",'[3]BASE'!HC84)</f>
      </c>
      <c r="S84" s="911">
        <f>IF('[3]BASE'!HD84=0,"",'[3]BASE'!HD84)</f>
      </c>
      <c r="T84" s="912"/>
      <c r="U84" s="908"/>
    </row>
    <row r="85" spans="2:21" s="902" customFormat="1" ht="19.5" customHeight="1">
      <c r="B85" s="903"/>
      <c r="C85" s="915">
        <f>IF('[3]BASE'!C85=0,"",'[3]BASE'!C85)</f>
        <v>63</v>
      </c>
      <c r="D85" s="915" t="str">
        <f>IF('[3]BASE'!D85=0,"",'[3]BASE'!D85)</f>
        <v>YACYRETÁ - RINCON II</v>
      </c>
      <c r="E85" s="915">
        <f>IF('[3]BASE'!E85=0,"",'[3]BASE'!E85)</f>
        <v>500</v>
      </c>
      <c r="F85" s="916">
        <f>IF('[3]BASE'!F85=0,"",'[3]BASE'!F85)</f>
        <v>3.6</v>
      </c>
      <c r="G85" s="916" t="str">
        <f>IF('[2]BASE'!G85=0,"",'[2]BASE'!G85)</f>
        <v>A</v>
      </c>
      <c r="H85" s="911">
        <f>IF('[3]BASE'!GS85=0,"",'[3]BASE'!GS85)</f>
      </c>
      <c r="I85" s="911">
        <f>IF('[3]BASE'!GT85=0,"",'[3]BASE'!GT85)</f>
      </c>
      <c r="J85" s="911">
        <f>IF('[3]BASE'!GU85=0,"",'[3]BASE'!GU85)</f>
      </c>
      <c r="K85" s="911">
        <f>IF('[3]BASE'!GV85=0,"",'[3]BASE'!GV85)</f>
      </c>
      <c r="L85" s="911">
        <f>IF('[3]BASE'!GW85=0,"",'[3]BASE'!GW85)</f>
      </c>
      <c r="M85" s="911">
        <f>IF('[3]BASE'!GX85=0,"",'[3]BASE'!GX85)</f>
      </c>
      <c r="N85" s="911">
        <f>IF('[3]BASE'!GY85=0,"",'[3]BASE'!GY85)</f>
      </c>
      <c r="O85" s="911">
        <f>IF('[3]BASE'!GZ85=0,"",'[3]BASE'!GZ85)</f>
      </c>
      <c r="P85" s="911">
        <f>IF('[3]BASE'!HA85=0,"",'[3]BASE'!HA85)</f>
      </c>
      <c r="Q85" s="911">
        <f>IF('[3]BASE'!HB85=0,"",'[3]BASE'!HB85)</f>
      </c>
      <c r="R85" s="911">
        <f>IF('[3]BASE'!HC85=0,"",'[3]BASE'!HC85)</f>
      </c>
      <c r="S85" s="911">
        <f>IF('[3]BASE'!HD85=0,"",'[3]BASE'!HD85)</f>
      </c>
      <c r="T85" s="912"/>
      <c r="U85" s="908"/>
    </row>
    <row r="86" spans="2:21" s="902" customFormat="1" ht="19.5" customHeight="1">
      <c r="B86" s="903"/>
      <c r="C86" s="913">
        <f>IF('[3]BASE'!C86=0,"",'[3]BASE'!C86)</f>
        <v>64</v>
      </c>
      <c r="D86" s="913" t="str">
        <f>IF('[3]BASE'!D86=0,"",'[3]BASE'!D86)</f>
        <v>YACYRETÁ - RINCON III</v>
      </c>
      <c r="E86" s="913">
        <f>IF('[3]BASE'!E86=0,"",'[3]BASE'!E86)</f>
        <v>500</v>
      </c>
      <c r="F86" s="914">
        <f>IF('[3]BASE'!F86=0,"",'[3]BASE'!F86)</f>
        <v>3.6</v>
      </c>
      <c r="G86" s="914" t="str">
        <f>IF('[2]BASE'!G86=0,"",'[2]BASE'!G86)</f>
        <v>C</v>
      </c>
      <c r="H86" s="911">
        <f>IF('[3]BASE'!GS86=0,"",'[3]BASE'!GS86)</f>
      </c>
      <c r="I86" s="911">
        <f>IF('[3]BASE'!GT86=0,"",'[3]BASE'!GT86)</f>
      </c>
      <c r="J86" s="911">
        <f>IF('[3]BASE'!GU86=0,"",'[3]BASE'!GU86)</f>
      </c>
      <c r="K86" s="911">
        <f>IF('[3]BASE'!GV86=0,"",'[3]BASE'!GV86)</f>
      </c>
      <c r="L86" s="911">
        <f>IF('[3]BASE'!GW86=0,"",'[3]BASE'!GW86)</f>
      </c>
      <c r="M86" s="911">
        <f>IF('[3]BASE'!GX86=0,"",'[3]BASE'!GX86)</f>
      </c>
      <c r="N86" s="911">
        <f>IF('[3]BASE'!GY86=0,"",'[3]BASE'!GY86)</f>
      </c>
      <c r="O86" s="911">
        <f>IF('[3]BASE'!GZ86=0,"",'[3]BASE'!GZ86)</f>
      </c>
      <c r="P86" s="911">
        <f>IF('[3]BASE'!HA86=0,"",'[3]BASE'!HA86)</f>
      </c>
      <c r="Q86" s="911">
        <f>IF('[3]BASE'!HB86=0,"",'[3]BASE'!HB86)</f>
      </c>
      <c r="R86" s="911">
        <f>IF('[3]BASE'!HC86=0,"",'[3]BASE'!HC86)</f>
      </c>
      <c r="S86" s="911">
        <f>IF('[3]BASE'!HD86=0,"",'[3]BASE'!HD86)</f>
      </c>
      <c r="T86" s="912"/>
      <c r="U86" s="908"/>
    </row>
    <row r="87" spans="2:21" s="902" customFormat="1" ht="19.5" customHeight="1">
      <c r="B87" s="903"/>
      <c r="C87" s="915">
        <f>IF('[3]BASE'!C87=0,"",'[3]BASE'!C87)</f>
        <v>65</v>
      </c>
      <c r="D87" s="915" t="str">
        <f>IF('[3]BASE'!D87=0,"",'[3]BASE'!D87)</f>
        <v>RINCON - PASO DE LA PATRIA</v>
      </c>
      <c r="E87" s="915">
        <f>IF('[3]BASE'!E87=0,"",'[3]BASE'!E87)</f>
        <v>500</v>
      </c>
      <c r="F87" s="915">
        <f>IF('[3]BASE'!F87=0,"",'[3]BASE'!F87)</f>
        <v>227</v>
      </c>
      <c r="G87" s="916" t="str">
        <f>IF('[2]BASE'!G87=0,"",'[2]BASE'!G87)</f>
        <v>B</v>
      </c>
      <c r="H87" s="911">
        <f>IF('[3]BASE'!GS87=0,"",'[3]BASE'!GS87)</f>
      </c>
      <c r="I87" s="911">
        <f>IF('[3]BASE'!GT87=0,"",'[3]BASE'!GT87)</f>
      </c>
      <c r="J87" s="911">
        <f>IF('[3]BASE'!GU87=0,"",'[3]BASE'!GU87)</f>
      </c>
      <c r="K87" s="911">
        <f>IF('[3]BASE'!GV87=0,"",'[3]BASE'!GV87)</f>
      </c>
      <c r="L87" s="911">
        <f>IF('[3]BASE'!GW87=0,"",'[3]BASE'!GW87)</f>
      </c>
      <c r="M87" s="911">
        <f>IF('[3]BASE'!GX87=0,"",'[3]BASE'!GX87)</f>
      </c>
      <c r="N87" s="911">
        <f>IF('[3]BASE'!GY87=0,"",'[3]BASE'!GY87)</f>
      </c>
      <c r="O87" s="911">
        <f>IF('[3]BASE'!GZ87=0,"",'[3]BASE'!GZ87)</f>
      </c>
      <c r="P87" s="911">
        <f>IF('[3]BASE'!HA87=0,"",'[3]BASE'!HA87)</f>
      </c>
      <c r="Q87" s="911">
        <f>IF('[3]BASE'!HB87=0,"",'[3]BASE'!HB87)</f>
      </c>
      <c r="R87" s="911">
        <f>IF('[3]BASE'!HC87=0,"",'[3]BASE'!HC87)</f>
      </c>
      <c r="S87" s="911">
        <f>IF('[3]BASE'!HD87=0,"",'[3]BASE'!HD87)</f>
      </c>
      <c r="T87" s="912"/>
      <c r="U87" s="908"/>
    </row>
    <row r="88" spans="2:21" s="902" customFormat="1" ht="19.5" customHeight="1">
      <c r="B88" s="903"/>
      <c r="C88" s="913">
        <f>IF('[3]BASE'!C88=0,"",'[3]BASE'!C88)</f>
        <v>66</v>
      </c>
      <c r="D88" s="913" t="str">
        <f>IF('[3]BASE'!D88=0,"",'[3]BASE'!D88)</f>
        <v>PASO DE LA PATRIA - RESISTENCIA</v>
      </c>
      <c r="E88" s="913">
        <f>IF('[3]BASE'!E88=0,"",'[3]BASE'!E88)</f>
        <v>500</v>
      </c>
      <c r="F88" s="914">
        <f>IF('[3]BASE'!F88=0,"",'[3]BASE'!F88)</f>
        <v>40</v>
      </c>
      <c r="G88" s="914" t="str">
        <f>IF('[2]BASE'!G88=0,"",'[2]BASE'!G88)</f>
        <v>C</v>
      </c>
      <c r="H88" s="911">
        <f>IF('[3]BASE'!GS88=0,"",'[3]BASE'!GS88)</f>
      </c>
      <c r="I88" s="911">
        <f>IF('[3]BASE'!GT88=0,"",'[3]BASE'!GT88)</f>
      </c>
      <c r="J88" s="911">
        <f>IF('[3]BASE'!GU88=0,"",'[3]BASE'!GU88)</f>
      </c>
      <c r="K88" s="911">
        <f>IF('[3]BASE'!GV88=0,"",'[3]BASE'!GV88)</f>
      </c>
      <c r="L88" s="911">
        <f>IF('[3]BASE'!GW88=0,"",'[3]BASE'!GW88)</f>
      </c>
      <c r="M88" s="911">
        <f>IF('[3]BASE'!GX88=0,"",'[3]BASE'!GX88)</f>
      </c>
      <c r="N88" s="911">
        <f>IF('[3]BASE'!GY88=0,"",'[3]BASE'!GY88)</f>
      </c>
      <c r="O88" s="911">
        <f>IF('[3]BASE'!GZ88=0,"",'[3]BASE'!GZ88)</f>
      </c>
      <c r="P88" s="911">
        <f>IF('[3]BASE'!HA88=0,"",'[3]BASE'!HA88)</f>
      </c>
      <c r="Q88" s="911">
        <f>IF('[3]BASE'!HB88=0,"",'[3]BASE'!HB88)</f>
      </c>
      <c r="R88" s="911">
        <f>IF('[3]BASE'!HC88=0,"",'[3]BASE'!HC88)</f>
      </c>
      <c r="S88" s="911">
        <f>IF('[3]BASE'!HD88=0,"",'[3]BASE'!HD88)</f>
      </c>
      <c r="T88" s="912"/>
      <c r="U88" s="908"/>
    </row>
    <row r="89" spans="2:21" s="902" customFormat="1" ht="19.5" customHeight="1">
      <c r="B89" s="903"/>
      <c r="C89" s="915">
        <f>IF('[3]BASE'!C89=0,"",'[3]BASE'!C89)</f>
        <v>67</v>
      </c>
      <c r="D89" s="915" t="str">
        <f>IF('[3]BASE'!D89=0,"",'[3]BASE'!D89)</f>
        <v>RINCON - RESISTENCIA</v>
      </c>
      <c r="E89" s="915">
        <f>IF('[3]BASE'!E89=0,"",'[3]BASE'!E89)</f>
        <v>500</v>
      </c>
      <c r="F89" s="916">
        <f>IF('[3]BASE'!F89=0,"",'[3]BASE'!F89)</f>
        <v>267</v>
      </c>
      <c r="G89" s="916" t="str">
        <f>IF('[2]BASE'!G89=0,"",'[2]BASE'!G89)</f>
        <v>A</v>
      </c>
      <c r="H89" s="911" t="str">
        <f>IF('[3]BASE'!GS89=0,"",'[3]BASE'!GS89)</f>
        <v>XXXX</v>
      </c>
      <c r="I89" s="911" t="str">
        <f>IF('[3]BASE'!GT89=0,"",'[3]BASE'!GT89)</f>
        <v>XXXX</v>
      </c>
      <c r="J89" s="911" t="str">
        <f>IF('[3]BASE'!GU89=0,"",'[3]BASE'!GU89)</f>
        <v>XXXX</v>
      </c>
      <c r="K89" s="911" t="str">
        <f>IF('[3]BASE'!GV89=0,"",'[3]BASE'!GV89)</f>
        <v>XXXX</v>
      </c>
      <c r="L89" s="911" t="str">
        <f>IF('[3]BASE'!GW89=0,"",'[3]BASE'!GW89)</f>
        <v>XXXX</v>
      </c>
      <c r="M89" s="911" t="str">
        <f>IF('[3]BASE'!GX89=0,"",'[3]BASE'!GX89)</f>
        <v>XXXX</v>
      </c>
      <c r="N89" s="911" t="str">
        <f>IF('[3]BASE'!GY89=0,"",'[3]BASE'!GY89)</f>
        <v>XXXX</v>
      </c>
      <c r="O89" s="911" t="str">
        <f>IF('[3]BASE'!GZ89=0,"",'[3]BASE'!GZ89)</f>
        <v>XXXX</v>
      </c>
      <c r="P89" s="911" t="str">
        <f>IF('[3]BASE'!HA89=0,"",'[3]BASE'!HA89)</f>
        <v>XXXX</v>
      </c>
      <c r="Q89" s="911" t="str">
        <f>IF('[3]BASE'!HB89=0,"",'[3]BASE'!HB89)</f>
        <v>XXXX</v>
      </c>
      <c r="R89" s="911" t="str">
        <f>IF('[3]BASE'!HC89=0,"",'[3]BASE'!HC89)</f>
        <v>XXXX</v>
      </c>
      <c r="S89" s="911" t="str">
        <f>IF('[3]BASE'!HD89=0,"",'[3]BASE'!HD89)</f>
        <v>XXXX</v>
      </c>
      <c r="T89" s="912"/>
      <c r="U89" s="908"/>
    </row>
    <row r="90" spans="2:21" s="902" customFormat="1" ht="19.5" customHeight="1">
      <c r="B90" s="903"/>
      <c r="C90" s="913">
        <f>IF('[3]BASE'!C90=0,"",'[3]BASE'!C90)</f>
      </c>
      <c r="D90" s="913">
        <f>IF('[3]BASE'!D90=0,"",'[3]BASE'!D90)</f>
      </c>
      <c r="E90" s="913">
        <f>IF('[3]BASE'!E90=0,"",'[3]BASE'!E90)</f>
      </c>
      <c r="F90" s="914">
        <f>IF('[3]BASE'!F90=0,"",'[3]BASE'!F90)</f>
      </c>
      <c r="G90" s="914" t="str">
        <f>IF('[2]BASE'!G90=0,"",'[2]BASE'!G90)</f>
        <v>C</v>
      </c>
      <c r="H90" s="911">
        <f>IF('[3]BASE'!GS90=0,"",'[3]BASE'!GS90)</f>
      </c>
      <c r="I90" s="911">
        <f>IF('[3]BASE'!GT90=0,"",'[3]BASE'!GT90)</f>
      </c>
      <c r="J90" s="911">
        <f>IF('[3]BASE'!GU90=0,"",'[3]BASE'!GU90)</f>
      </c>
      <c r="K90" s="911">
        <f>IF('[3]BASE'!GV90=0,"",'[3]BASE'!GV90)</f>
      </c>
      <c r="L90" s="911">
        <f>IF('[3]BASE'!GW90=0,"",'[3]BASE'!GW90)</f>
      </c>
      <c r="M90" s="911">
        <f>IF('[3]BASE'!GX90=0,"",'[3]BASE'!GX90)</f>
      </c>
      <c r="N90" s="911">
        <f>IF('[3]BASE'!GY90=0,"",'[3]BASE'!GY90)</f>
      </c>
      <c r="O90" s="911">
        <f>IF('[3]BASE'!GZ90=0,"",'[3]BASE'!GZ90)</f>
      </c>
      <c r="P90" s="911">
        <f>IF('[3]BASE'!HA90=0,"",'[3]BASE'!HA90)</f>
      </c>
      <c r="Q90" s="911">
        <f>IF('[3]BASE'!HB90=0,"",'[3]BASE'!HB90)</f>
      </c>
      <c r="R90" s="911">
        <f>IF('[3]BASE'!HC90=0,"",'[3]BASE'!HC90)</f>
      </c>
      <c r="S90" s="911">
        <f>IF('[3]BASE'!HD90=0,"",'[3]BASE'!HD90)</f>
      </c>
      <c r="T90" s="912"/>
      <c r="U90" s="908"/>
    </row>
    <row r="91" spans="2:21" s="902" customFormat="1" ht="19.5" customHeight="1">
      <c r="B91" s="903"/>
      <c r="C91" s="913">
        <f>IF('[3]BASE'!C91=0,"",'[3]BASE'!C91)</f>
        <v>68</v>
      </c>
      <c r="D91" s="913" t="str">
        <f>IF('[3]BASE'!D91=0,"",'[3]BASE'!D91)</f>
        <v>RINCON - SALTO GRANDE</v>
      </c>
      <c r="E91" s="913">
        <f>IF('[3]BASE'!E91=0,"",'[3]BASE'!E91)</f>
        <v>500</v>
      </c>
      <c r="F91" s="914">
        <f>IF('[3]BASE'!F91=0,"",'[3]BASE'!F91)</f>
        <v>506</v>
      </c>
      <c r="G91" s="914" t="str">
        <f>IF('[2]BASE'!G91=0,"",'[2]BASE'!G91)</f>
        <v>A</v>
      </c>
      <c r="H91" s="911">
        <f>IF('[3]BASE'!GS91=0,"",'[3]BASE'!GS91)</f>
      </c>
      <c r="I91" s="911">
        <f>IF('[3]BASE'!GT91=0,"",'[3]BASE'!GT91)</f>
      </c>
      <c r="J91" s="911">
        <f>IF('[3]BASE'!GU91=0,"",'[3]BASE'!GU91)</f>
      </c>
      <c r="K91" s="911">
        <f>IF('[3]BASE'!GV91=0,"",'[3]BASE'!GV91)</f>
      </c>
      <c r="L91" s="911">
        <f>IF('[3]BASE'!GW91=0,"",'[3]BASE'!GW91)</f>
      </c>
      <c r="M91" s="911">
        <f>IF('[3]BASE'!GX91=0,"",'[3]BASE'!GX91)</f>
      </c>
      <c r="N91" s="911">
        <f>IF('[3]BASE'!GY91=0,"",'[3]BASE'!GY91)</f>
      </c>
      <c r="O91" s="911">
        <f>IF('[3]BASE'!GZ91=0,"",'[3]BASE'!GZ91)</f>
      </c>
      <c r="P91" s="911">
        <f>IF('[3]BASE'!HA91=0,"",'[3]BASE'!HA91)</f>
      </c>
      <c r="Q91" s="911">
        <f>IF('[3]BASE'!HB91=0,"",'[3]BASE'!HB91)</f>
      </c>
      <c r="R91" s="911">
        <f>IF('[3]BASE'!HC91=0,"",'[3]BASE'!HC91)</f>
      </c>
      <c r="S91" s="911">
        <f>IF('[3]BASE'!HD91=0,"",'[3]BASE'!HD91)</f>
        <v>1</v>
      </c>
      <c r="T91" s="912"/>
      <c r="U91" s="908"/>
    </row>
    <row r="92" spans="2:21" s="902" customFormat="1" ht="19.5" customHeight="1">
      <c r="B92" s="903"/>
      <c r="C92" s="915">
        <f>IF('[3]BASE'!C92=0,"",'[3]BASE'!C92)</f>
        <v>69</v>
      </c>
      <c r="D92" s="915" t="str">
        <f>IF('[3]BASE'!D92=0,"",'[3]BASE'!D92)</f>
        <v>RINCON - SAN ISIDRO</v>
      </c>
      <c r="E92" s="915">
        <f>IF('[3]BASE'!E92=0,"",'[3]BASE'!E92)</f>
        <v>500</v>
      </c>
      <c r="F92" s="916">
        <f>IF('[3]BASE'!F92=0,"",'[3]BASE'!F92)</f>
        <v>85</v>
      </c>
      <c r="G92" s="916" t="str">
        <f>IF('[2]BASE'!G92=0,"",'[2]BASE'!G92)</f>
        <v>C</v>
      </c>
      <c r="H92" s="911">
        <f>IF('[3]BASE'!GS92=0,"",'[3]BASE'!GS92)</f>
      </c>
      <c r="I92" s="911">
        <f>IF('[3]BASE'!GT92=0,"",'[3]BASE'!GT92)</f>
      </c>
      <c r="J92" s="911">
        <f>IF('[3]BASE'!GU92=0,"",'[3]BASE'!GU92)</f>
      </c>
      <c r="K92" s="911">
        <f>IF('[3]BASE'!GV92=0,"",'[3]BASE'!GV92)</f>
      </c>
      <c r="L92" s="911">
        <f>IF('[3]BASE'!GW92=0,"",'[3]BASE'!GW92)</f>
      </c>
      <c r="M92" s="911">
        <f>IF('[3]BASE'!GX92=0,"",'[3]BASE'!GX92)</f>
      </c>
      <c r="N92" s="911">
        <f>IF('[3]BASE'!GY92=0,"",'[3]BASE'!GY92)</f>
      </c>
      <c r="O92" s="911">
        <f>IF('[3]BASE'!GZ92=0,"",'[3]BASE'!GZ92)</f>
      </c>
      <c r="P92" s="911">
        <f>IF('[3]BASE'!HA92=0,"",'[3]BASE'!HA92)</f>
      </c>
      <c r="Q92" s="911">
        <f>IF('[3]BASE'!HB92=0,"",'[3]BASE'!HB92)</f>
      </c>
      <c r="R92" s="911">
        <f>IF('[3]BASE'!HC92=0,"",'[3]BASE'!HC92)</f>
      </c>
      <c r="S92" s="911">
        <f>IF('[3]BASE'!HD92=0,"",'[3]BASE'!HD92)</f>
      </c>
      <c r="T92" s="912"/>
      <c r="U92" s="908"/>
    </row>
    <row r="93" spans="2:21" s="902" customFormat="1" ht="19.5" customHeight="1">
      <c r="B93" s="903"/>
      <c r="C93" s="913">
        <f>IF('[3]BASE'!C93=0,"",'[3]BASE'!C93)</f>
      </c>
      <c r="D93" s="913">
        <f>IF('[3]BASE'!D93=0,"",'[3]BASE'!D93)</f>
      </c>
      <c r="E93" s="913">
        <f>IF('[3]BASE'!E93=0,"",'[3]BASE'!E93)</f>
      </c>
      <c r="F93" s="914">
        <f>IF('[3]BASE'!F93=0,"",'[3]BASE'!F93)</f>
      </c>
      <c r="G93" s="914" t="e">
        <f>IF('[2]BASE'!G93=0,"",'[2]BASE'!G93)</f>
        <v>#REF!</v>
      </c>
      <c r="H93" s="911">
        <f>IF('[3]BASE'!GS93=0,"",'[3]BASE'!GS93)</f>
      </c>
      <c r="I93" s="911">
        <f>IF('[3]BASE'!GT93=0,"",'[3]BASE'!GT93)</f>
      </c>
      <c r="J93" s="911">
        <f>IF('[3]BASE'!GU93=0,"",'[3]BASE'!GU93)</f>
      </c>
      <c r="K93" s="911">
        <f>IF('[3]BASE'!GV93=0,"",'[3]BASE'!GV93)</f>
      </c>
      <c r="L93" s="911">
        <f>IF('[3]BASE'!GW93=0,"",'[3]BASE'!GW93)</f>
      </c>
      <c r="M93" s="911">
        <f>IF('[3]BASE'!GX93=0,"",'[3]BASE'!GX93)</f>
      </c>
      <c r="N93" s="911">
        <f>IF('[3]BASE'!GY93=0,"",'[3]BASE'!GY93)</f>
      </c>
      <c r="O93" s="911">
        <f>IF('[3]BASE'!GZ93=0,"",'[3]BASE'!GZ93)</f>
      </c>
      <c r="P93" s="911">
        <f>IF('[3]BASE'!HA93=0,"",'[3]BASE'!HA93)</f>
      </c>
      <c r="Q93" s="911">
        <f>IF('[3]BASE'!HB93=0,"",'[3]BASE'!HB93)</f>
      </c>
      <c r="R93" s="911">
        <f>IF('[3]BASE'!HC93=0,"",'[3]BASE'!HC93)</f>
      </c>
      <c r="S93" s="911">
        <f>IF('[3]BASE'!HD93=0,"",'[3]BASE'!HD93)</f>
      </c>
      <c r="T93" s="912"/>
      <c r="U93" s="908"/>
    </row>
    <row r="94" spans="2:21" s="902" customFormat="1" ht="19.5" customHeight="1">
      <c r="B94" s="903"/>
      <c r="C94" s="915">
        <f>IF('[3]BASE'!C94=0,"",'[3]BASE'!C94)</f>
        <v>70</v>
      </c>
      <c r="D94" s="915" t="str">
        <f>IF('[3]BASE'!D94=0,"",'[3]BASE'!D94)</f>
        <v>RECREO - LA RIOJA SUR</v>
      </c>
      <c r="E94" s="915">
        <f>IF('[3]BASE'!E94=0,"",'[3]BASE'!E94)</f>
        <v>500</v>
      </c>
      <c r="F94" s="916">
        <f>IF('[3]BASE'!F94=0,"",'[3]BASE'!F94)</f>
        <v>150.3</v>
      </c>
      <c r="G94" s="916" t="str">
        <f>IF('[2]BASE'!G94=0,"",'[2]BASE'!G94)</f>
        <v>C</v>
      </c>
      <c r="H94" s="911">
        <f>IF('[3]BASE'!GS94=0,"",'[3]BASE'!GS94)</f>
        <v>1</v>
      </c>
      <c r="I94" s="911">
        <f>IF('[3]BASE'!GT94=0,"",'[3]BASE'!GT94)</f>
      </c>
      <c r="J94" s="911">
        <f>IF('[3]BASE'!GU94=0,"",'[3]BASE'!GU94)</f>
      </c>
      <c r="K94" s="911">
        <f>IF('[3]BASE'!GV94=0,"",'[3]BASE'!GV94)</f>
      </c>
      <c r="L94" s="911">
        <f>IF('[3]BASE'!GW94=0,"",'[3]BASE'!GW94)</f>
      </c>
      <c r="M94" s="911">
        <f>IF('[3]BASE'!GX94=0,"",'[3]BASE'!GX94)</f>
      </c>
      <c r="N94" s="911">
        <f>IF('[3]BASE'!GY94=0,"",'[3]BASE'!GY94)</f>
      </c>
      <c r="O94" s="911">
        <f>IF('[3]BASE'!GZ94=0,"",'[3]BASE'!GZ94)</f>
      </c>
      <c r="P94" s="911">
        <f>IF('[3]BASE'!HA94=0,"",'[3]BASE'!HA94)</f>
      </c>
      <c r="Q94" s="911">
        <f>IF('[3]BASE'!HB94=0,"",'[3]BASE'!HB94)</f>
      </c>
      <c r="R94" s="911">
        <f>IF('[3]BASE'!HC94=0,"",'[3]BASE'!HC94)</f>
      </c>
      <c r="S94" s="911">
        <f>IF('[3]BASE'!HD94=0,"",'[3]BASE'!HD94)</f>
      </c>
      <c r="T94" s="912"/>
      <c r="U94" s="908"/>
    </row>
    <row r="95" spans="2:21" s="902" customFormat="1" ht="19.5" customHeight="1">
      <c r="B95" s="903"/>
      <c r="C95" s="913">
        <f>IF('[3]BASE'!C95=0,"",'[3]BASE'!C95)</f>
        <v>71</v>
      </c>
      <c r="D95" s="913" t="str">
        <f>IF('[3]BASE'!D95=0,"",'[3]BASE'!D95)</f>
        <v>M.BELGRANO - G.RODRIGUEZ</v>
      </c>
      <c r="E95" s="913">
        <f>IF('[3]BASE'!E95=0,"",'[3]BASE'!E95)</f>
        <v>500</v>
      </c>
      <c r="F95" s="914">
        <f>IF('[3]BASE'!F95=0,"",'[3]BASE'!F95)</f>
        <v>41.4</v>
      </c>
      <c r="G95" s="914" t="str">
        <f>IF('[2]BASE'!G95=0,"",'[2]BASE'!G95)</f>
        <v>C</v>
      </c>
      <c r="H95" s="911">
        <f>IF('[3]BASE'!GS95=0,"",'[3]BASE'!GS95)</f>
      </c>
      <c r="I95" s="911">
        <f>IF('[3]BASE'!GT95=0,"",'[3]BASE'!GT95)</f>
      </c>
      <c r="J95" s="911">
        <f>IF('[3]BASE'!GU95=0,"",'[3]BASE'!GU95)</f>
      </c>
      <c r="K95" s="911">
        <f>IF('[3]BASE'!GV95=0,"",'[3]BASE'!GV95)</f>
      </c>
      <c r="L95" s="911">
        <f>IF('[3]BASE'!GW95=0,"",'[3]BASE'!GW95)</f>
        <v>1</v>
      </c>
      <c r="M95" s="911">
        <f>IF('[3]BASE'!GX95=0,"",'[3]BASE'!GX95)</f>
      </c>
      <c r="N95" s="911">
        <f>IF('[3]BASE'!GY95=0,"",'[3]BASE'!GY95)</f>
      </c>
      <c r="O95" s="911">
        <f>IF('[3]BASE'!GZ95=0,"",'[3]BASE'!GZ95)</f>
      </c>
      <c r="P95" s="911">
        <f>IF('[3]BASE'!HA95=0,"",'[3]BASE'!HA95)</f>
      </c>
      <c r="Q95" s="911">
        <f>IF('[3]BASE'!HB95=0,"",'[3]BASE'!HB95)</f>
      </c>
      <c r="R95" s="911">
        <f>IF('[3]BASE'!HC95=0,"",'[3]BASE'!HC95)</f>
      </c>
      <c r="S95" s="911">
        <f>IF('[3]BASE'!HD95=0,"",'[3]BASE'!HD95)</f>
      </c>
      <c r="T95" s="912"/>
      <c r="U95" s="908"/>
    </row>
    <row r="96" spans="2:21" s="902" customFormat="1" ht="9.75" customHeight="1">
      <c r="B96" s="903"/>
      <c r="C96" s="950">
        <f>IF('[3]BASE'!C96=0,"",'[3]BASE'!C96)</f>
      </c>
      <c r="D96" s="950">
        <f>IF('[3]BASE'!D96=0,"",'[3]BASE'!D96)</f>
      </c>
      <c r="E96" s="950">
        <f>IF('[3]BASE'!E96=0,"",'[3]BASE'!E96)</f>
      </c>
      <c r="F96" s="950">
        <f>IF('[3]BASE'!F96=0,"",'[3]BASE'!F96)</f>
      </c>
      <c r="G96" s="951" t="e">
        <f>IF('[2]BASE'!G96=0,"",'[2]BASE'!G96)</f>
        <v>#REF!</v>
      </c>
      <c r="H96" s="952">
        <f>IF('[3]BASE'!GS96=0,"",'[3]BASE'!GS96)</f>
      </c>
      <c r="I96" s="952">
        <f>IF('[3]BASE'!GT96=0,"",'[3]BASE'!GT96)</f>
      </c>
      <c r="J96" s="952">
        <f>IF('[3]BASE'!GU96=0,"",'[3]BASE'!GU96)</f>
      </c>
      <c r="K96" s="952">
        <f>IF('[3]BASE'!GV96=0,"",'[3]BASE'!GV96)</f>
      </c>
      <c r="L96" s="952">
        <f>IF('[3]BASE'!GW96=0,"",'[3]BASE'!GW96)</f>
      </c>
      <c r="M96" s="952">
        <f>IF('[3]BASE'!GX96=0,"",'[3]BASE'!GX96)</f>
      </c>
      <c r="N96" s="952">
        <f>IF('[3]BASE'!GY96=0,"",'[3]BASE'!GY96)</f>
      </c>
      <c r="O96" s="952">
        <f>IF('[3]BASE'!GZ96=0,"",'[3]BASE'!GZ96)</f>
      </c>
      <c r="P96" s="952">
        <f>IF('[3]BASE'!HA96=0,"",'[3]BASE'!HA96)</f>
      </c>
      <c r="Q96" s="952">
        <f>IF('[3]BASE'!HB96=0,"",'[3]BASE'!HB96)</f>
      </c>
      <c r="R96" s="952">
        <f>IF('[3]BASE'!HC96=0,"",'[3]BASE'!HC96)</f>
      </c>
      <c r="S96" s="952">
        <f>IF('[3]BASE'!HD96=0,"",'[3]BASE'!HD96)</f>
      </c>
      <c r="T96" s="912"/>
      <c r="U96" s="908"/>
    </row>
    <row r="97" spans="2:21" s="902" customFormat="1" ht="9.75" customHeight="1" thickBot="1">
      <c r="B97" s="903"/>
      <c r="C97" s="917"/>
      <c r="D97" s="917"/>
      <c r="E97" s="917"/>
      <c r="F97" s="917"/>
      <c r="G97" s="918"/>
      <c r="H97" s="919"/>
      <c r="I97" s="919"/>
      <c r="J97" s="919"/>
      <c r="K97" s="919"/>
      <c r="L97" s="919"/>
      <c r="M97" s="919"/>
      <c r="N97" s="919"/>
      <c r="O97" s="919"/>
      <c r="P97" s="919"/>
      <c r="Q97" s="919"/>
      <c r="R97" s="919"/>
      <c r="S97" s="919"/>
      <c r="T97" s="912"/>
      <c r="U97" s="908"/>
    </row>
    <row r="98" spans="2:21" s="902" customFormat="1" ht="19.5" customHeight="1" thickBot="1" thickTop="1">
      <c r="B98" s="903"/>
      <c r="C98" s="920"/>
      <c r="D98" s="921"/>
      <c r="E98" s="922" t="s">
        <v>365</v>
      </c>
      <c r="F98" s="923">
        <f>SUM(F16:F97)-F46-F54-F57-F61-F89</f>
        <v>9902.33</v>
      </c>
      <c r="G98" s="924"/>
      <c r="H98" s="925"/>
      <c r="I98" s="925"/>
      <c r="J98" s="925"/>
      <c r="K98" s="925"/>
      <c r="L98" s="925"/>
      <c r="M98" s="925"/>
      <c r="N98" s="925"/>
      <c r="O98" s="925"/>
      <c r="P98" s="925"/>
      <c r="Q98" s="925"/>
      <c r="R98" s="925"/>
      <c r="S98" s="925"/>
      <c r="T98" s="912"/>
      <c r="U98" s="908"/>
    </row>
    <row r="99" spans="2:21" s="902" customFormat="1" ht="19.5" customHeight="1" thickBot="1" thickTop="1">
      <c r="B99" s="903"/>
      <c r="C99" s="926"/>
      <c r="D99" s="927"/>
      <c r="E99" s="928"/>
      <c r="F99" s="929" t="s">
        <v>366</v>
      </c>
      <c r="H99" s="930">
        <f aca="true" t="shared" si="0" ref="H99:S99">SUM(H17:H97)</f>
        <v>8</v>
      </c>
      <c r="I99" s="930">
        <f t="shared" si="0"/>
        <v>3</v>
      </c>
      <c r="J99" s="930">
        <f t="shared" si="0"/>
        <v>3</v>
      </c>
      <c r="K99" s="930">
        <f t="shared" si="0"/>
        <v>1</v>
      </c>
      <c r="L99" s="930">
        <f t="shared" si="0"/>
        <v>1</v>
      </c>
      <c r="M99" s="930">
        <f t="shared" si="0"/>
        <v>1</v>
      </c>
      <c r="N99" s="930">
        <f t="shared" si="0"/>
        <v>0</v>
      </c>
      <c r="O99" s="930">
        <f t="shared" si="0"/>
        <v>7</v>
      </c>
      <c r="P99" s="930">
        <f t="shared" si="0"/>
        <v>0</v>
      </c>
      <c r="Q99" s="930">
        <f t="shared" si="0"/>
        <v>2</v>
      </c>
      <c r="R99" s="930">
        <f t="shared" si="0"/>
        <v>4</v>
      </c>
      <c r="S99" s="930">
        <f t="shared" si="0"/>
        <v>4</v>
      </c>
      <c r="T99" s="912"/>
      <c r="U99" s="908"/>
    </row>
    <row r="100" spans="2:21" s="902" customFormat="1" ht="19.5" customHeight="1" thickBot="1" thickTop="1">
      <c r="B100" s="903"/>
      <c r="E100" s="928"/>
      <c r="F100" s="929" t="s">
        <v>367</v>
      </c>
      <c r="H100" s="931">
        <f>'[3]BASE'!GS104</f>
        <v>0.59</v>
      </c>
      <c r="I100" s="931">
        <f>'[3]BASE'!GT104</f>
        <v>0.65</v>
      </c>
      <c r="J100" s="931">
        <f>'[3]BASE'!GU104</f>
        <v>0.63</v>
      </c>
      <c r="K100" s="931">
        <f>'[3]BASE'!GV104</f>
        <v>0.64</v>
      </c>
      <c r="L100" s="931">
        <f>'[3]BASE'!GW104</f>
        <v>0.61</v>
      </c>
      <c r="M100" s="931">
        <f>'[3]BASE'!GX104</f>
        <v>0.59</v>
      </c>
      <c r="N100" s="931">
        <f>'[3]BASE'!GY104</f>
        <v>0.54</v>
      </c>
      <c r="O100" s="931">
        <f>'[3]BASE'!GZ104</f>
        <v>0.44</v>
      </c>
      <c r="P100" s="931">
        <f>'[3]BASE'!HA104</f>
        <v>0.45</v>
      </c>
      <c r="Q100" s="931">
        <f>'[3]BASE'!HB104</f>
        <v>0.43</v>
      </c>
      <c r="R100" s="931">
        <f>'[3]BASE'!HC104</f>
        <v>0.38</v>
      </c>
      <c r="S100" s="931">
        <f>'[3]BASE'!HD104</f>
        <v>0.28</v>
      </c>
      <c r="T100" s="931">
        <f>'[3]BASE'!HE104</f>
        <v>0.32</v>
      </c>
      <c r="U100" s="908"/>
    </row>
    <row r="101" spans="2:21" s="777" customFormat="1" ht="9.75" customHeight="1" thickBot="1" thickTop="1">
      <c r="B101" s="932"/>
      <c r="C101"/>
      <c r="D101" s="933"/>
      <c r="E101" s="934"/>
      <c r="F101" s="935"/>
      <c r="G101"/>
      <c r="H101" s="936"/>
      <c r="I101" s="936"/>
      <c r="J101" s="936"/>
      <c r="K101" s="936"/>
      <c r="L101" s="936"/>
      <c r="M101" s="936"/>
      <c r="N101" s="936"/>
      <c r="O101" s="936"/>
      <c r="P101" s="936"/>
      <c r="Q101" s="936"/>
      <c r="R101" s="936"/>
      <c r="S101" s="936"/>
      <c r="T101" s="936"/>
      <c r="U101" s="937"/>
    </row>
    <row r="102" spans="2:21" ht="15.75" customHeight="1" thickBot="1">
      <c r="B102" s="50"/>
      <c r="C102" s="938"/>
      <c r="D102" s="15" t="s">
        <v>368</v>
      </c>
      <c r="E102" s="4"/>
      <c r="F102" s="4"/>
      <c r="G102" s="66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6"/>
    </row>
    <row r="103" spans="2:21" ht="20.25" thickBot="1" thickTop="1">
      <c r="B103" s="50"/>
      <c r="C103" s="66"/>
      <c r="D103" s="4"/>
      <c r="H103" s="939" t="s">
        <v>369</v>
      </c>
      <c r="I103" s="940"/>
      <c r="J103" s="941">
        <f>T100</f>
        <v>0.32</v>
      </c>
      <c r="K103" s="942" t="s">
        <v>370</v>
      </c>
      <c r="L103" s="943"/>
      <c r="M103" s="944"/>
      <c r="N103" s="4"/>
      <c r="O103" s="4"/>
      <c r="P103" s="4"/>
      <c r="Q103" s="4"/>
      <c r="R103" s="4"/>
      <c r="S103" s="4"/>
      <c r="T103" s="4"/>
      <c r="U103" s="6"/>
    </row>
    <row r="104" spans="2:21" s="32" customFormat="1" ht="9.75" customHeight="1" thickBot="1" thickTop="1">
      <c r="B104" s="57"/>
      <c r="C104" s="945"/>
      <c r="D104" s="59"/>
      <c r="E104" s="59"/>
      <c r="F104" s="945"/>
      <c r="G104" s="945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60"/>
    </row>
    <row r="105" spans="3:7" ht="13.5" thickTop="1">
      <c r="C105" s="946"/>
      <c r="F105" s="946"/>
      <c r="G105" s="946"/>
    </row>
    <row r="106" spans="3:194" ht="12.75">
      <c r="C106" s="946"/>
      <c r="D106" s="66"/>
      <c r="E106" s="66"/>
      <c r="F106" s="66"/>
      <c r="G106" s="66"/>
      <c r="H106" s="947"/>
      <c r="I106" s="947"/>
      <c r="J106" s="947"/>
      <c r="K106" s="947"/>
      <c r="L106" s="947"/>
      <c r="M106" s="947"/>
      <c r="N106" s="947"/>
      <c r="O106" s="947"/>
      <c r="P106" s="947"/>
      <c r="Q106" s="947"/>
      <c r="R106" s="947"/>
      <c r="S106" s="947"/>
      <c r="T106" s="947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</row>
    <row r="107" spans="3:194" ht="12.75">
      <c r="C107" s="946"/>
      <c r="D107" s="66"/>
      <c r="E107" s="66"/>
      <c r="F107" s="66"/>
      <c r="G107" s="66"/>
      <c r="H107" s="947"/>
      <c r="I107" s="947"/>
      <c r="J107" s="947"/>
      <c r="K107" s="947"/>
      <c r="L107" s="947"/>
      <c r="M107" s="947"/>
      <c r="N107" s="947"/>
      <c r="O107" s="947"/>
      <c r="P107" s="947"/>
      <c r="Q107" s="947"/>
      <c r="R107" s="947"/>
      <c r="S107" s="947"/>
      <c r="T107" s="947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</row>
    <row r="108" spans="3:194" ht="12.75">
      <c r="C108" s="946"/>
      <c r="D108" s="66"/>
      <c r="E108" s="66"/>
      <c r="F108" s="66"/>
      <c r="G108" s="66"/>
      <c r="H108" s="948"/>
      <c r="I108" s="948"/>
      <c r="J108" s="948"/>
      <c r="K108" s="948"/>
      <c r="L108" s="948"/>
      <c r="M108" s="948"/>
      <c r="N108" s="948"/>
      <c r="O108" s="948"/>
      <c r="P108" s="948"/>
      <c r="Q108" s="948"/>
      <c r="R108" s="948"/>
      <c r="S108" s="948"/>
      <c r="T108" s="94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</row>
    <row r="109" spans="3:194" ht="12.75">
      <c r="C109" s="946"/>
      <c r="D109" s="66"/>
      <c r="E109" s="66"/>
      <c r="F109" s="66"/>
      <c r="G109" s="66"/>
      <c r="H109" s="947"/>
      <c r="I109" s="947"/>
      <c r="J109" s="947"/>
      <c r="K109" s="947"/>
      <c r="L109" s="947"/>
      <c r="M109" s="947"/>
      <c r="N109" s="947"/>
      <c r="O109" s="947"/>
      <c r="P109" s="947"/>
      <c r="Q109" s="947"/>
      <c r="R109" s="947"/>
      <c r="S109" s="947"/>
      <c r="T109" s="947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</row>
    <row r="110" spans="3:194" ht="12.75">
      <c r="C110" s="946"/>
      <c r="D110" s="66"/>
      <c r="E110" s="66"/>
      <c r="F110" s="66"/>
      <c r="G110" s="66"/>
      <c r="H110" s="947"/>
      <c r="I110" s="947"/>
      <c r="J110" s="947"/>
      <c r="K110" s="947"/>
      <c r="L110" s="947"/>
      <c r="M110" s="947"/>
      <c r="N110" s="947"/>
      <c r="O110" s="947"/>
      <c r="P110" s="947"/>
      <c r="Q110" s="947"/>
      <c r="R110" s="947"/>
      <c r="S110" s="947"/>
      <c r="T110" s="947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</row>
    <row r="111" spans="3:194" ht="12.75">
      <c r="C111" s="946"/>
      <c r="D111" s="66"/>
      <c r="E111" s="66"/>
      <c r="F111" s="66"/>
      <c r="G111" s="66"/>
      <c r="H111" s="947"/>
      <c r="I111" s="947"/>
      <c r="J111" s="947"/>
      <c r="K111" s="947"/>
      <c r="L111" s="947"/>
      <c r="M111" s="947"/>
      <c r="N111" s="947"/>
      <c r="O111" s="947"/>
      <c r="P111" s="947"/>
      <c r="Q111" s="947"/>
      <c r="R111" s="947"/>
      <c r="S111" s="947"/>
      <c r="T111" s="947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</row>
    <row r="112" spans="3:194" ht="12.75">
      <c r="C112" s="946"/>
      <c r="D112" s="66"/>
      <c r="E112" s="66"/>
      <c r="F112" s="66"/>
      <c r="G112" s="66"/>
      <c r="H112" s="947"/>
      <c r="I112" s="947"/>
      <c r="J112" s="947"/>
      <c r="K112" s="947"/>
      <c r="L112" s="947"/>
      <c r="M112" s="947"/>
      <c r="N112" s="947"/>
      <c r="O112" s="947"/>
      <c r="P112" s="947"/>
      <c r="Q112" s="947"/>
      <c r="R112" s="947"/>
      <c r="S112" s="947"/>
      <c r="T112" s="947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</row>
    <row r="113" spans="3:194" ht="12.75">
      <c r="C113" s="946"/>
      <c r="D113" s="66"/>
      <c r="E113" s="66"/>
      <c r="F113" s="66"/>
      <c r="G113" s="66"/>
      <c r="H113" s="947"/>
      <c r="I113" s="947"/>
      <c r="J113" s="947"/>
      <c r="K113" s="947"/>
      <c r="L113" s="947"/>
      <c r="M113" s="947"/>
      <c r="N113" s="947"/>
      <c r="O113" s="947"/>
      <c r="P113" s="947"/>
      <c r="Q113" s="947"/>
      <c r="R113" s="947"/>
      <c r="S113" s="947"/>
      <c r="T113" s="947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</row>
    <row r="114" spans="3:194" ht="12.75">
      <c r="C114" s="94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</row>
    <row r="115" spans="3:194" ht="12.75">
      <c r="C115" s="946"/>
      <c r="D115" s="4"/>
      <c r="E115" s="4"/>
      <c r="F115" s="66"/>
      <c r="G115" s="66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</row>
    <row r="116" spans="3:7" ht="12.75">
      <c r="C116" s="946"/>
      <c r="F116" s="946"/>
      <c r="G116" s="946"/>
    </row>
    <row r="117" spans="3:7" ht="12.75">
      <c r="C117" s="946"/>
      <c r="F117" s="946"/>
      <c r="G117" s="946"/>
    </row>
    <row r="118" spans="3:7" ht="12.75">
      <c r="C118" s="946"/>
      <c r="F118" s="946"/>
      <c r="G118" s="946"/>
    </row>
    <row r="119" spans="6:7" ht="12.75">
      <c r="F119" s="946"/>
      <c r="G119" s="946"/>
    </row>
  </sheetData>
  <sheetProtection/>
  <printOptions horizontalCentered="1"/>
  <pageMargins left="0.3937007874015748" right="0.1968503937007874" top="0.57" bottom="0.59" header="0.36" footer="0.35"/>
  <pageSetup fitToHeight="1" fitToWidth="1" horizontalDpi="300" verticalDpi="300" orientation="portrait" paperSize="9" scale="37" r:id="rId2"/>
  <headerFooter alignWithMargins="0">
    <oddFooter>&amp;L&amp;"Times New Roman,Normal"&amp;8&amp;F-&amp;A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C72"/>
  <sheetViews>
    <sheetView zoomScalePageLayoutView="0" workbookViewId="0" topLeftCell="A1">
      <pane xSplit="1" ySplit="1" topLeftCell="B2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B2" sqref="B2"/>
    </sheetView>
  </sheetViews>
  <sheetFormatPr defaultColWidth="11.421875" defaultRowHeight="12.75"/>
  <cols>
    <col min="1" max="1" width="23.00390625" style="814" bestFit="1" customWidth="1"/>
    <col min="2" max="2" width="9.28125" style="814" customWidth="1"/>
    <col min="3" max="3" width="11.8515625" style="814" bestFit="1" customWidth="1"/>
    <col min="4" max="4" width="9.57421875" style="814" bestFit="1" customWidth="1"/>
    <col min="5" max="5" width="17.140625" style="814" bestFit="1" customWidth="1"/>
    <col min="6" max="6" width="71.8515625" style="814" bestFit="1" customWidth="1"/>
    <col min="7" max="9" width="5.8515625" style="814" customWidth="1"/>
    <col min="10" max="22" width="5.8515625" style="814" bestFit="1" customWidth="1"/>
    <col min="23" max="24" width="11.00390625" style="814" customWidth="1"/>
    <col min="25" max="29" width="11.421875" style="814" customWidth="1"/>
    <col min="30" max="16384" width="11.421875" style="803" customWidth="1"/>
  </cols>
  <sheetData>
    <row r="1" spans="1:4" ht="10.5">
      <c r="A1" s="813" t="s">
        <v>143</v>
      </c>
      <c r="B1" s="813" t="s">
        <v>143</v>
      </c>
      <c r="C1" s="813" t="s">
        <v>144</v>
      </c>
      <c r="D1" s="813" t="s">
        <v>145</v>
      </c>
    </row>
    <row r="2" spans="1:4" ht="10.5">
      <c r="A2" s="815" t="s">
        <v>45</v>
      </c>
      <c r="B2" s="816" t="s">
        <v>149</v>
      </c>
      <c r="C2" s="815">
        <v>31</v>
      </c>
      <c r="D2" s="815">
        <v>2006</v>
      </c>
    </row>
    <row r="3" spans="1:4" ht="10.5">
      <c r="A3" s="815" t="s">
        <v>46</v>
      </c>
      <c r="B3" s="816" t="s">
        <v>150</v>
      </c>
      <c r="C3" s="815">
        <f>IF(MOD(E14,4)=0,29,28)</f>
        <v>28</v>
      </c>
      <c r="D3" s="815">
        <f>+D2+1</f>
        <v>2007</v>
      </c>
    </row>
    <row r="4" spans="1:4" ht="10.5">
      <c r="A4" s="815" t="s">
        <v>47</v>
      </c>
      <c r="B4" s="816" t="s">
        <v>151</v>
      </c>
      <c r="C4" s="815">
        <v>31</v>
      </c>
      <c r="D4" s="815">
        <v>2008</v>
      </c>
    </row>
    <row r="5" spans="1:4" ht="10.5">
      <c r="A5" s="815" t="s">
        <v>48</v>
      </c>
      <c r="B5" s="816" t="s">
        <v>152</v>
      </c>
      <c r="C5" s="815">
        <v>30</v>
      </c>
      <c r="D5" s="815">
        <v>2009</v>
      </c>
    </row>
    <row r="6" spans="1:4" ht="10.5">
      <c r="A6" s="815" t="s">
        <v>49</v>
      </c>
      <c r="B6" s="816" t="s">
        <v>153</v>
      </c>
      <c r="C6" s="815">
        <v>31</v>
      </c>
      <c r="D6" s="815">
        <v>2010</v>
      </c>
    </row>
    <row r="7" spans="1:4" ht="10.5">
      <c r="A7" s="815" t="s">
        <v>50</v>
      </c>
      <c r="B7" s="816" t="s">
        <v>154</v>
      </c>
      <c r="C7" s="815">
        <v>30</v>
      </c>
      <c r="D7" s="815">
        <v>2011</v>
      </c>
    </row>
    <row r="8" spans="1:4" ht="10.5">
      <c r="A8" s="815" t="s">
        <v>51</v>
      </c>
      <c r="B8" s="816" t="s">
        <v>155</v>
      </c>
      <c r="C8" s="815">
        <v>31</v>
      </c>
      <c r="D8" s="815"/>
    </row>
    <row r="9" spans="1:4" ht="10.5">
      <c r="A9" s="815" t="s">
        <v>52</v>
      </c>
      <c r="B9" s="816" t="s">
        <v>156</v>
      </c>
      <c r="C9" s="815">
        <v>31</v>
      </c>
      <c r="D9" s="815"/>
    </row>
    <row r="10" spans="1:4" ht="10.5">
      <c r="A10" s="815" t="s">
        <v>53</v>
      </c>
      <c r="B10" s="816" t="s">
        <v>157</v>
      </c>
      <c r="C10" s="815">
        <v>30</v>
      </c>
      <c r="D10" s="815"/>
    </row>
    <row r="11" spans="1:4" ht="10.5">
      <c r="A11" s="815" t="s">
        <v>54</v>
      </c>
      <c r="B11" s="816" t="s">
        <v>158</v>
      </c>
      <c r="C11" s="815">
        <v>31</v>
      </c>
      <c r="D11" s="815"/>
    </row>
    <row r="12" spans="1:4" ht="10.5">
      <c r="A12" s="815" t="s">
        <v>55</v>
      </c>
      <c r="B12" s="816" t="s">
        <v>159</v>
      </c>
      <c r="C12" s="815">
        <v>30</v>
      </c>
      <c r="D12" s="815"/>
    </row>
    <row r="13" spans="1:9" ht="10.5">
      <c r="A13" s="815" t="s">
        <v>56</v>
      </c>
      <c r="B13" s="816" t="s">
        <v>160</v>
      </c>
      <c r="C13" s="815">
        <v>31</v>
      </c>
      <c r="D13" s="815"/>
      <c r="E13" s="817"/>
      <c r="I13" s="818" t="s">
        <v>196</v>
      </c>
    </row>
    <row r="14" spans="1:9" ht="10.5">
      <c r="A14" s="819">
        <v>6</v>
      </c>
      <c r="B14" s="820">
        <v>1</v>
      </c>
      <c r="C14" s="819" t="str">
        <f ca="1">CELL("CONTENIDO",OFFSET(A1,B14,0))</f>
        <v>enero</v>
      </c>
      <c r="D14" s="819">
        <f ca="1">CELL("CONTENIDO",OFFSET(C1,B14,0))</f>
        <v>31</v>
      </c>
      <c r="E14" s="819">
        <f ca="1">CELL("CONTENIDO",OFFSET(D1,A14,0))</f>
        <v>2011</v>
      </c>
      <c r="F14" s="819" t="str">
        <f>"Desde el 01 al "&amp;D14&amp;" de "&amp;C14&amp;" de "&amp;E14</f>
        <v>Desde el 01 al 31 de enero de 2011</v>
      </c>
      <c r="G14" s="819" t="str">
        <f ca="1">CELL("CONTENIDO",OFFSET(B1,B14,0))</f>
        <v>01</v>
      </c>
      <c r="H14" s="819" t="str">
        <f>RIGHT(E14,2)</f>
        <v>11</v>
      </c>
      <c r="I14" s="821" t="s">
        <v>193</v>
      </c>
    </row>
    <row r="15" spans="1:8" ht="10.5">
      <c r="A15" s="819"/>
      <c r="B15" s="822" t="str">
        <f>"\\fileserver\files\Transporte\Transporte\AA PROCESO AUT ARCHIVOS J\TRANSENER\"&amp;E14</f>
        <v>\\fileserver\files\Transporte\Transporte\AA PROCESO AUT ARCHIVOS J\TRANSENER\2011</v>
      </c>
      <c r="C15" s="819"/>
      <c r="D15" s="819"/>
      <c r="E15" s="819"/>
      <c r="F15" s="819"/>
      <c r="G15" s="819" t="str">
        <f>"J"&amp;G14&amp;H14&amp;"NER"</f>
        <v>J0111NER</v>
      </c>
      <c r="H15" s="819"/>
    </row>
    <row r="16" spans="1:8" ht="10.5">
      <c r="A16" s="819"/>
      <c r="B16" s="822" t="str">
        <f>"\\fileserver\files\Transporte\transporte\AA PROCESO AUT\INTERCAMBIO\"&amp;H14&amp;G14</f>
        <v>\\fileserver\files\Transporte\transporte\AA PROCESO AUT\INTERCAMBIO\1101</v>
      </c>
      <c r="C16" s="819"/>
      <c r="D16" s="819"/>
      <c r="E16" s="819"/>
      <c r="F16" s="819"/>
      <c r="G16" s="819"/>
      <c r="H16" s="819"/>
    </row>
    <row r="17" spans="1:29" ht="10.5">
      <c r="A17" s="813" t="s">
        <v>131</v>
      </c>
      <c r="B17" s="813" t="s">
        <v>179</v>
      </c>
      <c r="C17" s="813" t="s">
        <v>163</v>
      </c>
      <c r="D17" s="813" t="s">
        <v>162</v>
      </c>
      <c r="E17" s="813" t="s">
        <v>148</v>
      </c>
      <c r="F17" s="813" t="s">
        <v>161</v>
      </c>
      <c r="G17" s="813" t="s">
        <v>178</v>
      </c>
      <c r="H17" s="813" t="s">
        <v>164</v>
      </c>
      <c r="I17" s="813" t="s">
        <v>165</v>
      </c>
      <c r="J17" s="813" t="s">
        <v>166</v>
      </c>
      <c r="K17" s="813" t="s">
        <v>167</v>
      </c>
      <c r="L17" s="813" t="s">
        <v>168</v>
      </c>
      <c r="M17" s="813" t="s">
        <v>169</v>
      </c>
      <c r="N17" s="813" t="s">
        <v>170</v>
      </c>
      <c r="O17" s="813" t="s">
        <v>171</v>
      </c>
      <c r="P17" s="813" t="s">
        <v>230</v>
      </c>
      <c r="Q17" s="813" t="s">
        <v>172</v>
      </c>
      <c r="R17" s="813" t="s">
        <v>173</v>
      </c>
      <c r="S17" s="813" t="s">
        <v>174</v>
      </c>
      <c r="T17" s="813" t="s">
        <v>175</v>
      </c>
      <c r="U17" s="813" t="s">
        <v>176</v>
      </c>
      <c r="V17" s="813" t="s">
        <v>177</v>
      </c>
      <c r="W17" s="813" t="s">
        <v>197</v>
      </c>
      <c r="X17" s="813" t="s">
        <v>198</v>
      </c>
      <c r="Y17" s="813" t="s">
        <v>200</v>
      </c>
      <c r="Z17" s="813" t="s">
        <v>199</v>
      </c>
      <c r="AA17" s="813" t="s">
        <v>202</v>
      </c>
      <c r="AB17" s="813" t="s">
        <v>201</v>
      </c>
      <c r="AC17" s="813" t="s">
        <v>210</v>
      </c>
    </row>
    <row r="18" spans="1:29" ht="10.5">
      <c r="A18" s="801" t="s">
        <v>132</v>
      </c>
      <c r="B18" s="801">
        <v>22</v>
      </c>
      <c r="C18" s="801">
        <v>20</v>
      </c>
      <c r="D18" s="801">
        <v>13</v>
      </c>
      <c r="E18" s="801" t="str">
        <f>"LI-"&amp;$G$14</f>
        <v>LI-01</v>
      </c>
      <c r="F18" s="801" t="s">
        <v>234</v>
      </c>
      <c r="G18" s="801">
        <v>3</v>
      </c>
      <c r="H18" s="802">
        <v>5</v>
      </c>
      <c r="I18" s="802">
        <v>4</v>
      </c>
      <c r="J18" s="801">
        <v>6</v>
      </c>
      <c r="K18" s="801">
        <v>7</v>
      </c>
      <c r="L18" s="801">
        <v>8</v>
      </c>
      <c r="M18" s="801">
        <v>9</v>
      </c>
      <c r="N18" s="801">
        <v>12</v>
      </c>
      <c r="O18" s="801">
        <v>13</v>
      </c>
      <c r="P18" s="801">
        <v>16</v>
      </c>
      <c r="Q18" s="801">
        <v>19</v>
      </c>
      <c r="R18" s="801">
        <v>30</v>
      </c>
      <c r="S18" s="801">
        <v>0</v>
      </c>
      <c r="T18" s="801">
        <v>0</v>
      </c>
      <c r="U18" s="801">
        <v>0</v>
      </c>
      <c r="V18" s="801">
        <v>0</v>
      </c>
      <c r="W18" s="801">
        <v>17</v>
      </c>
      <c r="X18" s="801">
        <v>9</v>
      </c>
      <c r="Y18" s="801">
        <v>43</v>
      </c>
      <c r="Z18" s="802">
        <v>31</v>
      </c>
      <c r="AA18" s="801">
        <v>20</v>
      </c>
      <c r="AB18" s="802">
        <v>31</v>
      </c>
      <c r="AC18" s="801">
        <v>16</v>
      </c>
    </row>
    <row r="19" spans="1:29" ht="10.5">
      <c r="A19" s="801" t="s">
        <v>135</v>
      </c>
      <c r="B19" s="802">
        <v>20</v>
      </c>
      <c r="C19" s="802">
        <v>20</v>
      </c>
      <c r="D19" s="802">
        <v>13</v>
      </c>
      <c r="E19" s="801" t="str">
        <f>"LI-YACY-"&amp;$G$14</f>
        <v>LI-YACY-01</v>
      </c>
      <c r="F19" s="801" t="s">
        <v>235</v>
      </c>
      <c r="G19" s="802">
        <v>3</v>
      </c>
      <c r="H19" s="802">
        <v>5</v>
      </c>
      <c r="I19" s="802">
        <v>4</v>
      </c>
      <c r="J19" s="802">
        <v>6</v>
      </c>
      <c r="K19" s="802">
        <v>7</v>
      </c>
      <c r="L19" s="802">
        <v>8</v>
      </c>
      <c r="M19" s="802">
        <v>9</v>
      </c>
      <c r="N19" s="802">
        <v>12</v>
      </c>
      <c r="O19" s="802">
        <v>13</v>
      </c>
      <c r="P19" s="802">
        <v>16</v>
      </c>
      <c r="Q19" s="802">
        <v>19</v>
      </c>
      <c r="R19" s="802">
        <v>30</v>
      </c>
      <c r="S19" s="802">
        <v>0</v>
      </c>
      <c r="T19" s="802">
        <v>0</v>
      </c>
      <c r="U19" s="802">
        <v>0</v>
      </c>
      <c r="V19" s="802">
        <v>0</v>
      </c>
      <c r="W19" s="802">
        <v>18</v>
      </c>
      <c r="X19" s="802">
        <v>9</v>
      </c>
      <c r="Y19" s="802">
        <v>41</v>
      </c>
      <c r="Z19" s="802">
        <v>31</v>
      </c>
      <c r="AA19" s="801">
        <v>20</v>
      </c>
      <c r="AB19" s="802">
        <v>31</v>
      </c>
      <c r="AC19" s="802">
        <v>16</v>
      </c>
    </row>
    <row r="20" spans="1:29" ht="10.5">
      <c r="A20" s="801" t="s">
        <v>136</v>
      </c>
      <c r="B20" s="801">
        <v>22</v>
      </c>
      <c r="C20" s="801">
        <v>20</v>
      </c>
      <c r="D20" s="801">
        <v>13</v>
      </c>
      <c r="E20" s="801" t="str">
        <f>"LI-LITSA-"&amp;$G$14</f>
        <v>LI-LITSA-01</v>
      </c>
      <c r="F20" s="801" t="s">
        <v>236</v>
      </c>
      <c r="G20" s="801">
        <v>3</v>
      </c>
      <c r="H20" s="802">
        <v>5</v>
      </c>
      <c r="I20" s="802">
        <v>4</v>
      </c>
      <c r="J20" s="801">
        <v>6</v>
      </c>
      <c r="K20" s="801">
        <v>7</v>
      </c>
      <c r="L20" s="801">
        <v>8</v>
      </c>
      <c r="M20" s="801">
        <v>9</v>
      </c>
      <c r="N20" s="801">
        <v>12</v>
      </c>
      <c r="O20" s="801">
        <v>13</v>
      </c>
      <c r="P20" s="801">
        <v>16</v>
      </c>
      <c r="Q20" s="801">
        <v>19</v>
      </c>
      <c r="R20" s="801">
        <v>30</v>
      </c>
      <c r="S20" s="801">
        <v>0</v>
      </c>
      <c r="T20" s="801">
        <v>0</v>
      </c>
      <c r="U20" s="801">
        <v>0</v>
      </c>
      <c r="V20" s="801">
        <v>0</v>
      </c>
      <c r="W20" s="802">
        <v>19</v>
      </c>
      <c r="X20" s="801">
        <v>9</v>
      </c>
      <c r="Y20" s="801">
        <v>43</v>
      </c>
      <c r="Z20" s="802">
        <v>32</v>
      </c>
      <c r="AA20" s="801">
        <v>20</v>
      </c>
      <c r="AB20" s="802">
        <v>32</v>
      </c>
      <c r="AC20" s="801">
        <v>16</v>
      </c>
    </row>
    <row r="21" spans="1:29" ht="10.5">
      <c r="A21" s="801" t="s">
        <v>180</v>
      </c>
      <c r="B21" s="801">
        <v>22</v>
      </c>
      <c r="C21" s="802">
        <v>20</v>
      </c>
      <c r="D21" s="801">
        <v>13</v>
      </c>
      <c r="E21" s="801" t="str">
        <f>"LI-IV-"&amp;$G$14</f>
        <v>LI-IV-01</v>
      </c>
      <c r="F21" s="801" t="s">
        <v>237</v>
      </c>
      <c r="G21" s="801">
        <v>3</v>
      </c>
      <c r="H21" s="802">
        <v>5</v>
      </c>
      <c r="I21" s="802">
        <v>4</v>
      </c>
      <c r="J21" s="801">
        <v>6</v>
      </c>
      <c r="K21" s="801">
        <v>7</v>
      </c>
      <c r="L21" s="801">
        <v>8</v>
      </c>
      <c r="M21" s="801">
        <v>9</v>
      </c>
      <c r="N21" s="801">
        <v>12</v>
      </c>
      <c r="O21" s="801">
        <v>13</v>
      </c>
      <c r="P21" s="801">
        <v>16</v>
      </c>
      <c r="Q21" s="801">
        <v>19</v>
      </c>
      <c r="R21" s="801">
        <v>30</v>
      </c>
      <c r="S21" s="801">
        <v>0</v>
      </c>
      <c r="T21" s="801">
        <v>0</v>
      </c>
      <c r="U21" s="801">
        <v>0</v>
      </c>
      <c r="V21" s="801">
        <v>0</v>
      </c>
      <c r="W21" s="802">
        <v>20</v>
      </c>
      <c r="X21" s="802">
        <v>9</v>
      </c>
      <c r="Y21" s="801">
        <v>43</v>
      </c>
      <c r="Z21" s="802">
        <v>31</v>
      </c>
      <c r="AA21" s="801">
        <v>20</v>
      </c>
      <c r="AB21" s="802">
        <v>31</v>
      </c>
      <c r="AC21" s="801">
        <v>16</v>
      </c>
    </row>
    <row r="22" spans="1:29" ht="10.5">
      <c r="A22" s="802" t="s">
        <v>217</v>
      </c>
      <c r="B22" s="802">
        <v>20</v>
      </c>
      <c r="C22" s="802">
        <v>20</v>
      </c>
      <c r="D22" s="802">
        <v>13</v>
      </c>
      <c r="E22" s="802" t="str">
        <f>"LI-INTESAR-"&amp;$G$14</f>
        <v>LI-INTESAR-01</v>
      </c>
      <c r="F22" s="802" t="s">
        <v>238</v>
      </c>
      <c r="G22" s="802">
        <v>3</v>
      </c>
      <c r="H22" s="802">
        <v>5</v>
      </c>
      <c r="I22" s="802">
        <v>4</v>
      </c>
      <c r="J22" s="802">
        <v>6</v>
      </c>
      <c r="K22" s="802">
        <v>7</v>
      </c>
      <c r="L22" s="802">
        <v>8</v>
      </c>
      <c r="M22" s="802">
        <v>9</v>
      </c>
      <c r="N22" s="802">
        <v>12</v>
      </c>
      <c r="O22" s="802">
        <v>13</v>
      </c>
      <c r="P22" s="802">
        <v>16</v>
      </c>
      <c r="Q22" s="802">
        <v>19</v>
      </c>
      <c r="R22" s="802">
        <v>30</v>
      </c>
      <c r="S22" s="802">
        <v>0</v>
      </c>
      <c r="T22" s="802">
        <v>0</v>
      </c>
      <c r="U22" s="802">
        <v>0</v>
      </c>
      <c r="V22" s="802">
        <v>0</v>
      </c>
      <c r="W22" s="802">
        <v>21</v>
      </c>
      <c r="X22" s="802">
        <v>9</v>
      </c>
      <c r="Y22" s="802">
        <v>41</v>
      </c>
      <c r="Z22" s="802">
        <v>31</v>
      </c>
      <c r="AA22" s="801">
        <v>20</v>
      </c>
      <c r="AB22" s="802">
        <v>31</v>
      </c>
      <c r="AC22" s="802">
        <v>16</v>
      </c>
    </row>
    <row r="23" spans="1:29" ht="10.5">
      <c r="A23" s="802" t="s">
        <v>218</v>
      </c>
      <c r="B23" s="802">
        <v>20</v>
      </c>
      <c r="C23" s="802">
        <v>20</v>
      </c>
      <c r="D23" s="802">
        <v>13</v>
      </c>
      <c r="E23" s="802" t="str">
        <f>"LI-CUYANA-"&amp;$G$14</f>
        <v>LI-CUYANA-01</v>
      </c>
      <c r="F23" s="802" t="s">
        <v>239</v>
      </c>
      <c r="G23" s="802">
        <v>3</v>
      </c>
      <c r="H23" s="802">
        <v>5</v>
      </c>
      <c r="I23" s="802">
        <v>4</v>
      </c>
      <c r="J23" s="802">
        <v>6</v>
      </c>
      <c r="K23" s="802">
        <v>7</v>
      </c>
      <c r="L23" s="802">
        <v>8</v>
      </c>
      <c r="M23" s="802">
        <v>9</v>
      </c>
      <c r="N23" s="802">
        <v>12</v>
      </c>
      <c r="O23" s="802">
        <v>13</v>
      </c>
      <c r="P23" s="802">
        <v>16</v>
      </c>
      <c r="Q23" s="802">
        <v>19</v>
      </c>
      <c r="R23" s="802">
        <v>30</v>
      </c>
      <c r="S23" s="802">
        <v>0</v>
      </c>
      <c r="T23" s="802">
        <v>0</v>
      </c>
      <c r="U23" s="802">
        <v>0</v>
      </c>
      <c r="V23" s="802">
        <v>0</v>
      </c>
      <c r="W23" s="802">
        <v>22</v>
      </c>
      <c r="X23" s="802">
        <v>9</v>
      </c>
      <c r="Y23" s="802">
        <v>41</v>
      </c>
      <c r="Z23" s="802">
        <v>31</v>
      </c>
      <c r="AA23" s="801">
        <v>20</v>
      </c>
      <c r="AB23" s="802">
        <v>31</v>
      </c>
      <c r="AC23" s="802">
        <v>16</v>
      </c>
    </row>
    <row r="24" spans="1:29" ht="10.5">
      <c r="A24" s="802" t="s">
        <v>214</v>
      </c>
      <c r="B24" s="802">
        <v>20</v>
      </c>
      <c r="C24" s="802">
        <v>20</v>
      </c>
      <c r="D24" s="802">
        <v>13</v>
      </c>
      <c r="E24" s="802" t="str">
        <f>"LI-LIMSA-"&amp;$G$14</f>
        <v>LI-LIMSA-01</v>
      </c>
      <c r="F24" s="802" t="s">
        <v>240</v>
      </c>
      <c r="G24" s="802">
        <v>3</v>
      </c>
      <c r="H24" s="802">
        <v>5</v>
      </c>
      <c r="I24" s="802">
        <v>4</v>
      </c>
      <c r="J24" s="802">
        <v>6</v>
      </c>
      <c r="K24" s="802">
        <v>7</v>
      </c>
      <c r="L24" s="802">
        <v>8</v>
      </c>
      <c r="M24" s="802">
        <v>9</v>
      </c>
      <c r="N24" s="802">
        <v>12</v>
      </c>
      <c r="O24" s="802">
        <v>13</v>
      </c>
      <c r="P24" s="802">
        <v>16</v>
      </c>
      <c r="Q24" s="802">
        <v>19</v>
      </c>
      <c r="R24" s="802">
        <v>30</v>
      </c>
      <c r="S24" s="802">
        <v>0</v>
      </c>
      <c r="T24" s="802">
        <v>0</v>
      </c>
      <c r="U24" s="802">
        <v>0</v>
      </c>
      <c r="V24" s="802">
        <v>0</v>
      </c>
      <c r="W24" s="802">
        <v>23</v>
      </c>
      <c r="X24" s="802">
        <v>9</v>
      </c>
      <c r="Y24" s="802">
        <v>41</v>
      </c>
      <c r="Z24" s="802">
        <v>31</v>
      </c>
      <c r="AA24" s="801">
        <v>20</v>
      </c>
      <c r="AB24" s="802">
        <v>31</v>
      </c>
      <c r="AC24" s="802">
        <v>16</v>
      </c>
    </row>
    <row r="25" spans="1:29" ht="10.5">
      <c r="A25" s="802" t="s">
        <v>260</v>
      </c>
      <c r="B25" s="802">
        <v>20</v>
      </c>
      <c r="C25" s="802">
        <v>20</v>
      </c>
      <c r="D25" s="802">
        <v>13</v>
      </c>
      <c r="E25" s="802" t="str">
        <f>"LI-RIOJA-"&amp;$G$14</f>
        <v>LI-RIOJA-01</v>
      </c>
      <c r="F25" s="802" t="s">
        <v>261</v>
      </c>
      <c r="G25" s="802">
        <v>3</v>
      </c>
      <c r="H25" s="802">
        <v>5</v>
      </c>
      <c r="I25" s="802">
        <v>4</v>
      </c>
      <c r="J25" s="802">
        <v>6</v>
      </c>
      <c r="K25" s="802">
        <v>7</v>
      </c>
      <c r="L25" s="802">
        <v>8</v>
      </c>
      <c r="M25" s="802">
        <v>9</v>
      </c>
      <c r="N25" s="802">
        <v>12</v>
      </c>
      <c r="O25" s="802">
        <v>13</v>
      </c>
      <c r="P25" s="802">
        <v>16</v>
      </c>
      <c r="Q25" s="802">
        <v>19</v>
      </c>
      <c r="R25" s="802">
        <v>30</v>
      </c>
      <c r="S25" s="802">
        <v>0</v>
      </c>
      <c r="T25" s="802">
        <v>0</v>
      </c>
      <c r="U25" s="802">
        <v>0</v>
      </c>
      <c r="V25" s="802">
        <v>0</v>
      </c>
      <c r="W25" s="802">
        <v>24</v>
      </c>
      <c r="X25" s="802">
        <v>9</v>
      </c>
      <c r="Y25" s="802">
        <v>41</v>
      </c>
      <c r="Z25" s="802">
        <v>31</v>
      </c>
      <c r="AA25" s="801">
        <v>20</v>
      </c>
      <c r="AB25" s="802">
        <v>31</v>
      </c>
      <c r="AC25" s="802">
        <v>16</v>
      </c>
    </row>
    <row r="26" spans="1:29" ht="10.5">
      <c r="A26" s="804" t="s">
        <v>133</v>
      </c>
      <c r="B26" s="804">
        <v>22</v>
      </c>
      <c r="C26" s="805">
        <v>20</v>
      </c>
      <c r="D26" s="804">
        <v>14</v>
      </c>
      <c r="E26" s="804" t="str">
        <f>"TR-"&amp;$G$14</f>
        <v>TR-01</v>
      </c>
      <c r="F26" s="804" t="s">
        <v>241</v>
      </c>
      <c r="G26" s="802">
        <v>3</v>
      </c>
      <c r="H26" s="802">
        <v>5</v>
      </c>
      <c r="I26" s="802">
        <v>4</v>
      </c>
      <c r="J26" s="802">
        <v>6</v>
      </c>
      <c r="K26" s="802">
        <v>7</v>
      </c>
      <c r="L26" s="805">
        <v>8</v>
      </c>
      <c r="M26" s="805">
        <v>9</v>
      </c>
      <c r="N26" s="805">
        <v>11</v>
      </c>
      <c r="O26" s="805">
        <v>12</v>
      </c>
      <c r="P26" s="805">
        <v>15</v>
      </c>
      <c r="Q26" s="805">
        <v>17</v>
      </c>
      <c r="R26" s="805">
        <v>18</v>
      </c>
      <c r="S26" s="805">
        <v>28</v>
      </c>
      <c r="T26" s="805">
        <v>0</v>
      </c>
      <c r="U26" s="805">
        <v>0</v>
      </c>
      <c r="V26" s="805">
        <v>0</v>
      </c>
      <c r="W26" s="805">
        <v>28</v>
      </c>
      <c r="X26" s="802">
        <v>9</v>
      </c>
      <c r="Y26" s="804">
        <v>43</v>
      </c>
      <c r="Z26" s="804">
        <v>29</v>
      </c>
      <c r="AA26" s="804">
        <v>20</v>
      </c>
      <c r="AB26" s="804">
        <v>29</v>
      </c>
      <c r="AC26" s="804">
        <v>15</v>
      </c>
    </row>
    <row r="27" spans="1:29" ht="10.5">
      <c r="A27" s="801" t="s">
        <v>137</v>
      </c>
      <c r="B27" s="801">
        <v>22</v>
      </c>
      <c r="C27" s="802">
        <v>20</v>
      </c>
      <c r="D27" s="804">
        <v>14</v>
      </c>
      <c r="E27" s="801" t="str">
        <f>"TR-LITSA-"&amp;$G$14</f>
        <v>TR-LITSA-01</v>
      </c>
      <c r="F27" s="801" t="s">
        <v>242</v>
      </c>
      <c r="G27" s="802">
        <v>3</v>
      </c>
      <c r="H27" s="802">
        <v>5</v>
      </c>
      <c r="I27" s="802">
        <v>4</v>
      </c>
      <c r="J27" s="802">
        <v>6</v>
      </c>
      <c r="K27" s="802">
        <v>7</v>
      </c>
      <c r="L27" s="805">
        <v>8</v>
      </c>
      <c r="M27" s="805">
        <v>9</v>
      </c>
      <c r="N27" s="805">
        <v>11</v>
      </c>
      <c r="O27" s="805">
        <v>12</v>
      </c>
      <c r="P27" s="805">
        <v>15</v>
      </c>
      <c r="Q27" s="805">
        <v>17</v>
      </c>
      <c r="R27" s="805">
        <v>18</v>
      </c>
      <c r="S27" s="805">
        <v>28</v>
      </c>
      <c r="T27" s="805">
        <v>0</v>
      </c>
      <c r="U27" s="805">
        <v>0</v>
      </c>
      <c r="V27" s="805">
        <v>0</v>
      </c>
      <c r="W27" s="805">
        <v>29</v>
      </c>
      <c r="X27" s="802">
        <v>9</v>
      </c>
      <c r="Y27" s="804">
        <v>43</v>
      </c>
      <c r="Z27" s="804">
        <v>29</v>
      </c>
      <c r="AA27" s="804">
        <v>20</v>
      </c>
      <c r="AB27" s="804">
        <v>29</v>
      </c>
      <c r="AC27" s="804">
        <v>15</v>
      </c>
    </row>
    <row r="28" spans="1:29" ht="10.5">
      <c r="A28" s="801" t="s">
        <v>138</v>
      </c>
      <c r="B28" s="801">
        <v>20</v>
      </c>
      <c r="C28" s="802">
        <v>20</v>
      </c>
      <c r="D28" s="804">
        <v>14</v>
      </c>
      <c r="E28" s="801" t="str">
        <f>"TR-TIBA-"&amp;$G$14</f>
        <v>TR-TIBA-01</v>
      </c>
      <c r="F28" s="801" t="s">
        <v>243</v>
      </c>
      <c r="G28" s="802">
        <v>3</v>
      </c>
      <c r="H28" s="802">
        <v>5</v>
      </c>
      <c r="I28" s="802">
        <v>4</v>
      </c>
      <c r="J28" s="802">
        <v>6</v>
      </c>
      <c r="K28" s="802">
        <v>7</v>
      </c>
      <c r="L28" s="805">
        <v>8</v>
      </c>
      <c r="M28" s="805">
        <v>9</v>
      </c>
      <c r="N28" s="805">
        <v>11</v>
      </c>
      <c r="O28" s="805">
        <v>12</v>
      </c>
      <c r="P28" s="805">
        <v>15</v>
      </c>
      <c r="Q28" s="805">
        <v>17</v>
      </c>
      <c r="R28" s="805">
        <v>18</v>
      </c>
      <c r="S28" s="805">
        <v>28</v>
      </c>
      <c r="T28" s="805">
        <v>0</v>
      </c>
      <c r="U28" s="805">
        <v>0</v>
      </c>
      <c r="V28" s="805">
        <v>0</v>
      </c>
      <c r="W28" s="805">
        <v>30</v>
      </c>
      <c r="X28" s="802">
        <v>9</v>
      </c>
      <c r="Y28" s="804">
        <v>41</v>
      </c>
      <c r="Z28" s="804">
        <v>29</v>
      </c>
      <c r="AA28" s="804">
        <v>18</v>
      </c>
      <c r="AB28" s="804">
        <v>29</v>
      </c>
      <c r="AC28" s="804">
        <v>15</v>
      </c>
    </row>
    <row r="29" spans="1:29" ht="10.5">
      <c r="A29" s="801" t="s">
        <v>139</v>
      </c>
      <c r="B29" s="801">
        <v>20</v>
      </c>
      <c r="C29" s="802">
        <v>20</v>
      </c>
      <c r="D29" s="804">
        <v>14</v>
      </c>
      <c r="E29" s="801" t="str">
        <f>"TR-ENECOR-"&amp;$G$14</f>
        <v>TR-ENECOR-01</v>
      </c>
      <c r="F29" s="801" t="s">
        <v>244</v>
      </c>
      <c r="G29" s="802">
        <v>3</v>
      </c>
      <c r="H29" s="802">
        <v>5</v>
      </c>
      <c r="I29" s="802">
        <v>4</v>
      </c>
      <c r="J29" s="802">
        <v>6</v>
      </c>
      <c r="K29" s="802">
        <v>7</v>
      </c>
      <c r="L29" s="805">
        <v>8</v>
      </c>
      <c r="M29" s="805">
        <v>9</v>
      </c>
      <c r="N29" s="805">
        <v>11</v>
      </c>
      <c r="O29" s="805">
        <v>12</v>
      </c>
      <c r="P29" s="805">
        <v>15</v>
      </c>
      <c r="Q29" s="805">
        <v>17</v>
      </c>
      <c r="R29" s="805">
        <v>18</v>
      </c>
      <c r="S29" s="805">
        <v>28</v>
      </c>
      <c r="T29" s="805">
        <v>0</v>
      </c>
      <c r="U29" s="805">
        <v>0</v>
      </c>
      <c r="V29" s="805">
        <v>0</v>
      </c>
      <c r="W29" s="805">
        <v>31</v>
      </c>
      <c r="X29" s="802">
        <v>9</v>
      </c>
      <c r="Y29" s="804">
        <v>41</v>
      </c>
      <c r="Z29" s="804">
        <v>29</v>
      </c>
      <c r="AA29" s="804">
        <v>20</v>
      </c>
      <c r="AB29" s="804">
        <v>29</v>
      </c>
      <c r="AC29" s="804">
        <v>15</v>
      </c>
    </row>
    <row r="30" spans="1:29" ht="10.5">
      <c r="A30" s="802" t="s">
        <v>226</v>
      </c>
      <c r="B30" s="802">
        <v>20</v>
      </c>
      <c r="C30" s="802">
        <v>20</v>
      </c>
      <c r="D30" s="805">
        <v>14</v>
      </c>
      <c r="E30" s="802" t="str">
        <f>"TR-INTESAR-"&amp;$G$14</f>
        <v>TR-INTESAR-01</v>
      </c>
      <c r="F30" s="802" t="s">
        <v>245</v>
      </c>
      <c r="G30" s="802">
        <v>3</v>
      </c>
      <c r="H30" s="802">
        <v>5</v>
      </c>
      <c r="I30" s="802">
        <v>4</v>
      </c>
      <c r="J30" s="802">
        <v>6</v>
      </c>
      <c r="K30" s="802">
        <v>7</v>
      </c>
      <c r="L30" s="805">
        <v>8</v>
      </c>
      <c r="M30" s="805">
        <v>9</v>
      </c>
      <c r="N30" s="805">
        <v>11</v>
      </c>
      <c r="O30" s="805">
        <v>12</v>
      </c>
      <c r="P30" s="805">
        <v>15</v>
      </c>
      <c r="Q30" s="805">
        <v>17</v>
      </c>
      <c r="R30" s="805">
        <v>18</v>
      </c>
      <c r="S30" s="805">
        <v>28</v>
      </c>
      <c r="T30" s="805">
        <v>0</v>
      </c>
      <c r="U30" s="805">
        <v>0</v>
      </c>
      <c r="V30" s="805">
        <v>0</v>
      </c>
      <c r="W30" s="805">
        <v>32</v>
      </c>
      <c r="X30" s="802">
        <v>9</v>
      </c>
      <c r="Y30" s="804">
        <v>41</v>
      </c>
      <c r="Z30" s="805">
        <v>29</v>
      </c>
      <c r="AA30" s="805">
        <v>20</v>
      </c>
      <c r="AB30" s="805">
        <v>29</v>
      </c>
      <c r="AC30" s="805">
        <v>15</v>
      </c>
    </row>
    <row r="31" spans="1:29" ht="10.5">
      <c r="A31" s="802" t="s">
        <v>215</v>
      </c>
      <c r="B31" s="802">
        <v>20</v>
      </c>
      <c r="C31" s="802">
        <v>20</v>
      </c>
      <c r="D31" s="805">
        <v>14</v>
      </c>
      <c r="E31" s="802" t="str">
        <f>"TR-LIMSA-"&amp;$G$14</f>
        <v>TR-LIMSA-01</v>
      </c>
      <c r="F31" s="802" t="s">
        <v>246</v>
      </c>
      <c r="G31" s="802">
        <v>3</v>
      </c>
      <c r="H31" s="802">
        <v>5</v>
      </c>
      <c r="I31" s="802">
        <v>4</v>
      </c>
      <c r="J31" s="802">
        <v>6</v>
      </c>
      <c r="K31" s="802">
        <v>7</v>
      </c>
      <c r="L31" s="805">
        <v>8</v>
      </c>
      <c r="M31" s="805">
        <v>9</v>
      </c>
      <c r="N31" s="805">
        <v>11</v>
      </c>
      <c r="O31" s="805">
        <v>12</v>
      </c>
      <c r="P31" s="805">
        <v>15</v>
      </c>
      <c r="Q31" s="805">
        <v>17</v>
      </c>
      <c r="R31" s="805">
        <v>18</v>
      </c>
      <c r="S31" s="805">
        <v>28</v>
      </c>
      <c r="T31" s="805">
        <v>0</v>
      </c>
      <c r="U31" s="805">
        <v>0</v>
      </c>
      <c r="V31" s="805">
        <v>0</v>
      </c>
      <c r="W31" s="805">
        <v>33</v>
      </c>
      <c r="X31" s="802">
        <v>9</v>
      </c>
      <c r="Y31" s="804">
        <v>41</v>
      </c>
      <c r="Z31" s="805">
        <v>29</v>
      </c>
      <c r="AA31" s="805">
        <v>20</v>
      </c>
      <c r="AB31" s="805">
        <v>29</v>
      </c>
      <c r="AC31" s="805">
        <v>15</v>
      </c>
    </row>
    <row r="32" spans="1:29" ht="10.5">
      <c r="A32" s="802" t="s">
        <v>219</v>
      </c>
      <c r="B32" s="802">
        <v>20</v>
      </c>
      <c r="C32" s="802">
        <v>20</v>
      </c>
      <c r="D32" s="805">
        <v>14</v>
      </c>
      <c r="E32" s="802" t="str">
        <f>"TR-CUYANA-"&amp;$G$14</f>
        <v>TR-CUYANA-01</v>
      </c>
      <c r="F32" s="802" t="s">
        <v>247</v>
      </c>
      <c r="G32" s="802">
        <v>3</v>
      </c>
      <c r="H32" s="802">
        <v>5</v>
      </c>
      <c r="I32" s="802">
        <v>4</v>
      </c>
      <c r="J32" s="802">
        <v>6</v>
      </c>
      <c r="K32" s="802">
        <v>7</v>
      </c>
      <c r="L32" s="805">
        <v>8</v>
      </c>
      <c r="M32" s="805">
        <v>9</v>
      </c>
      <c r="N32" s="805">
        <v>11</v>
      </c>
      <c r="O32" s="805">
        <v>12</v>
      </c>
      <c r="P32" s="805">
        <v>15</v>
      </c>
      <c r="Q32" s="805">
        <v>17</v>
      </c>
      <c r="R32" s="805">
        <v>18</v>
      </c>
      <c r="S32" s="805">
        <v>28</v>
      </c>
      <c r="T32" s="805">
        <v>0</v>
      </c>
      <c r="U32" s="805">
        <v>0</v>
      </c>
      <c r="V32" s="805">
        <v>0</v>
      </c>
      <c r="W32" s="805">
        <v>34</v>
      </c>
      <c r="X32" s="802">
        <v>9</v>
      </c>
      <c r="Y32" s="804">
        <v>41</v>
      </c>
      <c r="Z32" s="805">
        <v>29</v>
      </c>
      <c r="AA32" s="805">
        <v>20</v>
      </c>
      <c r="AB32" s="805">
        <v>29</v>
      </c>
      <c r="AC32" s="805">
        <v>15</v>
      </c>
    </row>
    <row r="33" spans="1:29" ht="10.5">
      <c r="A33" s="802" t="s">
        <v>262</v>
      </c>
      <c r="B33" s="802">
        <v>20</v>
      </c>
      <c r="C33" s="802">
        <v>20</v>
      </c>
      <c r="D33" s="805">
        <v>14</v>
      </c>
      <c r="E33" s="802" t="str">
        <f>"TR-COBRA-"&amp;$G$14</f>
        <v>TR-COBRA-01</v>
      </c>
      <c r="F33" s="802" t="s">
        <v>263</v>
      </c>
      <c r="G33" s="802">
        <v>3</v>
      </c>
      <c r="H33" s="802">
        <v>5</v>
      </c>
      <c r="I33" s="802">
        <v>4</v>
      </c>
      <c r="J33" s="802">
        <v>6</v>
      </c>
      <c r="K33" s="802">
        <v>7</v>
      </c>
      <c r="L33" s="805">
        <v>8</v>
      </c>
      <c r="M33" s="805">
        <v>9</v>
      </c>
      <c r="N33" s="805">
        <v>11</v>
      </c>
      <c r="O33" s="805">
        <v>12</v>
      </c>
      <c r="P33" s="805">
        <v>15</v>
      </c>
      <c r="Q33" s="805">
        <v>17</v>
      </c>
      <c r="R33" s="805">
        <v>18</v>
      </c>
      <c r="S33" s="805">
        <v>28</v>
      </c>
      <c r="T33" s="805">
        <v>0</v>
      </c>
      <c r="U33" s="805">
        <v>0</v>
      </c>
      <c r="V33" s="805">
        <v>0</v>
      </c>
      <c r="W33" s="805">
        <v>35</v>
      </c>
      <c r="X33" s="802">
        <v>9</v>
      </c>
      <c r="Y33" s="804">
        <v>41</v>
      </c>
      <c r="Z33" s="805">
        <v>29</v>
      </c>
      <c r="AA33" s="805">
        <v>20</v>
      </c>
      <c r="AB33" s="805">
        <v>29</v>
      </c>
      <c r="AC33" s="805">
        <v>15</v>
      </c>
    </row>
    <row r="34" spans="1:29" ht="10.5">
      <c r="A34" s="801" t="s">
        <v>134</v>
      </c>
      <c r="B34" s="801">
        <v>24</v>
      </c>
      <c r="C34" s="802">
        <v>20</v>
      </c>
      <c r="D34" s="802">
        <v>11</v>
      </c>
      <c r="E34" s="801" t="str">
        <f>"SA-"&amp;$G$14</f>
        <v>SA-01</v>
      </c>
      <c r="F34" s="801" t="s">
        <v>248</v>
      </c>
      <c r="G34" s="801">
        <v>3</v>
      </c>
      <c r="H34" s="802">
        <v>5</v>
      </c>
      <c r="I34" s="802">
        <v>4</v>
      </c>
      <c r="J34" s="801">
        <v>6</v>
      </c>
      <c r="K34" s="801">
        <v>7</v>
      </c>
      <c r="L34" s="801">
        <v>8</v>
      </c>
      <c r="M34" s="801">
        <v>10</v>
      </c>
      <c r="N34" s="801">
        <v>11</v>
      </c>
      <c r="O34" s="801">
        <v>14</v>
      </c>
      <c r="P34" s="801">
        <v>15</v>
      </c>
      <c r="Q34" s="801">
        <v>21</v>
      </c>
      <c r="R34" s="801">
        <v>0</v>
      </c>
      <c r="S34" s="801">
        <v>0</v>
      </c>
      <c r="T34" s="801">
        <v>0</v>
      </c>
      <c r="U34" s="801">
        <v>0</v>
      </c>
      <c r="V34" s="801">
        <v>0</v>
      </c>
      <c r="W34" s="802">
        <v>37</v>
      </c>
      <c r="X34" s="802">
        <v>9</v>
      </c>
      <c r="Y34" s="801">
        <v>45</v>
      </c>
      <c r="Z34" s="801">
        <v>22</v>
      </c>
      <c r="AA34" s="801">
        <v>22</v>
      </c>
      <c r="AB34" s="801">
        <v>22</v>
      </c>
      <c r="AC34" s="802">
        <v>14</v>
      </c>
    </row>
    <row r="35" spans="1:29" ht="10.5">
      <c r="A35" s="801" t="s">
        <v>140</v>
      </c>
      <c r="B35" s="801">
        <v>22</v>
      </c>
      <c r="C35" s="802">
        <v>20</v>
      </c>
      <c r="D35" s="802">
        <v>11</v>
      </c>
      <c r="E35" s="801" t="str">
        <f>"SA-TIBA-"&amp;$G$14</f>
        <v>SA-TIBA-01</v>
      </c>
      <c r="F35" s="801" t="s">
        <v>249</v>
      </c>
      <c r="G35" s="801">
        <v>3</v>
      </c>
      <c r="H35" s="802">
        <v>5</v>
      </c>
      <c r="I35" s="802">
        <v>4</v>
      </c>
      <c r="J35" s="801">
        <v>6</v>
      </c>
      <c r="K35" s="801">
        <v>7</v>
      </c>
      <c r="L35" s="801">
        <v>8</v>
      </c>
      <c r="M35" s="801">
        <v>10</v>
      </c>
      <c r="N35" s="801">
        <v>11</v>
      </c>
      <c r="O35" s="801">
        <v>14</v>
      </c>
      <c r="P35" s="801">
        <v>15</v>
      </c>
      <c r="Q35" s="801">
        <v>21</v>
      </c>
      <c r="R35" s="801">
        <v>0</v>
      </c>
      <c r="S35" s="801">
        <v>0</v>
      </c>
      <c r="T35" s="801">
        <v>0</v>
      </c>
      <c r="U35" s="801">
        <v>0</v>
      </c>
      <c r="V35" s="801">
        <v>0</v>
      </c>
      <c r="W35" s="802">
        <v>38</v>
      </c>
      <c r="X35" s="802">
        <v>9</v>
      </c>
      <c r="Y35" s="801">
        <v>43</v>
      </c>
      <c r="Z35" s="801">
        <v>22</v>
      </c>
      <c r="AA35" s="801">
        <v>20</v>
      </c>
      <c r="AB35" s="801">
        <v>22</v>
      </c>
      <c r="AC35" s="802">
        <v>14</v>
      </c>
    </row>
    <row r="36" spans="1:29" ht="10.5">
      <c r="A36" s="801" t="s">
        <v>141</v>
      </c>
      <c r="B36" s="801">
        <v>22</v>
      </c>
      <c r="C36" s="802">
        <v>20</v>
      </c>
      <c r="D36" s="802">
        <v>11</v>
      </c>
      <c r="E36" s="801" t="str">
        <f>"SA-ENECOR-"&amp;$G$14</f>
        <v>SA-ENECOR-01</v>
      </c>
      <c r="F36" s="801" t="s">
        <v>250</v>
      </c>
      <c r="G36" s="801">
        <v>3</v>
      </c>
      <c r="H36" s="802">
        <v>5</v>
      </c>
      <c r="I36" s="802">
        <v>4</v>
      </c>
      <c r="J36" s="801">
        <v>6</v>
      </c>
      <c r="K36" s="801">
        <v>7</v>
      </c>
      <c r="L36" s="801">
        <v>8</v>
      </c>
      <c r="M36" s="801">
        <v>10</v>
      </c>
      <c r="N36" s="801">
        <v>11</v>
      </c>
      <c r="O36" s="801">
        <v>14</v>
      </c>
      <c r="P36" s="801">
        <v>15</v>
      </c>
      <c r="Q36" s="801">
        <v>21</v>
      </c>
      <c r="R36" s="801">
        <v>0</v>
      </c>
      <c r="S36" s="801">
        <v>0</v>
      </c>
      <c r="T36" s="801">
        <v>0</v>
      </c>
      <c r="U36" s="801">
        <v>0</v>
      </c>
      <c r="V36" s="801">
        <v>0</v>
      </c>
      <c r="W36" s="802">
        <v>39</v>
      </c>
      <c r="X36" s="802">
        <v>9</v>
      </c>
      <c r="Y36" s="801">
        <v>43</v>
      </c>
      <c r="Z36" s="801">
        <v>22</v>
      </c>
      <c r="AA36" s="801">
        <v>20</v>
      </c>
      <c r="AB36" s="801">
        <v>22</v>
      </c>
      <c r="AC36" s="802">
        <v>14</v>
      </c>
    </row>
    <row r="37" spans="1:29" ht="10.5">
      <c r="A37" s="801" t="s">
        <v>233</v>
      </c>
      <c r="B37" s="801">
        <v>24</v>
      </c>
      <c r="C37" s="802">
        <v>20</v>
      </c>
      <c r="D37" s="802">
        <v>11</v>
      </c>
      <c r="E37" s="801" t="str">
        <f>"SA-LITSA-"&amp;$G$14</f>
        <v>SA-LITSA-01</v>
      </c>
      <c r="F37" s="801" t="s">
        <v>251</v>
      </c>
      <c r="G37" s="801">
        <v>3</v>
      </c>
      <c r="H37" s="802">
        <v>5</v>
      </c>
      <c r="I37" s="802">
        <v>4</v>
      </c>
      <c r="J37" s="801">
        <v>6</v>
      </c>
      <c r="K37" s="801">
        <v>7</v>
      </c>
      <c r="L37" s="801">
        <v>8</v>
      </c>
      <c r="M37" s="801">
        <v>10</v>
      </c>
      <c r="N37" s="801">
        <v>11</v>
      </c>
      <c r="O37" s="801">
        <v>14</v>
      </c>
      <c r="P37" s="801">
        <v>15</v>
      </c>
      <c r="Q37" s="801">
        <v>21</v>
      </c>
      <c r="R37" s="801">
        <v>0</v>
      </c>
      <c r="S37" s="801">
        <v>0</v>
      </c>
      <c r="T37" s="801">
        <v>0</v>
      </c>
      <c r="U37" s="801">
        <v>0</v>
      </c>
      <c r="V37" s="801">
        <v>0</v>
      </c>
      <c r="W37" s="802">
        <v>43</v>
      </c>
      <c r="X37" s="802">
        <v>9</v>
      </c>
      <c r="Y37" s="801">
        <v>45</v>
      </c>
      <c r="Z37" s="801">
        <v>22</v>
      </c>
      <c r="AA37" s="801">
        <v>22</v>
      </c>
      <c r="AB37" s="801">
        <v>22</v>
      </c>
      <c r="AC37" s="802">
        <v>14</v>
      </c>
    </row>
    <row r="38" spans="1:29" ht="10.5">
      <c r="A38" s="801" t="s">
        <v>232</v>
      </c>
      <c r="B38" s="801">
        <v>24</v>
      </c>
      <c r="C38" s="802">
        <v>20</v>
      </c>
      <c r="D38" s="802">
        <v>11</v>
      </c>
      <c r="E38" s="801" t="str">
        <f>"SA-LIMSA-"&amp;$G$14</f>
        <v>SA-LIMSA-01</v>
      </c>
      <c r="F38" s="801" t="s">
        <v>252</v>
      </c>
      <c r="G38" s="801">
        <v>3</v>
      </c>
      <c r="H38" s="802">
        <v>5</v>
      </c>
      <c r="I38" s="802">
        <v>4</v>
      </c>
      <c r="J38" s="801">
        <v>6</v>
      </c>
      <c r="K38" s="801">
        <v>7</v>
      </c>
      <c r="L38" s="801">
        <v>8</v>
      </c>
      <c r="M38" s="801">
        <v>10</v>
      </c>
      <c r="N38" s="801">
        <v>11</v>
      </c>
      <c r="O38" s="801">
        <v>14</v>
      </c>
      <c r="P38" s="801">
        <v>15</v>
      </c>
      <c r="Q38" s="801">
        <v>21</v>
      </c>
      <c r="R38" s="801">
        <v>0</v>
      </c>
      <c r="S38" s="801">
        <v>0</v>
      </c>
      <c r="T38" s="801">
        <v>0</v>
      </c>
      <c r="U38" s="801">
        <v>0</v>
      </c>
      <c r="V38" s="801">
        <v>0</v>
      </c>
      <c r="W38" s="802">
        <v>42</v>
      </c>
      <c r="X38" s="802">
        <v>9</v>
      </c>
      <c r="Y38" s="801">
        <v>45</v>
      </c>
      <c r="Z38" s="801">
        <v>22</v>
      </c>
      <c r="AA38" s="801">
        <v>22</v>
      </c>
      <c r="AB38" s="801">
        <v>22</v>
      </c>
      <c r="AC38" s="802">
        <v>14</v>
      </c>
    </row>
    <row r="39" spans="1:29" ht="10.5">
      <c r="A39" s="802" t="s">
        <v>220</v>
      </c>
      <c r="B39" s="801">
        <v>24</v>
      </c>
      <c r="C39" s="801">
        <v>20</v>
      </c>
      <c r="D39" s="802">
        <v>11</v>
      </c>
      <c r="E39" s="802" t="str">
        <f>"SA-TESA-"&amp;$G$14</f>
        <v>SA-TESA-01</v>
      </c>
      <c r="F39" s="802" t="s">
        <v>253</v>
      </c>
      <c r="G39" s="802">
        <v>3</v>
      </c>
      <c r="H39" s="802">
        <v>5</v>
      </c>
      <c r="I39" s="802">
        <v>4</v>
      </c>
      <c r="J39" s="802">
        <v>6</v>
      </c>
      <c r="K39" s="802">
        <v>7</v>
      </c>
      <c r="L39" s="802">
        <v>8</v>
      </c>
      <c r="M39" s="802">
        <v>10</v>
      </c>
      <c r="N39" s="802">
        <v>11</v>
      </c>
      <c r="O39" s="802">
        <v>14</v>
      </c>
      <c r="P39" s="802">
        <v>15</v>
      </c>
      <c r="Q39" s="801">
        <v>21</v>
      </c>
      <c r="R39" s="802">
        <v>0</v>
      </c>
      <c r="S39" s="802">
        <v>0</v>
      </c>
      <c r="T39" s="802">
        <v>0</v>
      </c>
      <c r="U39" s="802">
        <v>0</v>
      </c>
      <c r="V39" s="802">
        <v>0</v>
      </c>
      <c r="W39" s="802">
        <v>40</v>
      </c>
      <c r="X39" s="802">
        <v>9</v>
      </c>
      <c r="Y39" s="801">
        <v>45</v>
      </c>
      <c r="Z39" s="802">
        <v>22</v>
      </c>
      <c r="AA39" s="802">
        <v>22</v>
      </c>
      <c r="AB39" s="802">
        <v>22</v>
      </c>
      <c r="AC39" s="802">
        <v>14</v>
      </c>
    </row>
    <row r="40" spans="1:29" ht="10.5">
      <c r="A40" s="802" t="s">
        <v>221</v>
      </c>
      <c r="B40" s="801">
        <v>24</v>
      </c>
      <c r="C40" s="801">
        <v>20</v>
      </c>
      <c r="D40" s="802">
        <v>11</v>
      </c>
      <c r="E40" s="802" t="str">
        <f>"SA-CTM-"&amp;$G$14</f>
        <v>SA-CTM-01</v>
      </c>
      <c r="F40" s="802" t="s">
        <v>254</v>
      </c>
      <c r="G40" s="802">
        <v>3</v>
      </c>
      <c r="H40" s="802">
        <v>5</v>
      </c>
      <c r="I40" s="802">
        <v>4</v>
      </c>
      <c r="J40" s="802">
        <v>6</v>
      </c>
      <c r="K40" s="802">
        <v>7</v>
      </c>
      <c r="L40" s="802">
        <v>8</v>
      </c>
      <c r="M40" s="802">
        <v>10</v>
      </c>
      <c r="N40" s="802">
        <v>11</v>
      </c>
      <c r="O40" s="802">
        <v>14</v>
      </c>
      <c r="P40" s="802">
        <v>15</v>
      </c>
      <c r="Q40" s="801">
        <v>21</v>
      </c>
      <c r="R40" s="802">
        <v>0</v>
      </c>
      <c r="S40" s="802">
        <v>0</v>
      </c>
      <c r="T40" s="802">
        <v>0</v>
      </c>
      <c r="U40" s="802">
        <v>0</v>
      </c>
      <c r="V40" s="802">
        <v>0</v>
      </c>
      <c r="W40" s="802">
        <v>41</v>
      </c>
      <c r="X40" s="802">
        <v>9</v>
      </c>
      <c r="Y40" s="801">
        <v>45</v>
      </c>
      <c r="Z40" s="802">
        <v>22</v>
      </c>
      <c r="AA40" s="802">
        <v>22</v>
      </c>
      <c r="AB40" s="802">
        <v>22</v>
      </c>
      <c r="AC40" s="802">
        <v>14</v>
      </c>
    </row>
    <row r="41" spans="1:29" ht="10.5">
      <c r="A41" s="801" t="s">
        <v>142</v>
      </c>
      <c r="B41" s="801">
        <v>22</v>
      </c>
      <c r="C41" s="801">
        <v>20</v>
      </c>
      <c r="D41" s="801">
        <v>12</v>
      </c>
      <c r="E41" s="801" t="str">
        <f>"RE-"&amp;$G$14</f>
        <v>RE-01</v>
      </c>
      <c r="F41" s="801" t="s">
        <v>255</v>
      </c>
      <c r="G41" s="801">
        <v>3</v>
      </c>
      <c r="H41" s="802">
        <v>5</v>
      </c>
      <c r="I41" s="802">
        <v>4</v>
      </c>
      <c r="J41" s="801">
        <v>6</v>
      </c>
      <c r="K41" s="801">
        <v>7</v>
      </c>
      <c r="L41" s="801">
        <v>8</v>
      </c>
      <c r="M41" s="801">
        <v>10</v>
      </c>
      <c r="N41" s="801">
        <v>11</v>
      </c>
      <c r="O41" s="801">
        <v>14</v>
      </c>
      <c r="P41" s="801">
        <v>16</v>
      </c>
      <c r="Q41" s="801">
        <v>25</v>
      </c>
      <c r="R41" s="801">
        <v>15</v>
      </c>
      <c r="S41" s="801">
        <v>0</v>
      </c>
      <c r="T41" s="801">
        <v>0</v>
      </c>
      <c r="U41" s="801">
        <v>0</v>
      </c>
      <c r="V41" s="801">
        <v>0</v>
      </c>
      <c r="W41" s="802">
        <v>46</v>
      </c>
      <c r="X41" s="802">
        <v>9</v>
      </c>
      <c r="Y41" s="801">
        <v>43</v>
      </c>
      <c r="Z41" s="801">
        <v>26</v>
      </c>
      <c r="AA41" s="801">
        <v>20</v>
      </c>
      <c r="AB41" s="801">
        <v>23</v>
      </c>
      <c r="AC41" s="801">
        <v>14</v>
      </c>
    </row>
    <row r="42" spans="1:29" ht="10.5">
      <c r="A42" s="801" t="s">
        <v>146</v>
      </c>
      <c r="B42" s="801">
        <v>22</v>
      </c>
      <c r="C42" s="801">
        <v>20</v>
      </c>
      <c r="D42" s="801">
        <v>12</v>
      </c>
      <c r="E42" s="801" t="str">
        <f>"RE-YACY-"&amp;$G$14</f>
        <v>RE-YACY-01</v>
      </c>
      <c r="F42" s="801" t="s">
        <v>256</v>
      </c>
      <c r="G42" s="801">
        <v>3</v>
      </c>
      <c r="H42" s="802">
        <v>5</v>
      </c>
      <c r="I42" s="802">
        <v>4</v>
      </c>
      <c r="J42" s="801">
        <v>6</v>
      </c>
      <c r="K42" s="801">
        <v>7</v>
      </c>
      <c r="L42" s="801">
        <v>8</v>
      </c>
      <c r="M42" s="801">
        <v>10</v>
      </c>
      <c r="N42" s="801">
        <v>11</v>
      </c>
      <c r="O42" s="801">
        <v>14</v>
      </c>
      <c r="P42" s="801">
        <v>16</v>
      </c>
      <c r="Q42" s="801">
        <v>25</v>
      </c>
      <c r="R42" s="801">
        <v>15</v>
      </c>
      <c r="S42" s="801">
        <v>0</v>
      </c>
      <c r="T42" s="801">
        <v>0</v>
      </c>
      <c r="U42" s="801">
        <v>0</v>
      </c>
      <c r="V42" s="801">
        <v>0</v>
      </c>
      <c r="W42" s="802">
        <v>48</v>
      </c>
      <c r="X42" s="802">
        <v>9</v>
      </c>
      <c r="Y42" s="801">
        <v>43</v>
      </c>
      <c r="Z42" s="801">
        <v>26</v>
      </c>
      <c r="AA42" s="801">
        <v>20</v>
      </c>
      <c r="AB42" s="801">
        <v>23</v>
      </c>
      <c r="AC42" s="801">
        <v>14</v>
      </c>
    </row>
    <row r="43" spans="1:29" ht="10.5">
      <c r="A43" s="801" t="s">
        <v>147</v>
      </c>
      <c r="B43" s="801">
        <v>24</v>
      </c>
      <c r="C43" s="801">
        <v>20</v>
      </c>
      <c r="D43" s="801">
        <v>12</v>
      </c>
      <c r="E43" s="801" t="str">
        <f>"RE-LITSA-"&amp;$G$14</f>
        <v>RE-LITSA-01</v>
      </c>
      <c r="F43" s="801" t="s">
        <v>257</v>
      </c>
      <c r="G43" s="801">
        <v>3</v>
      </c>
      <c r="H43" s="802">
        <v>5</v>
      </c>
      <c r="I43" s="802">
        <v>4</v>
      </c>
      <c r="J43" s="801">
        <v>6</v>
      </c>
      <c r="K43" s="801">
        <v>7</v>
      </c>
      <c r="L43" s="801">
        <v>8</v>
      </c>
      <c r="M43" s="801">
        <v>10</v>
      </c>
      <c r="N43" s="801">
        <v>11</v>
      </c>
      <c r="O43" s="801">
        <v>14</v>
      </c>
      <c r="P43" s="801">
        <v>16</v>
      </c>
      <c r="Q43" s="801">
        <v>22</v>
      </c>
      <c r="R43" s="801">
        <v>15</v>
      </c>
      <c r="S43" s="801">
        <v>0</v>
      </c>
      <c r="T43" s="801">
        <v>0</v>
      </c>
      <c r="U43" s="801">
        <v>0</v>
      </c>
      <c r="V43" s="801">
        <v>0</v>
      </c>
      <c r="W43" s="802">
        <v>49</v>
      </c>
      <c r="X43" s="802">
        <v>9</v>
      </c>
      <c r="Y43" s="801">
        <v>45</v>
      </c>
      <c r="Z43" s="801">
        <v>24</v>
      </c>
      <c r="AA43" s="801">
        <v>22</v>
      </c>
      <c r="AB43" s="801">
        <v>24</v>
      </c>
      <c r="AC43" s="801">
        <v>15</v>
      </c>
    </row>
    <row r="44" spans="1:29" ht="10.5">
      <c r="A44" s="801" t="s">
        <v>195</v>
      </c>
      <c r="B44" s="801">
        <v>22</v>
      </c>
      <c r="C44" s="801">
        <v>20</v>
      </c>
      <c r="D44" s="801">
        <v>12</v>
      </c>
      <c r="E44" s="801" t="str">
        <f>"RE-IV-"&amp;$G$14</f>
        <v>RE-IV-01</v>
      </c>
      <c r="F44" s="801" t="s">
        <v>258</v>
      </c>
      <c r="G44" s="801">
        <v>3</v>
      </c>
      <c r="H44" s="802">
        <v>5</v>
      </c>
      <c r="I44" s="802">
        <v>4</v>
      </c>
      <c r="J44" s="801">
        <v>6</v>
      </c>
      <c r="K44" s="801">
        <v>7</v>
      </c>
      <c r="L44" s="801">
        <v>8</v>
      </c>
      <c r="M44" s="801">
        <v>10</v>
      </c>
      <c r="N44" s="801">
        <v>11</v>
      </c>
      <c r="O44" s="801">
        <v>14</v>
      </c>
      <c r="P44" s="801">
        <v>16</v>
      </c>
      <c r="Q44" s="801">
        <v>22</v>
      </c>
      <c r="R44" s="801">
        <v>15</v>
      </c>
      <c r="S44" s="801">
        <v>0</v>
      </c>
      <c r="T44" s="801">
        <v>0</v>
      </c>
      <c r="U44" s="801">
        <v>0</v>
      </c>
      <c r="V44" s="801">
        <v>0</v>
      </c>
      <c r="W44" s="802">
        <v>50</v>
      </c>
      <c r="X44" s="801">
        <v>9</v>
      </c>
      <c r="Y44" s="801">
        <v>43</v>
      </c>
      <c r="Z44" s="801">
        <v>24</v>
      </c>
      <c r="AA44" s="801">
        <v>20</v>
      </c>
      <c r="AB44" s="801">
        <v>23</v>
      </c>
      <c r="AC44" s="801">
        <v>14</v>
      </c>
    </row>
    <row r="45" spans="1:29" ht="10.5">
      <c r="A45" s="801" t="s">
        <v>269</v>
      </c>
      <c r="B45" s="801">
        <v>22</v>
      </c>
      <c r="C45" s="801">
        <v>20</v>
      </c>
      <c r="D45" s="801">
        <v>12</v>
      </c>
      <c r="E45" s="801" t="str">
        <f>"RE-LIMSA-"&amp;$G$14</f>
        <v>RE-LIMSA-01</v>
      </c>
      <c r="F45" s="801" t="s">
        <v>270</v>
      </c>
      <c r="G45" s="801">
        <v>3</v>
      </c>
      <c r="H45" s="802">
        <v>5</v>
      </c>
      <c r="I45" s="802">
        <v>4</v>
      </c>
      <c r="J45" s="801">
        <v>6</v>
      </c>
      <c r="K45" s="801">
        <v>7</v>
      </c>
      <c r="L45" s="801">
        <v>8</v>
      </c>
      <c r="M45" s="801">
        <v>10</v>
      </c>
      <c r="N45" s="801">
        <v>11</v>
      </c>
      <c r="O45" s="801">
        <v>14</v>
      </c>
      <c r="P45" s="801">
        <v>16</v>
      </c>
      <c r="Q45" s="801">
        <v>25</v>
      </c>
      <c r="R45" s="801">
        <v>15</v>
      </c>
      <c r="S45" s="801">
        <v>0</v>
      </c>
      <c r="T45" s="801">
        <v>0</v>
      </c>
      <c r="U45" s="801">
        <v>0</v>
      </c>
      <c r="V45" s="801">
        <v>0</v>
      </c>
      <c r="W45" s="802">
        <v>51</v>
      </c>
      <c r="X45" s="802">
        <v>9</v>
      </c>
      <c r="Y45" s="801">
        <v>43</v>
      </c>
      <c r="Z45" s="801">
        <v>26</v>
      </c>
      <c r="AA45" s="801">
        <v>20</v>
      </c>
      <c r="AB45" s="801">
        <v>23</v>
      </c>
      <c r="AC45" s="801">
        <v>14</v>
      </c>
    </row>
    <row r="46" spans="1:29" ht="10.5">
      <c r="A46" s="808" t="s">
        <v>181</v>
      </c>
      <c r="B46" s="806">
        <v>32</v>
      </c>
      <c r="C46" s="806">
        <v>25</v>
      </c>
      <c r="D46" s="806">
        <v>11</v>
      </c>
      <c r="E46" s="808" t="s">
        <v>181</v>
      </c>
      <c r="F46" s="806" t="s">
        <v>235</v>
      </c>
      <c r="G46" s="806">
        <v>0</v>
      </c>
      <c r="H46" s="806">
        <v>0</v>
      </c>
      <c r="I46" s="806">
        <v>0</v>
      </c>
      <c r="J46" s="806">
        <v>4</v>
      </c>
      <c r="K46" s="806">
        <v>5</v>
      </c>
      <c r="L46" s="806">
        <v>6</v>
      </c>
      <c r="M46" s="806">
        <v>7</v>
      </c>
      <c r="N46" s="806">
        <v>10</v>
      </c>
      <c r="O46" s="806">
        <v>11</v>
      </c>
      <c r="P46" s="806">
        <v>14</v>
      </c>
      <c r="Q46" s="806">
        <v>17</v>
      </c>
      <c r="R46" s="806">
        <v>28</v>
      </c>
      <c r="S46" s="806">
        <v>0</v>
      </c>
      <c r="T46" s="806">
        <v>0</v>
      </c>
      <c r="U46" s="806">
        <v>0</v>
      </c>
      <c r="V46" s="806">
        <v>0</v>
      </c>
      <c r="W46" s="806">
        <v>0</v>
      </c>
      <c r="X46" s="806">
        <v>0</v>
      </c>
      <c r="Y46" s="806">
        <v>0</v>
      </c>
      <c r="Z46" s="806">
        <v>0</v>
      </c>
      <c r="AA46" s="806">
        <v>0</v>
      </c>
      <c r="AB46" s="806">
        <v>0</v>
      </c>
      <c r="AC46" s="806">
        <v>0</v>
      </c>
    </row>
    <row r="47" spans="1:29" s="839" customFormat="1" ht="10.5">
      <c r="A47" s="808" t="s">
        <v>181</v>
      </c>
      <c r="B47" s="808">
        <v>70</v>
      </c>
      <c r="C47" s="808">
        <v>4</v>
      </c>
      <c r="D47" s="808">
        <v>11</v>
      </c>
      <c r="E47" s="808" t="s">
        <v>181</v>
      </c>
      <c r="F47" s="806" t="s">
        <v>256</v>
      </c>
      <c r="G47" s="808">
        <v>0</v>
      </c>
      <c r="H47" s="808">
        <v>0</v>
      </c>
      <c r="I47" s="808">
        <v>0</v>
      </c>
      <c r="J47" s="808">
        <v>4</v>
      </c>
      <c r="K47" s="808">
        <v>5</v>
      </c>
      <c r="L47" s="808">
        <v>6</v>
      </c>
      <c r="M47" s="808">
        <v>10</v>
      </c>
      <c r="N47" s="808">
        <v>11</v>
      </c>
      <c r="O47" s="808">
        <v>14</v>
      </c>
      <c r="P47" s="808">
        <v>16</v>
      </c>
      <c r="Q47" s="808">
        <v>28</v>
      </c>
      <c r="R47" s="808">
        <v>0</v>
      </c>
      <c r="S47" s="808">
        <v>0</v>
      </c>
      <c r="T47" s="808">
        <v>0</v>
      </c>
      <c r="U47" s="808">
        <v>0</v>
      </c>
      <c r="V47" s="808">
        <v>0</v>
      </c>
      <c r="W47" s="808">
        <v>0</v>
      </c>
      <c r="X47" s="808">
        <v>0</v>
      </c>
      <c r="Y47" s="808">
        <v>0</v>
      </c>
      <c r="Z47" s="808">
        <v>0</v>
      </c>
      <c r="AA47" s="808">
        <v>0</v>
      </c>
      <c r="AB47" s="808">
        <v>0</v>
      </c>
      <c r="AC47" s="808">
        <v>0</v>
      </c>
    </row>
    <row r="48" spans="1:29" ht="10.5">
      <c r="A48" s="808" t="s">
        <v>190</v>
      </c>
      <c r="B48" s="806">
        <v>90</v>
      </c>
      <c r="C48" s="806">
        <v>10</v>
      </c>
      <c r="D48" s="807">
        <v>12</v>
      </c>
      <c r="E48" s="808" t="s">
        <v>190</v>
      </c>
      <c r="F48" s="806" t="s">
        <v>251</v>
      </c>
      <c r="G48" s="806">
        <v>0</v>
      </c>
      <c r="H48" s="806">
        <v>0</v>
      </c>
      <c r="I48" s="806">
        <v>0</v>
      </c>
      <c r="J48" s="806">
        <v>4</v>
      </c>
      <c r="K48" s="806">
        <v>5</v>
      </c>
      <c r="L48" s="806">
        <v>6</v>
      </c>
      <c r="M48" s="806">
        <v>10</v>
      </c>
      <c r="N48" s="806">
        <v>11</v>
      </c>
      <c r="O48" s="806">
        <v>14</v>
      </c>
      <c r="P48" s="806">
        <v>15</v>
      </c>
      <c r="Q48" s="806">
        <v>28</v>
      </c>
      <c r="R48" s="806">
        <v>0</v>
      </c>
      <c r="S48" s="806">
        <v>0</v>
      </c>
      <c r="T48" s="806">
        <v>0</v>
      </c>
      <c r="U48" s="806">
        <v>0</v>
      </c>
      <c r="V48" s="806">
        <v>0</v>
      </c>
      <c r="W48" s="806">
        <v>0</v>
      </c>
      <c r="X48" s="806">
        <v>0</v>
      </c>
      <c r="Y48" s="806">
        <v>0</v>
      </c>
      <c r="Z48" s="806">
        <v>0</v>
      </c>
      <c r="AA48" s="806">
        <v>0</v>
      </c>
      <c r="AB48" s="806">
        <v>0</v>
      </c>
      <c r="AC48" s="806">
        <v>0</v>
      </c>
    </row>
    <row r="49" spans="1:29" ht="10.5">
      <c r="A49" s="808" t="s">
        <v>190</v>
      </c>
      <c r="B49" s="806">
        <v>61</v>
      </c>
      <c r="C49" s="806">
        <v>24</v>
      </c>
      <c r="D49" s="807">
        <v>12</v>
      </c>
      <c r="E49" s="808" t="s">
        <v>190</v>
      </c>
      <c r="F49" s="806" t="s">
        <v>242</v>
      </c>
      <c r="G49" s="806">
        <v>0</v>
      </c>
      <c r="H49" s="806">
        <v>0</v>
      </c>
      <c r="I49" s="806">
        <v>0</v>
      </c>
      <c r="J49" s="806">
        <v>4</v>
      </c>
      <c r="K49" s="806">
        <v>5</v>
      </c>
      <c r="L49" s="806">
        <v>6</v>
      </c>
      <c r="M49" s="806">
        <v>8</v>
      </c>
      <c r="N49" s="806">
        <v>9</v>
      </c>
      <c r="O49" s="806">
        <v>10</v>
      </c>
      <c r="P49" s="806">
        <v>13</v>
      </c>
      <c r="Q49" s="806">
        <v>15</v>
      </c>
      <c r="R49" s="806">
        <v>16</v>
      </c>
      <c r="S49" s="806">
        <v>0</v>
      </c>
      <c r="T49" s="806">
        <v>0</v>
      </c>
      <c r="U49" s="806">
        <v>0</v>
      </c>
      <c r="V49" s="806">
        <v>0</v>
      </c>
      <c r="W49" s="806">
        <v>0</v>
      </c>
      <c r="X49" s="806">
        <v>0</v>
      </c>
      <c r="Y49" s="806">
        <v>0</v>
      </c>
      <c r="Z49" s="806">
        <v>0</v>
      </c>
      <c r="AA49" s="806">
        <v>0</v>
      </c>
      <c r="AB49" s="806">
        <v>0</v>
      </c>
      <c r="AC49" s="806">
        <v>0</v>
      </c>
    </row>
    <row r="50" spans="1:29" ht="10.5">
      <c r="A50" s="808" t="s">
        <v>190</v>
      </c>
      <c r="B50" s="806">
        <v>32</v>
      </c>
      <c r="C50" s="806">
        <v>24</v>
      </c>
      <c r="D50" s="806">
        <v>11</v>
      </c>
      <c r="E50" s="808" t="s">
        <v>190</v>
      </c>
      <c r="F50" s="806" t="s">
        <v>236</v>
      </c>
      <c r="G50" s="806">
        <v>0</v>
      </c>
      <c r="H50" s="806">
        <v>0</v>
      </c>
      <c r="I50" s="806">
        <v>0</v>
      </c>
      <c r="J50" s="806">
        <v>4</v>
      </c>
      <c r="K50" s="806">
        <v>5</v>
      </c>
      <c r="L50" s="806">
        <v>6</v>
      </c>
      <c r="M50" s="806">
        <v>7</v>
      </c>
      <c r="N50" s="806">
        <v>10</v>
      </c>
      <c r="O50" s="806">
        <v>11</v>
      </c>
      <c r="P50" s="806">
        <v>14</v>
      </c>
      <c r="Q50" s="806">
        <v>17</v>
      </c>
      <c r="R50" s="806">
        <v>28</v>
      </c>
      <c r="S50" s="806">
        <v>0</v>
      </c>
      <c r="T50" s="806">
        <v>0</v>
      </c>
      <c r="U50" s="806">
        <v>0</v>
      </c>
      <c r="V50" s="806">
        <v>0</v>
      </c>
      <c r="W50" s="806">
        <v>0</v>
      </c>
      <c r="X50" s="806">
        <v>0</v>
      </c>
      <c r="Y50" s="806">
        <v>0</v>
      </c>
      <c r="Z50" s="806">
        <v>0</v>
      </c>
      <c r="AA50" s="806">
        <v>0</v>
      </c>
      <c r="AB50" s="806">
        <v>0</v>
      </c>
      <c r="AC50" s="806">
        <v>0</v>
      </c>
    </row>
    <row r="51" spans="1:29" s="839" customFormat="1" ht="10.5">
      <c r="A51" s="808" t="s">
        <v>190</v>
      </c>
      <c r="B51" s="808">
        <v>105</v>
      </c>
      <c r="C51" s="808">
        <v>8</v>
      </c>
      <c r="D51" s="808">
        <v>11</v>
      </c>
      <c r="E51" s="808" t="s">
        <v>190</v>
      </c>
      <c r="F51" s="806" t="s">
        <v>257</v>
      </c>
      <c r="G51" s="808">
        <v>0</v>
      </c>
      <c r="H51" s="808">
        <v>0</v>
      </c>
      <c r="I51" s="808">
        <v>0</v>
      </c>
      <c r="J51" s="808">
        <v>4</v>
      </c>
      <c r="K51" s="808">
        <v>5</v>
      </c>
      <c r="L51" s="808">
        <v>6</v>
      </c>
      <c r="M51" s="808">
        <v>10</v>
      </c>
      <c r="N51" s="808">
        <v>11</v>
      </c>
      <c r="O51" s="808">
        <v>14</v>
      </c>
      <c r="P51" s="808">
        <v>16</v>
      </c>
      <c r="Q51" s="808">
        <v>28</v>
      </c>
      <c r="R51" s="808">
        <v>0</v>
      </c>
      <c r="S51" s="808">
        <v>0</v>
      </c>
      <c r="T51" s="808">
        <v>0</v>
      </c>
      <c r="U51" s="808">
        <v>0</v>
      </c>
      <c r="V51" s="808">
        <v>0</v>
      </c>
      <c r="W51" s="808">
        <v>0</v>
      </c>
      <c r="X51" s="808">
        <v>0</v>
      </c>
      <c r="Y51" s="808">
        <v>0</v>
      </c>
      <c r="Z51" s="808">
        <v>0</v>
      </c>
      <c r="AA51" s="808">
        <v>0</v>
      </c>
      <c r="AB51" s="808">
        <v>0</v>
      </c>
      <c r="AC51" s="808">
        <v>0</v>
      </c>
    </row>
    <row r="52" spans="1:29" ht="10.5">
      <c r="A52" s="808" t="s">
        <v>191</v>
      </c>
      <c r="B52" s="806">
        <v>60</v>
      </c>
      <c r="C52" s="806">
        <v>36</v>
      </c>
      <c r="D52" s="806">
        <v>9</v>
      </c>
      <c r="E52" s="808" t="s">
        <v>191</v>
      </c>
      <c r="F52" s="806" t="s">
        <v>249</v>
      </c>
      <c r="G52" s="806">
        <v>0</v>
      </c>
      <c r="H52" s="806">
        <v>0</v>
      </c>
      <c r="I52" s="806">
        <v>0</v>
      </c>
      <c r="J52" s="806">
        <v>4</v>
      </c>
      <c r="K52" s="806">
        <v>5</v>
      </c>
      <c r="L52" s="806">
        <v>7</v>
      </c>
      <c r="M52" s="806">
        <v>9</v>
      </c>
      <c r="N52" s="806">
        <v>10</v>
      </c>
      <c r="O52" s="806">
        <v>13</v>
      </c>
      <c r="P52" s="806">
        <v>14</v>
      </c>
      <c r="Q52" s="806">
        <v>21</v>
      </c>
      <c r="R52" s="806">
        <v>0</v>
      </c>
      <c r="S52" s="806">
        <v>0</v>
      </c>
      <c r="T52" s="806">
        <v>0</v>
      </c>
      <c r="U52" s="806">
        <v>0</v>
      </c>
      <c r="V52" s="806">
        <v>0</v>
      </c>
      <c r="W52" s="806">
        <v>0</v>
      </c>
      <c r="X52" s="806">
        <v>0</v>
      </c>
      <c r="Y52" s="806">
        <v>0</v>
      </c>
      <c r="Z52" s="806">
        <v>0</v>
      </c>
      <c r="AA52" s="806">
        <v>0</v>
      </c>
      <c r="AB52" s="806">
        <v>0</v>
      </c>
      <c r="AC52" s="806">
        <v>0</v>
      </c>
    </row>
    <row r="53" spans="1:29" ht="10.5">
      <c r="A53" s="808" t="s">
        <v>191</v>
      </c>
      <c r="B53" s="806">
        <v>31</v>
      </c>
      <c r="C53" s="806">
        <v>25</v>
      </c>
      <c r="D53" s="807">
        <v>12</v>
      </c>
      <c r="E53" s="808" t="s">
        <v>191</v>
      </c>
      <c r="F53" s="806" t="s">
        <v>243</v>
      </c>
      <c r="G53" s="806">
        <v>0</v>
      </c>
      <c r="H53" s="806">
        <v>0</v>
      </c>
      <c r="I53" s="806">
        <v>0</v>
      </c>
      <c r="J53" s="806">
        <v>4</v>
      </c>
      <c r="K53" s="806">
        <v>5</v>
      </c>
      <c r="L53" s="806">
        <v>6</v>
      </c>
      <c r="M53" s="806">
        <v>7</v>
      </c>
      <c r="N53" s="806">
        <v>9</v>
      </c>
      <c r="O53" s="806">
        <v>10</v>
      </c>
      <c r="P53" s="806">
        <v>13</v>
      </c>
      <c r="Q53" s="806">
        <v>15</v>
      </c>
      <c r="R53" s="806">
        <v>16</v>
      </c>
      <c r="S53" s="806">
        <v>0</v>
      </c>
      <c r="T53" s="806">
        <v>0</v>
      </c>
      <c r="U53" s="806">
        <v>0</v>
      </c>
      <c r="V53" s="806">
        <v>0</v>
      </c>
      <c r="W53" s="806">
        <v>0</v>
      </c>
      <c r="X53" s="806">
        <v>0</v>
      </c>
      <c r="Y53" s="806">
        <v>0</v>
      </c>
      <c r="Z53" s="806">
        <v>0</v>
      </c>
      <c r="AA53" s="806">
        <v>0</v>
      </c>
      <c r="AB53" s="806">
        <v>0</v>
      </c>
      <c r="AC53" s="806">
        <v>0</v>
      </c>
    </row>
    <row r="54" spans="1:29" ht="10.5">
      <c r="A54" s="808" t="s">
        <v>192</v>
      </c>
      <c r="B54" s="806">
        <v>60</v>
      </c>
      <c r="C54" s="806">
        <v>25</v>
      </c>
      <c r="D54" s="806">
        <v>9</v>
      </c>
      <c r="E54" s="808" t="s">
        <v>192</v>
      </c>
      <c r="F54" s="806" t="s">
        <v>250</v>
      </c>
      <c r="G54" s="806">
        <v>0</v>
      </c>
      <c r="H54" s="806">
        <v>0</v>
      </c>
      <c r="I54" s="806">
        <v>0</v>
      </c>
      <c r="J54" s="806">
        <v>4</v>
      </c>
      <c r="K54" s="806">
        <v>5</v>
      </c>
      <c r="L54" s="806">
        <v>7</v>
      </c>
      <c r="M54" s="806">
        <v>9</v>
      </c>
      <c r="N54" s="806">
        <v>10</v>
      </c>
      <c r="O54" s="806">
        <v>13</v>
      </c>
      <c r="P54" s="806">
        <v>14</v>
      </c>
      <c r="Q54" s="806">
        <v>21</v>
      </c>
      <c r="R54" s="806">
        <v>0</v>
      </c>
      <c r="S54" s="806">
        <v>0</v>
      </c>
      <c r="T54" s="806">
        <v>0</v>
      </c>
      <c r="U54" s="806">
        <v>0</v>
      </c>
      <c r="V54" s="806">
        <v>0</v>
      </c>
      <c r="W54" s="806">
        <v>0</v>
      </c>
      <c r="X54" s="806">
        <v>0</v>
      </c>
      <c r="Y54" s="806">
        <v>0</v>
      </c>
      <c r="Z54" s="806">
        <v>0</v>
      </c>
      <c r="AA54" s="806">
        <v>0</v>
      </c>
      <c r="AB54" s="806">
        <v>0</v>
      </c>
      <c r="AC54" s="806">
        <v>0</v>
      </c>
    </row>
    <row r="55" spans="1:29" ht="10.5">
      <c r="A55" s="808" t="s">
        <v>192</v>
      </c>
      <c r="B55" s="806">
        <v>31</v>
      </c>
      <c r="C55" s="806">
        <v>25</v>
      </c>
      <c r="D55" s="807">
        <v>12</v>
      </c>
      <c r="E55" s="808" t="s">
        <v>192</v>
      </c>
      <c r="F55" s="806" t="s">
        <v>244</v>
      </c>
      <c r="G55" s="806">
        <v>0</v>
      </c>
      <c r="H55" s="806">
        <v>0</v>
      </c>
      <c r="I55" s="806">
        <v>0</v>
      </c>
      <c r="J55" s="806">
        <v>4</v>
      </c>
      <c r="K55" s="806">
        <v>5</v>
      </c>
      <c r="L55" s="806">
        <v>6</v>
      </c>
      <c r="M55" s="806">
        <v>7</v>
      </c>
      <c r="N55" s="806">
        <v>9</v>
      </c>
      <c r="O55" s="806">
        <v>10</v>
      </c>
      <c r="P55" s="806">
        <v>13</v>
      </c>
      <c r="Q55" s="806">
        <v>15</v>
      </c>
      <c r="R55" s="806">
        <v>16</v>
      </c>
      <c r="S55" s="806">
        <v>0</v>
      </c>
      <c r="T55" s="806">
        <v>0</v>
      </c>
      <c r="U55" s="806">
        <v>0</v>
      </c>
      <c r="V55" s="806">
        <v>0</v>
      </c>
      <c r="W55" s="806">
        <v>0</v>
      </c>
      <c r="X55" s="806">
        <v>0</v>
      </c>
      <c r="Y55" s="806">
        <v>0</v>
      </c>
      <c r="Z55" s="806">
        <v>0</v>
      </c>
      <c r="AA55" s="806">
        <v>0</v>
      </c>
      <c r="AB55" s="806">
        <v>0</v>
      </c>
      <c r="AC55" s="806">
        <v>0</v>
      </c>
    </row>
    <row r="56" spans="1:29" ht="10.5">
      <c r="A56" s="808" t="s">
        <v>222</v>
      </c>
      <c r="B56" s="808">
        <v>32</v>
      </c>
      <c r="C56" s="808">
        <v>3</v>
      </c>
      <c r="D56" s="808">
        <v>9</v>
      </c>
      <c r="E56" s="808" t="s">
        <v>222</v>
      </c>
      <c r="F56" s="808" t="s">
        <v>253</v>
      </c>
      <c r="G56" s="808">
        <v>0</v>
      </c>
      <c r="H56" s="808">
        <v>0</v>
      </c>
      <c r="I56" s="808">
        <v>0</v>
      </c>
      <c r="J56" s="808">
        <v>4</v>
      </c>
      <c r="K56" s="808">
        <v>5</v>
      </c>
      <c r="L56" s="808">
        <v>7</v>
      </c>
      <c r="M56" s="808">
        <v>9</v>
      </c>
      <c r="N56" s="808">
        <v>10</v>
      </c>
      <c r="O56" s="808">
        <v>13</v>
      </c>
      <c r="P56" s="808">
        <v>14</v>
      </c>
      <c r="Q56" s="808">
        <v>21</v>
      </c>
      <c r="R56" s="808">
        <v>0</v>
      </c>
      <c r="S56" s="808">
        <v>0</v>
      </c>
      <c r="T56" s="808">
        <v>0</v>
      </c>
      <c r="U56" s="808">
        <v>0</v>
      </c>
      <c r="V56" s="808">
        <v>0</v>
      </c>
      <c r="W56" s="808">
        <v>0</v>
      </c>
      <c r="X56" s="808">
        <v>0</v>
      </c>
      <c r="Y56" s="808">
        <v>0</v>
      </c>
      <c r="Z56" s="808">
        <v>0</v>
      </c>
      <c r="AA56" s="808">
        <v>0</v>
      </c>
      <c r="AB56" s="808">
        <v>0</v>
      </c>
      <c r="AC56" s="808">
        <v>0</v>
      </c>
    </row>
    <row r="57" spans="1:29" ht="10.5">
      <c r="A57" s="808" t="s">
        <v>223</v>
      </c>
      <c r="B57" s="808">
        <v>32</v>
      </c>
      <c r="C57" s="808">
        <v>3</v>
      </c>
      <c r="D57" s="808">
        <v>9</v>
      </c>
      <c r="E57" s="808" t="s">
        <v>223</v>
      </c>
      <c r="F57" s="808" t="s">
        <v>254</v>
      </c>
      <c r="G57" s="808">
        <v>0</v>
      </c>
      <c r="H57" s="808">
        <v>0</v>
      </c>
      <c r="I57" s="808">
        <v>0</v>
      </c>
      <c r="J57" s="808">
        <v>4</v>
      </c>
      <c r="K57" s="808">
        <v>5</v>
      </c>
      <c r="L57" s="808">
        <v>7</v>
      </c>
      <c r="M57" s="808">
        <v>9</v>
      </c>
      <c r="N57" s="808">
        <v>10</v>
      </c>
      <c r="O57" s="808">
        <v>13</v>
      </c>
      <c r="P57" s="808">
        <v>14</v>
      </c>
      <c r="Q57" s="808">
        <v>21</v>
      </c>
      <c r="R57" s="808">
        <v>0</v>
      </c>
      <c r="S57" s="808">
        <v>0</v>
      </c>
      <c r="T57" s="808">
        <v>0</v>
      </c>
      <c r="U57" s="808">
        <v>0</v>
      </c>
      <c r="V57" s="808">
        <v>0</v>
      </c>
      <c r="W57" s="808">
        <v>0</v>
      </c>
      <c r="X57" s="808">
        <v>0</v>
      </c>
      <c r="Y57" s="808">
        <v>0</v>
      </c>
      <c r="Z57" s="808">
        <v>0</v>
      </c>
      <c r="AA57" s="808">
        <v>0</v>
      </c>
      <c r="AB57" s="808">
        <v>0</v>
      </c>
      <c r="AC57" s="808">
        <v>0</v>
      </c>
    </row>
    <row r="58" spans="1:29" ht="10.5">
      <c r="A58" s="808" t="s">
        <v>225</v>
      </c>
      <c r="B58" s="808">
        <v>32</v>
      </c>
      <c r="C58" s="808">
        <v>4</v>
      </c>
      <c r="D58" s="808">
        <v>11</v>
      </c>
      <c r="E58" s="808" t="s">
        <v>225</v>
      </c>
      <c r="F58" s="808" t="s">
        <v>238</v>
      </c>
      <c r="G58" s="808">
        <v>0</v>
      </c>
      <c r="H58" s="808">
        <v>0</v>
      </c>
      <c r="I58" s="808">
        <v>0</v>
      </c>
      <c r="J58" s="808">
        <v>4</v>
      </c>
      <c r="K58" s="808">
        <v>5</v>
      </c>
      <c r="L58" s="808">
        <v>6</v>
      </c>
      <c r="M58" s="808">
        <v>7</v>
      </c>
      <c r="N58" s="808">
        <v>10</v>
      </c>
      <c r="O58" s="808">
        <v>11</v>
      </c>
      <c r="P58" s="808">
        <v>14</v>
      </c>
      <c r="Q58" s="808">
        <v>17</v>
      </c>
      <c r="R58" s="808">
        <v>28</v>
      </c>
      <c r="S58" s="808">
        <v>0</v>
      </c>
      <c r="T58" s="808">
        <v>0</v>
      </c>
      <c r="U58" s="808">
        <v>0</v>
      </c>
      <c r="V58" s="808">
        <v>0</v>
      </c>
      <c r="W58" s="808">
        <v>0</v>
      </c>
      <c r="X58" s="808">
        <v>0</v>
      </c>
      <c r="Y58" s="808">
        <v>0</v>
      </c>
      <c r="Z58" s="808">
        <v>0</v>
      </c>
      <c r="AA58" s="808">
        <v>0</v>
      </c>
      <c r="AB58" s="808">
        <v>0</v>
      </c>
      <c r="AC58" s="808">
        <v>0</v>
      </c>
    </row>
    <row r="59" spans="1:29" ht="10.5">
      <c r="A59" s="808" t="s">
        <v>225</v>
      </c>
      <c r="B59" s="808">
        <v>40</v>
      </c>
      <c r="C59" s="808">
        <v>4</v>
      </c>
      <c r="D59" s="808">
        <v>12</v>
      </c>
      <c r="E59" s="808" t="s">
        <v>225</v>
      </c>
      <c r="F59" s="808" t="s">
        <v>245</v>
      </c>
      <c r="G59" s="808">
        <v>0</v>
      </c>
      <c r="H59" s="808">
        <v>0</v>
      </c>
      <c r="I59" s="808">
        <v>0</v>
      </c>
      <c r="J59" s="808">
        <v>4</v>
      </c>
      <c r="K59" s="808">
        <v>5</v>
      </c>
      <c r="L59" s="808">
        <v>6</v>
      </c>
      <c r="M59" s="808">
        <v>8</v>
      </c>
      <c r="N59" s="808">
        <v>9</v>
      </c>
      <c r="O59" s="808">
        <v>10</v>
      </c>
      <c r="P59" s="808">
        <v>13</v>
      </c>
      <c r="Q59" s="808">
        <v>15</v>
      </c>
      <c r="R59" s="808">
        <v>16</v>
      </c>
      <c r="S59" s="808">
        <v>0</v>
      </c>
      <c r="T59" s="808">
        <v>0</v>
      </c>
      <c r="U59" s="808">
        <v>0</v>
      </c>
      <c r="V59" s="808">
        <v>0</v>
      </c>
      <c r="W59" s="808">
        <v>0</v>
      </c>
      <c r="X59" s="808">
        <v>0</v>
      </c>
      <c r="Y59" s="808">
        <v>0</v>
      </c>
      <c r="Z59" s="808">
        <v>0</v>
      </c>
      <c r="AA59" s="808">
        <v>0</v>
      </c>
      <c r="AB59" s="808">
        <v>0</v>
      </c>
      <c r="AC59" s="808">
        <v>0</v>
      </c>
    </row>
    <row r="60" spans="1:29" ht="10.5">
      <c r="A60" s="808" t="s">
        <v>224</v>
      </c>
      <c r="B60" s="808">
        <v>32</v>
      </c>
      <c r="C60" s="808">
        <v>4</v>
      </c>
      <c r="D60" s="808">
        <v>11</v>
      </c>
      <c r="E60" s="808" t="s">
        <v>224</v>
      </c>
      <c r="F60" s="808" t="s">
        <v>239</v>
      </c>
      <c r="G60" s="808">
        <v>0</v>
      </c>
      <c r="H60" s="808">
        <v>0</v>
      </c>
      <c r="I60" s="808">
        <v>0</v>
      </c>
      <c r="J60" s="808">
        <v>4</v>
      </c>
      <c r="K60" s="808">
        <v>5</v>
      </c>
      <c r="L60" s="808">
        <v>6</v>
      </c>
      <c r="M60" s="808">
        <v>7</v>
      </c>
      <c r="N60" s="808">
        <v>10</v>
      </c>
      <c r="O60" s="808">
        <v>11</v>
      </c>
      <c r="P60" s="808">
        <v>14</v>
      </c>
      <c r="Q60" s="808">
        <v>17</v>
      </c>
      <c r="R60" s="808">
        <v>28</v>
      </c>
      <c r="S60" s="808">
        <v>0</v>
      </c>
      <c r="T60" s="808">
        <v>0</v>
      </c>
      <c r="U60" s="808">
        <v>0</v>
      </c>
      <c r="V60" s="808">
        <v>0</v>
      </c>
      <c r="W60" s="808">
        <v>0</v>
      </c>
      <c r="X60" s="808">
        <v>0</v>
      </c>
      <c r="Y60" s="808">
        <v>0</v>
      </c>
      <c r="Z60" s="808">
        <v>0</v>
      </c>
      <c r="AA60" s="808">
        <v>0</v>
      </c>
      <c r="AB60" s="808">
        <v>0</v>
      </c>
      <c r="AC60" s="808">
        <v>0</v>
      </c>
    </row>
    <row r="61" spans="1:29" ht="10.5">
      <c r="A61" s="808" t="s">
        <v>224</v>
      </c>
      <c r="B61" s="808">
        <v>40</v>
      </c>
      <c r="C61" s="808">
        <v>4</v>
      </c>
      <c r="D61" s="809">
        <v>12</v>
      </c>
      <c r="E61" s="808" t="s">
        <v>224</v>
      </c>
      <c r="F61" s="808" t="s">
        <v>247</v>
      </c>
      <c r="G61" s="808">
        <v>0</v>
      </c>
      <c r="H61" s="808">
        <v>0</v>
      </c>
      <c r="I61" s="808">
        <v>0</v>
      </c>
      <c r="J61" s="808">
        <v>4</v>
      </c>
      <c r="K61" s="808">
        <v>5</v>
      </c>
      <c r="L61" s="808">
        <v>6</v>
      </c>
      <c r="M61" s="808">
        <v>8</v>
      </c>
      <c r="N61" s="808">
        <v>9</v>
      </c>
      <c r="O61" s="808">
        <v>10</v>
      </c>
      <c r="P61" s="808">
        <v>13</v>
      </c>
      <c r="Q61" s="808">
        <v>15</v>
      </c>
      <c r="R61" s="808">
        <v>16</v>
      </c>
      <c r="S61" s="808">
        <v>0</v>
      </c>
      <c r="T61" s="808">
        <v>0</v>
      </c>
      <c r="U61" s="808">
        <v>0</v>
      </c>
      <c r="V61" s="808">
        <v>0</v>
      </c>
      <c r="W61" s="808">
        <v>0</v>
      </c>
      <c r="X61" s="808">
        <v>0</v>
      </c>
      <c r="Y61" s="808">
        <v>0</v>
      </c>
      <c r="Z61" s="808">
        <v>0</v>
      </c>
      <c r="AA61" s="808">
        <v>0</v>
      </c>
      <c r="AB61" s="808">
        <v>0</v>
      </c>
      <c r="AC61" s="808">
        <v>0</v>
      </c>
    </row>
    <row r="62" spans="1:29" ht="10.5">
      <c r="A62" s="808" t="s">
        <v>216</v>
      </c>
      <c r="B62" s="808">
        <v>52</v>
      </c>
      <c r="C62" s="808">
        <v>10</v>
      </c>
      <c r="D62" s="809">
        <v>12</v>
      </c>
      <c r="E62" s="808" t="s">
        <v>216</v>
      </c>
      <c r="F62" s="808" t="s">
        <v>252</v>
      </c>
      <c r="G62" s="808">
        <v>0</v>
      </c>
      <c r="H62" s="808">
        <v>0</v>
      </c>
      <c r="I62" s="808">
        <v>0</v>
      </c>
      <c r="J62" s="806">
        <v>4</v>
      </c>
      <c r="K62" s="806">
        <v>5</v>
      </c>
      <c r="L62" s="806">
        <v>6</v>
      </c>
      <c r="M62" s="806">
        <v>10</v>
      </c>
      <c r="N62" s="806">
        <v>11</v>
      </c>
      <c r="O62" s="806">
        <v>14</v>
      </c>
      <c r="P62" s="806">
        <v>15</v>
      </c>
      <c r="Q62" s="806">
        <v>28</v>
      </c>
      <c r="R62" s="808">
        <v>0</v>
      </c>
      <c r="S62" s="808">
        <v>0</v>
      </c>
      <c r="T62" s="808">
        <v>0</v>
      </c>
      <c r="U62" s="808">
        <v>0</v>
      </c>
      <c r="V62" s="808">
        <v>0</v>
      </c>
      <c r="W62" s="808">
        <v>0</v>
      </c>
      <c r="X62" s="808">
        <v>0</v>
      </c>
      <c r="Y62" s="808">
        <v>0</v>
      </c>
      <c r="Z62" s="808">
        <v>0</v>
      </c>
      <c r="AA62" s="808">
        <v>0</v>
      </c>
      <c r="AB62" s="808">
        <v>0</v>
      </c>
      <c r="AC62" s="808">
        <v>0</v>
      </c>
    </row>
    <row r="63" spans="1:29" ht="10.5">
      <c r="A63" s="808" t="s">
        <v>216</v>
      </c>
      <c r="B63" s="808">
        <v>45</v>
      </c>
      <c r="C63" s="808">
        <v>2</v>
      </c>
      <c r="D63" s="809">
        <v>12</v>
      </c>
      <c r="E63" s="808" t="s">
        <v>216</v>
      </c>
      <c r="F63" s="808" t="s">
        <v>246</v>
      </c>
      <c r="G63" s="808">
        <v>0</v>
      </c>
      <c r="H63" s="808">
        <v>0</v>
      </c>
      <c r="I63" s="808">
        <v>0</v>
      </c>
      <c r="J63" s="808">
        <v>4</v>
      </c>
      <c r="K63" s="808">
        <v>5</v>
      </c>
      <c r="L63" s="808">
        <v>6</v>
      </c>
      <c r="M63" s="808">
        <v>8</v>
      </c>
      <c r="N63" s="808">
        <v>9</v>
      </c>
      <c r="O63" s="808">
        <v>10</v>
      </c>
      <c r="P63" s="808">
        <v>13</v>
      </c>
      <c r="Q63" s="808">
        <v>15</v>
      </c>
      <c r="R63" s="808">
        <v>16</v>
      </c>
      <c r="S63" s="808">
        <v>0</v>
      </c>
      <c r="T63" s="808">
        <v>0</v>
      </c>
      <c r="U63" s="808">
        <v>0</v>
      </c>
      <c r="V63" s="808">
        <v>0</v>
      </c>
      <c r="W63" s="808">
        <v>0</v>
      </c>
      <c r="X63" s="808">
        <v>0</v>
      </c>
      <c r="Y63" s="808">
        <v>0</v>
      </c>
      <c r="Z63" s="808">
        <v>0</v>
      </c>
      <c r="AA63" s="808">
        <v>0</v>
      </c>
      <c r="AB63" s="808">
        <v>0</v>
      </c>
      <c r="AC63" s="808">
        <v>0</v>
      </c>
    </row>
    <row r="64" spans="1:29" ht="10.5">
      <c r="A64" s="808" t="s">
        <v>216</v>
      </c>
      <c r="B64" s="808">
        <v>33</v>
      </c>
      <c r="C64" s="808">
        <v>7</v>
      </c>
      <c r="D64" s="808">
        <v>11</v>
      </c>
      <c r="E64" s="808" t="s">
        <v>216</v>
      </c>
      <c r="F64" s="808" t="s">
        <v>240</v>
      </c>
      <c r="G64" s="808">
        <v>0</v>
      </c>
      <c r="H64" s="808">
        <v>0</v>
      </c>
      <c r="I64" s="808">
        <v>0</v>
      </c>
      <c r="J64" s="808">
        <v>4</v>
      </c>
      <c r="K64" s="808">
        <v>5</v>
      </c>
      <c r="L64" s="808">
        <v>6</v>
      </c>
      <c r="M64" s="808">
        <v>7</v>
      </c>
      <c r="N64" s="808">
        <v>10</v>
      </c>
      <c r="O64" s="808">
        <v>11</v>
      </c>
      <c r="P64" s="808">
        <v>14</v>
      </c>
      <c r="Q64" s="808">
        <v>17</v>
      </c>
      <c r="R64" s="808">
        <v>28</v>
      </c>
      <c r="S64" s="808">
        <v>0</v>
      </c>
      <c r="T64" s="808">
        <v>0</v>
      </c>
      <c r="U64" s="808">
        <v>0</v>
      </c>
      <c r="V64" s="808">
        <v>0</v>
      </c>
      <c r="W64" s="808">
        <v>0</v>
      </c>
      <c r="X64" s="808">
        <v>0</v>
      </c>
      <c r="Y64" s="808">
        <v>0</v>
      </c>
      <c r="Z64" s="808">
        <v>0</v>
      </c>
      <c r="AA64" s="808">
        <v>0</v>
      </c>
      <c r="AB64" s="808">
        <v>0</v>
      </c>
      <c r="AC64" s="808">
        <v>0</v>
      </c>
    </row>
    <row r="65" spans="1:29" s="839" customFormat="1" ht="10.5">
      <c r="A65" s="808" t="s">
        <v>216</v>
      </c>
      <c r="B65" s="808">
        <v>67</v>
      </c>
      <c r="C65" s="808">
        <v>8</v>
      </c>
      <c r="D65" s="808">
        <v>11</v>
      </c>
      <c r="E65" s="808" t="s">
        <v>216</v>
      </c>
      <c r="F65" s="806" t="s">
        <v>270</v>
      </c>
      <c r="G65" s="808">
        <v>0</v>
      </c>
      <c r="H65" s="808">
        <v>0</v>
      </c>
      <c r="I65" s="808">
        <v>0</v>
      </c>
      <c r="J65" s="808">
        <v>4</v>
      </c>
      <c r="K65" s="808">
        <v>5</v>
      </c>
      <c r="L65" s="808">
        <v>6</v>
      </c>
      <c r="M65" s="808">
        <v>10</v>
      </c>
      <c r="N65" s="808">
        <v>11</v>
      </c>
      <c r="O65" s="808">
        <v>14</v>
      </c>
      <c r="P65" s="808">
        <v>16</v>
      </c>
      <c r="Q65" s="808">
        <v>28</v>
      </c>
      <c r="R65" s="808">
        <v>0</v>
      </c>
      <c r="S65" s="808">
        <v>0</v>
      </c>
      <c r="T65" s="808">
        <v>0</v>
      </c>
      <c r="U65" s="808">
        <v>0</v>
      </c>
      <c r="V65" s="808">
        <v>0</v>
      </c>
      <c r="W65" s="808">
        <v>0</v>
      </c>
      <c r="X65" s="808">
        <v>0</v>
      </c>
      <c r="Y65" s="808">
        <v>0</v>
      </c>
      <c r="Z65" s="808">
        <v>0</v>
      </c>
      <c r="AA65" s="808">
        <v>0</v>
      </c>
      <c r="AB65" s="808">
        <v>0</v>
      </c>
      <c r="AC65" s="808">
        <v>0</v>
      </c>
    </row>
    <row r="66" spans="1:29" ht="10.5">
      <c r="A66" s="808" t="s">
        <v>266</v>
      </c>
      <c r="B66" s="808">
        <v>32</v>
      </c>
      <c r="C66" s="808">
        <v>4</v>
      </c>
      <c r="D66" s="808">
        <v>11</v>
      </c>
      <c r="E66" s="808" t="s">
        <v>266</v>
      </c>
      <c r="F66" s="808" t="s">
        <v>261</v>
      </c>
      <c r="G66" s="808">
        <v>0</v>
      </c>
      <c r="H66" s="808">
        <v>0</v>
      </c>
      <c r="I66" s="808">
        <v>0</v>
      </c>
      <c r="J66" s="808">
        <v>4</v>
      </c>
      <c r="K66" s="808">
        <v>5</v>
      </c>
      <c r="L66" s="808">
        <v>6</v>
      </c>
      <c r="M66" s="808">
        <v>7</v>
      </c>
      <c r="N66" s="808">
        <v>10</v>
      </c>
      <c r="O66" s="808">
        <v>11</v>
      </c>
      <c r="P66" s="808">
        <v>14</v>
      </c>
      <c r="Q66" s="808">
        <v>17</v>
      </c>
      <c r="R66" s="808">
        <v>28</v>
      </c>
      <c r="S66" s="808">
        <v>0</v>
      </c>
      <c r="T66" s="808">
        <v>0</v>
      </c>
      <c r="U66" s="808">
        <v>0</v>
      </c>
      <c r="V66" s="808">
        <v>0</v>
      </c>
      <c r="W66" s="808">
        <v>0</v>
      </c>
      <c r="X66" s="808">
        <v>0</v>
      </c>
      <c r="Y66" s="808">
        <v>0</v>
      </c>
      <c r="Z66" s="808">
        <v>0</v>
      </c>
      <c r="AA66" s="808">
        <v>0</v>
      </c>
      <c r="AB66" s="808">
        <v>0</v>
      </c>
      <c r="AC66" s="808">
        <v>0</v>
      </c>
    </row>
    <row r="67" spans="1:29" ht="10.5">
      <c r="A67" s="808" t="s">
        <v>267</v>
      </c>
      <c r="B67" s="808">
        <v>40</v>
      </c>
      <c r="C67" s="808">
        <v>4</v>
      </c>
      <c r="D67" s="808">
        <v>12</v>
      </c>
      <c r="E67" s="808" t="s">
        <v>267</v>
      </c>
      <c r="F67" s="808" t="s">
        <v>263</v>
      </c>
      <c r="G67" s="808">
        <v>0</v>
      </c>
      <c r="H67" s="808">
        <v>0</v>
      </c>
      <c r="I67" s="808">
        <v>0</v>
      </c>
      <c r="J67" s="808">
        <v>4</v>
      </c>
      <c r="K67" s="808">
        <v>5</v>
      </c>
      <c r="L67" s="808">
        <v>6</v>
      </c>
      <c r="M67" s="808">
        <v>8</v>
      </c>
      <c r="N67" s="808">
        <v>9</v>
      </c>
      <c r="O67" s="808">
        <v>10</v>
      </c>
      <c r="P67" s="808">
        <v>13</v>
      </c>
      <c r="Q67" s="808">
        <v>15</v>
      </c>
      <c r="R67" s="808">
        <v>16</v>
      </c>
      <c r="S67" s="808">
        <v>0</v>
      </c>
      <c r="T67" s="808">
        <v>0</v>
      </c>
      <c r="U67" s="808">
        <v>0</v>
      </c>
      <c r="V67" s="808">
        <v>0</v>
      </c>
      <c r="W67" s="808">
        <v>0</v>
      </c>
      <c r="X67" s="808">
        <v>0</v>
      </c>
      <c r="Y67" s="808">
        <v>0</v>
      </c>
      <c r="Z67" s="808">
        <v>0</v>
      </c>
      <c r="AA67" s="808">
        <v>0</v>
      </c>
      <c r="AB67" s="808">
        <v>0</v>
      </c>
      <c r="AC67" s="808">
        <v>0</v>
      </c>
    </row>
    <row r="68" spans="1:29" ht="10.5">
      <c r="A68" s="808" t="s">
        <v>228</v>
      </c>
      <c r="B68" s="808">
        <v>19</v>
      </c>
      <c r="C68" s="808">
        <v>24</v>
      </c>
      <c r="D68" s="809">
        <v>4</v>
      </c>
      <c r="E68" s="808" t="str">
        <f>"CAUSAS-VST-"&amp;$G$14</f>
        <v>CAUSAS-VST-01</v>
      </c>
      <c r="F68" s="808" t="s">
        <v>229</v>
      </c>
      <c r="G68" s="808">
        <v>3</v>
      </c>
      <c r="H68" s="808">
        <v>4</v>
      </c>
      <c r="I68" s="808">
        <v>5</v>
      </c>
      <c r="J68" s="808">
        <v>6</v>
      </c>
      <c r="K68" s="808">
        <v>7</v>
      </c>
      <c r="L68" s="808">
        <v>0</v>
      </c>
      <c r="M68" s="808">
        <v>0</v>
      </c>
      <c r="N68" s="808">
        <v>0</v>
      </c>
      <c r="O68" s="808">
        <v>0</v>
      </c>
      <c r="P68" s="808">
        <v>0</v>
      </c>
      <c r="Q68" s="808">
        <v>0</v>
      </c>
      <c r="R68" s="808">
        <v>0</v>
      </c>
      <c r="S68" s="808">
        <v>0</v>
      </c>
      <c r="T68" s="808">
        <v>0</v>
      </c>
      <c r="U68" s="808">
        <v>0</v>
      </c>
      <c r="V68" s="808">
        <v>0</v>
      </c>
      <c r="W68" s="808">
        <v>999</v>
      </c>
      <c r="X68" s="808">
        <v>999</v>
      </c>
      <c r="Y68" s="808">
        <v>0</v>
      </c>
      <c r="Z68" s="808">
        <v>0</v>
      </c>
      <c r="AA68" s="808">
        <v>0</v>
      </c>
      <c r="AB68" s="808">
        <v>0</v>
      </c>
      <c r="AC68" s="808">
        <v>0</v>
      </c>
    </row>
    <row r="69" spans="1:29" ht="10.5">
      <c r="A69" s="810"/>
      <c r="B69" s="810">
        <v>30</v>
      </c>
      <c r="C69" s="810">
        <v>10</v>
      </c>
      <c r="D69" s="811">
        <v>11</v>
      </c>
      <c r="E69" s="810" t="s">
        <v>227</v>
      </c>
      <c r="F69" s="812" t="s">
        <v>259</v>
      </c>
      <c r="G69" s="810">
        <v>3</v>
      </c>
      <c r="H69" s="810">
        <v>5</v>
      </c>
      <c r="I69" s="812">
        <v>0</v>
      </c>
      <c r="J69" s="812">
        <v>4</v>
      </c>
      <c r="K69" s="812">
        <v>5</v>
      </c>
      <c r="L69" s="812">
        <v>6</v>
      </c>
      <c r="M69" s="812">
        <v>8</v>
      </c>
      <c r="N69" s="812">
        <v>9</v>
      </c>
      <c r="O69" s="812">
        <v>10</v>
      </c>
      <c r="P69" s="812">
        <v>13</v>
      </c>
      <c r="Q69" s="812">
        <v>15</v>
      </c>
      <c r="R69" s="812">
        <v>16</v>
      </c>
      <c r="S69" s="812">
        <v>0</v>
      </c>
      <c r="T69" s="812">
        <v>0</v>
      </c>
      <c r="U69" s="812">
        <v>0</v>
      </c>
      <c r="V69" s="812">
        <v>0</v>
      </c>
      <c r="W69" s="810">
        <v>0</v>
      </c>
      <c r="X69" s="810">
        <v>0</v>
      </c>
      <c r="Y69" s="810">
        <v>0</v>
      </c>
      <c r="Z69" s="810">
        <v>0</v>
      </c>
      <c r="AA69" s="810">
        <v>0</v>
      </c>
      <c r="AB69" s="810">
        <v>0</v>
      </c>
      <c r="AC69" s="810">
        <v>0</v>
      </c>
    </row>
    <row r="72" spans="6:9" ht="12.75">
      <c r="F72" s="823"/>
      <c r="G72" s="823"/>
      <c r="H72" s="823"/>
      <c r="I72" s="823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45" r:id="rId1"/>
  <headerFooter alignWithMargins="0">
    <oddFooter>&amp;L&amp;"Times New Roman,Normal"&amp;5&amp;F  - TRANSPORTE de ENERGÍA ELÉCTRICA - PJL - JI -JM -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AF44"/>
  <sheetViews>
    <sheetView tabSelected="1" zoomScale="70" zoomScaleNormal="70" zoomScalePageLayoutView="0" workbookViewId="0" topLeftCell="E1">
      <selection activeCell="G35" sqref="G35"/>
    </sheetView>
  </sheetViews>
  <sheetFormatPr defaultColWidth="11.421875" defaultRowHeight="12.75"/>
  <cols>
    <col min="1" max="2" width="4.140625" style="0" customWidth="1"/>
    <col min="3" max="3" width="5.57421875" style="0" customWidth="1"/>
    <col min="4" max="5" width="13.57421875" style="0" customWidth="1"/>
    <col min="6" max="6" width="45.7109375" style="0" customWidth="1"/>
    <col min="7" max="8" width="9.7109375" style="0" customWidth="1"/>
    <col min="9" max="9" width="3.8515625" style="0" customWidth="1"/>
    <col min="10" max="10" width="3.140625" style="0" hidden="1" customWidth="1"/>
    <col min="11" max="11" width="6.00390625" style="0" hidden="1" customWidth="1"/>
    <col min="12" max="13" width="15.7109375" style="0" customWidth="1"/>
    <col min="14" max="16" width="9.7109375" style="0" customWidth="1"/>
    <col min="17" max="17" width="8.7109375" style="0" customWidth="1"/>
    <col min="18" max="18" width="5.421875" style="0" customWidth="1"/>
    <col min="19" max="19" width="6.00390625" style="0" customWidth="1"/>
    <col min="20" max="21" width="12.28125" style="0" hidden="1" customWidth="1"/>
    <col min="22" max="27" width="5.7109375" style="0" hidden="1" customWidth="1"/>
    <col min="28" max="28" width="12.28125" style="0" hidden="1" customWidth="1"/>
    <col min="29" max="29" width="13.421875" style="0" hidden="1" customWidth="1"/>
    <col min="30" max="30" width="9.7109375" style="0" customWidth="1"/>
    <col min="31" max="31" width="15.7109375" style="0" customWidth="1"/>
    <col min="32" max="32" width="4.140625" style="0" customWidth="1"/>
    <col min="33" max="33" width="30.421875" style="0" customWidth="1"/>
    <col min="34" max="34" width="3.140625" style="0" customWidth="1"/>
    <col min="35" max="35" width="3.57421875" style="0" customWidth="1"/>
    <col min="36" max="36" width="24.28125" style="0" customWidth="1"/>
    <col min="37" max="37" width="4.7109375" style="0" customWidth="1"/>
    <col min="38" max="38" width="7.57421875" style="0" customWidth="1"/>
    <col min="39" max="40" width="4.140625" style="0" customWidth="1"/>
    <col min="41" max="41" width="7.140625" style="0" customWidth="1"/>
    <col min="42" max="42" width="5.28125" style="0" customWidth="1"/>
    <col min="43" max="43" width="5.421875" style="0" customWidth="1"/>
    <col min="44" max="44" width="4.7109375" style="0" customWidth="1"/>
    <col min="45" max="45" width="5.28125" style="0" customWidth="1"/>
    <col min="46" max="47" width="13.28125" style="0" customWidth="1"/>
    <col min="48" max="48" width="6.57421875" style="0" customWidth="1"/>
    <col min="49" max="49" width="6.421875" style="0" customWidth="1"/>
    <col min="54" max="54" width="12.7109375" style="0" customWidth="1"/>
    <col min="58" max="58" width="21.00390625" style="0" customWidth="1"/>
  </cols>
  <sheetData>
    <row r="1" spans="1:32" s="18" customFormat="1" ht="26.25">
      <c r="A1"/>
      <c r="E1"/>
      <c r="G1"/>
      <c r="I1"/>
      <c r="K1"/>
      <c r="M1"/>
      <c r="O1"/>
      <c r="Q1"/>
      <c r="S1"/>
      <c r="U1"/>
      <c r="W1"/>
      <c r="Y1"/>
      <c r="AA1"/>
      <c r="AF1" s="144"/>
    </row>
    <row r="2" spans="1:32" s="18" customFormat="1" ht="26.25">
      <c r="A2" s="91"/>
      <c r="B2" s="19" t="str">
        <f>+'TOT-0111'!B2</f>
        <v>ANEXO II al Memorándum D.T.E.E. N°  1088 / 2012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="5" customFormat="1" ht="15.75" customHeight="1">
      <c r="A3" s="90"/>
    </row>
    <row r="4" spans="1:4" s="25" customFormat="1" ht="11.25">
      <c r="A4" s="23" t="s">
        <v>1</v>
      </c>
      <c r="B4" s="124"/>
      <c r="C4" s="124"/>
      <c r="D4" s="124"/>
    </row>
    <row r="5" spans="1:4" s="25" customFormat="1" ht="11.25">
      <c r="A5" s="23" t="s">
        <v>2</v>
      </c>
      <c r="B5" s="124"/>
      <c r="C5" s="124"/>
      <c r="D5" s="124"/>
    </row>
    <row r="6" s="5" customFormat="1" ht="13.5" thickBot="1"/>
    <row r="7" spans="2:32" s="5" customFormat="1" ht="13.5" thickTop="1">
      <c r="B7" s="69"/>
      <c r="C7" s="70"/>
      <c r="D7" s="70"/>
      <c r="E7" s="70"/>
      <c r="F7" s="70"/>
      <c r="G7" s="194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94"/>
    </row>
    <row r="8" spans="2:32" s="29" customFormat="1" ht="20.25">
      <c r="B8" s="79"/>
      <c r="C8" s="30"/>
      <c r="D8" s="30"/>
      <c r="E8" s="30"/>
      <c r="F8" s="172" t="s">
        <v>67</v>
      </c>
      <c r="G8" s="30"/>
      <c r="H8" s="30"/>
      <c r="I8" s="30"/>
      <c r="J8" s="30"/>
      <c r="P8" s="30"/>
      <c r="Q8" s="30"/>
      <c r="R8" s="11"/>
      <c r="S8" s="11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107"/>
    </row>
    <row r="9" spans="2:32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17"/>
    </row>
    <row r="10" spans="2:32" s="29" customFormat="1" ht="20.25">
      <c r="B10" s="79"/>
      <c r="C10" s="30"/>
      <c r="D10" s="30"/>
      <c r="E10" s="30"/>
      <c r="F10" s="11" t="s">
        <v>11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107"/>
    </row>
    <row r="11" spans="2:32" s="5" customFormat="1" ht="12.75">
      <c r="B11" s="5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17"/>
    </row>
    <row r="12" spans="2:32" s="29" customFormat="1" ht="20.25">
      <c r="B12" s="79"/>
      <c r="C12" s="30"/>
      <c r="D12" s="30"/>
      <c r="E12" s="30"/>
      <c r="F12" s="11" t="s">
        <v>129</v>
      </c>
      <c r="G12" s="30"/>
      <c r="H12" s="30"/>
      <c r="I12" s="30"/>
      <c r="K12" s="30"/>
      <c r="L12" s="30"/>
      <c r="M12" s="30"/>
      <c r="N12" s="30"/>
      <c r="O12" s="30"/>
      <c r="P12" s="30"/>
      <c r="Q12" s="30"/>
      <c r="R12" s="11"/>
      <c r="S12" s="11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107"/>
    </row>
    <row r="13" spans="2:32" s="5" customFormat="1" ht="12.75">
      <c r="B13" s="50"/>
      <c r="C13" s="4"/>
      <c r="D13" s="4"/>
      <c r="E13" s="4"/>
      <c r="F13" s="4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7"/>
    </row>
    <row r="14" spans="2:32" s="36" customFormat="1" ht="19.5">
      <c r="B14" s="37" t="str">
        <f>'TOT-0111'!B14</f>
        <v>Desde el 01 al 31 de enero de 2011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197"/>
      <c r="Q14" s="197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138"/>
    </row>
    <row r="15" spans="2:32" s="5" customFormat="1" ht="16.5" customHeight="1" thickBot="1">
      <c r="B15" s="50"/>
      <c r="C15" s="4"/>
      <c r="D15" s="4"/>
      <c r="E15" s="4"/>
      <c r="F15" s="4"/>
      <c r="G15" s="66"/>
      <c r="H15" s="66"/>
      <c r="I15" s="4"/>
      <c r="J15" s="4"/>
      <c r="K15" s="4"/>
      <c r="L15" s="198"/>
      <c r="M15" s="4"/>
      <c r="N15" s="4"/>
      <c r="O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17"/>
    </row>
    <row r="16" spans="2:32" s="5" customFormat="1" ht="16.5" customHeight="1" thickBot="1" thickTop="1">
      <c r="B16" s="50"/>
      <c r="C16" s="4"/>
      <c r="D16" s="4"/>
      <c r="E16" s="4"/>
      <c r="F16" s="82" t="s">
        <v>85</v>
      </c>
      <c r="G16" s="747">
        <v>204.601</v>
      </c>
      <c r="H16" s="199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17"/>
    </row>
    <row r="17" spans="2:32" s="5" customFormat="1" ht="16.5" customHeight="1" thickBot="1" thickTop="1">
      <c r="B17" s="50"/>
      <c r="C17" s="4"/>
      <c r="D17" s="4"/>
      <c r="E17" s="4"/>
      <c r="F17" s="82" t="s">
        <v>86</v>
      </c>
      <c r="G17" s="747">
        <v>170.503</v>
      </c>
      <c r="H17" s="199"/>
      <c r="I17" s="4"/>
      <c r="J17" s="4"/>
      <c r="K17" s="4"/>
      <c r="L17" s="200"/>
      <c r="M17" s="201"/>
      <c r="N17" s="4"/>
      <c r="O17" s="4"/>
      <c r="P17" s="4"/>
      <c r="Q17" s="4"/>
      <c r="R17" s="4"/>
      <c r="S17" s="4"/>
      <c r="T17" s="4"/>
      <c r="U17" s="4"/>
      <c r="V17" s="4"/>
      <c r="W17" s="4"/>
      <c r="X17" s="115"/>
      <c r="Y17" s="115"/>
      <c r="Z17" s="115"/>
      <c r="AA17" s="115"/>
      <c r="AB17" s="115"/>
      <c r="AC17" s="115"/>
      <c r="AD17" s="115"/>
      <c r="AF17" s="17"/>
    </row>
    <row r="18" spans="2:32" s="5" customFormat="1" ht="16.5" customHeight="1" thickBot="1" thickTop="1">
      <c r="B18" s="50"/>
      <c r="C18" s="824">
        <v>3</v>
      </c>
      <c r="D18" s="824">
        <v>4</v>
      </c>
      <c r="E18" s="824">
        <v>5</v>
      </c>
      <c r="F18" s="824">
        <v>6</v>
      </c>
      <c r="G18" s="824">
        <v>7</v>
      </c>
      <c r="H18" s="824">
        <v>8</v>
      </c>
      <c r="I18" s="824">
        <v>9</v>
      </c>
      <c r="J18" s="824">
        <v>10</v>
      </c>
      <c r="K18" s="824">
        <v>11</v>
      </c>
      <c r="L18" s="824">
        <v>12</v>
      </c>
      <c r="M18" s="824">
        <v>13</v>
      </c>
      <c r="N18" s="824">
        <v>14</v>
      </c>
      <c r="O18" s="824">
        <v>15</v>
      </c>
      <c r="P18" s="824">
        <v>16</v>
      </c>
      <c r="Q18" s="824">
        <v>17</v>
      </c>
      <c r="R18" s="824">
        <v>18</v>
      </c>
      <c r="S18" s="824">
        <v>19</v>
      </c>
      <c r="T18" s="824">
        <v>20</v>
      </c>
      <c r="U18" s="824">
        <v>21</v>
      </c>
      <c r="V18" s="824">
        <v>22</v>
      </c>
      <c r="W18" s="824">
        <v>23</v>
      </c>
      <c r="X18" s="824">
        <v>24</v>
      </c>
      <c r="Y18" s="824">
        <v>25</v>
      </c>
      <c r="Z18" s="824">
        <v>26</v>
      </c>
      <c r="AA18" s="824">
        <v>27</v>
      </c>
      <c r="AB18" s="824">
        <v>28</v>
      </c>
      <c r="AC18" s="824">
        <v>29</v>
      </c>
      <c r="AD18" s="824">
        <v>30</v>
      </c>
      <c r="AE18" s="824">
        <v>31</v>
      </c>
      <c r="AF18" s="17"/>
    </row>
    <row r="19" spans="2:32" s="5" customFormat="1" ht="33.75" customHeight="1" thickBot="1" thickTop="1">
      <c r="B19" s="50"/>
      <c r="C19" s="84" t="s">
        <v>12</v>
      </c>
      <c r="D19" s="84" t="s">
        <v>212</v>
      </c>
      <c r="E19" s="84" t="s">
        <v>213</v>
      </c>
      <c r="F19" s="85" t="s">
        <v>0</v>
      </c>
      <c r="G19" s="681" t="s">
        <v>13</v>
      </c>
      <c r="H19" s="86" t="s">
        <v>14</v>
      </c>
      <c r="I19" s="204" t="s">
        <v>69</v>
      </c>
      <c r="J19" s="682" t="s">
        <v>36</v>
      </c>
      <c r="K19" s="683" t="s">
        <v>15</v>
      </c>
      <c r="L19" s="85" t="s">
        <v>16</v>
      </c>
      <c r="M19" s="177" t="s">
        <v>17</v>
      </c>
      <c r="N19" s="88" t="s">
        <v>35</v>
      </c>
      <c r="O19" s="86" t="s">
        <v>30</v>
      </c>
      <c r="P19" s="88" t="s">
        <v>18</v>
      </c>
      <c r="Q19" s="86" t="s">
        <v>57</v>
      </c>
      <c r="R19" s="177" t="s">
        <v>58</v>
      </c>
      <c r="S19" s="85" t="s">
        <v>31</v>
      </c>
      <c r="T19" s="136" t="s">
        <v>19</v>
      </c>
      <c r="U19" s="684" t="s">
        <v>20</v>
      </c>
      <c r="V19" s="206" t="s">
        <v>59</v>
      </c>
      <c r="W19" s="207"/>
      <c r="X19" s="208"/>
      <c r="Y19" s="685" t="s">
        <v>130</v>
      </c>
      <c r="Z19" s="686"/>
      <c r="AA19" s="687"/>
      <c r="AB19" s="209" t="s">
        <v>21</v>
      </c>
      <c r="AC19" s="210" t="s">
        <v>71</v>
      </c>
      <c r="AD19" s="132" t="s">
        <v>72</v>
      </c>
      <c r="AE19" s="132" t="s">
        <v>23</v>
      </c>
      <c r="AF19" s="211"/>
    </row>
    <row r="20" spans="2:32" s="5" customFormat="1" ht="16.5" customHeight="1" thickTop="1">
      <c r="B20" s="50"/>
      <c r="C20" s="179"/>
      <c r="D20" s="179"/>
      <c r="E20" s="179"/>
      <c r="F20" s="730"/>
      <c r="G20" s="730"/>
      <c r="H20" s="748"/>
      <c r="I20" s="729"/>
      <c r="J20" s="731"/>
      <c r="K20" s="732"/>
      <c r="L20" s="743"/>
      <c r="M20" s="743"/>
      <c r="N20" s="729"/>
      <c r="O20" s="729"/>
      <c r="P20" s="729"/>
      <c r="Q20" s="729"/>
      <c r="R20" s="729"/>
      <c r="S20" s="729"/>
      <c r="T20" s="733"/>
      <c r="U20" s="734"/>
      <c r="V20" s="735"/>
      <c r="W20" s="736"/>
      <c r="X20" s="737"/>
      <c r="Y20" s="738"/>
      <c r="Z20" s="739"/>
      <c r="AA20" s="740"/>
      <c r="AB20" s="741"/>
      <c r="AC20" s="742"/>
      <c r="AD20" s="729"/>
      <c r="AE20" s="688"/>
      <c r="AF20" s="17"/>
    </row>
    <row r="21" spans="2:32" s="5" customFormat="1" ht="16.5" customHeight="1">
      <c r="B21" s="50"/>
      <c r="C21" s="272"/>
      <c r="D21" s="272"/>
      <c r="E21" s="272"/>
      <c r="F21" s="181"/>
      <c r="G21" s="7"/>
      <c r="H21" s="749"/>
      <c r="I21" s="181"/>
      <c r="J21" s="689"/>
      <c r="K21" s="690"/>
      <c r="L21" s="212"/>
      <c r="M21" s="115"/>
      <c r="N21" s="181"/>
      <c r="O21" s="181"/>
      <c r="P21" s="182"/>
      <c r="Q21" s="181"/>
      <c r="R21" s="181"/>
      <c r="S21" s="181"/>
      <c r="T21" s="691"/>
      <c r="U21" s="692"/>
      <c r="V21" s="693"/>
      <c r="W21" s="694"/>
      <c r="X21" s="695"/>
      <c r="Y21" s="696"/>
      <c r="Z21" s="697"/>
      <c r="AA21" s="698"/>
      <c r="AB21" s="213"/>
      <c r="AC21" s="214"/>
      <c r="AD21" s="181"/>
      <c r="AE21" s="215"/>
      <c r="AF21" s="17"/>
    </row>
    <row r="22" spans="2:32" s="5" customFormat="1" ht="16.5" customHeight="1">
      <c r="B22" s="50"/>
      <c r="C22" s="153">
        <v>1</v>
      </c>
      <c r="D22" s="153">
        <v>230333</v>
      </c>
      <c r="E22" s="153">
        <v>4733</v>
      </c>
      <c r="F22" s="153" t="s">
        <v>273</v>
      </c>
      <c r="G22" s="184">
        <v>220</v>
      </c>
      <c r="H22" s="750">
        <v>77</v>
      </c>
      <c r="I22" s="184" t="s">
        <v>277</v>
      </c>
      <c r="J22" s="699">
        <f aca="true" t="shared" si="0" ref="J22:J40">IF(I22="A",200,IF(I22="B",60,20))</f>
        <v>60</v>
      </c>
      <c r="K22" s="700">
        <f aca="true" t="shared" si="1" ref="K22:K40">IF(G22=500,IF(H22&lt;100,100*$G$16/100,H22*$G$16/100),IF(H22&lt;100,100*$G$17/100,H22*$G$17/100))</f>
        <v>170.503</v>
      </c>
      <c r="L22" s="701">
        <v>40552.34305555555</v>
      </c>
      <c r="M22" s="702">
        <v>40552.70208333333</v>
      </c>
      <c r="N22" s="187">
        <f aca="true" t="shared" si="2" ref="N22:N40">IF(F22="","",(M22-L22)*24)</f>
        <v>8.616666666639503</v>
      </c>
      <c r="O22" s="188">
        <f aca="true" t="shared" si="3" ref="O22:O40">IF(F22="","",ROUND((M22-L22)*24*60,0))</f>
        <v>517</v>
      </c>
      <c r="P22" s="218" t="s">
        <v>275</v>
      </c>
      <c r="Q22" s="793" t="str">
        <f aca="true" t="shared" si="4" ref="Q22:Q40">IF(F22="","","--")</f>
        <v>--</v>
      </c>
      <c r="R22" s="219" t="str">
        <f aca="true" t="shared" si="5" ref="R22:R40">IF(F22="","","NO")</f>
        <v>NO</v>
      </c>
      <c r="S22" s="219" t="str">
        <f aca="true" t="shared" si="6" ref="S22:S40">IF(F22="","",IF(OR(P22="P",P22="RP"),"--","NO"))</f>
        <v>--</v>
      </c>
      <c r="T22" s="703">
        <f aca="true" t="shared" si="7" ref="T22:T40">IF(P22="P",K22*J22*ROUND(O22/60,2)*0.01,"--")</f>
        <v>881.8415159999998</v>
      </c>
      <c r="U22" s="704" t="str">
        <f aca="true" t="shared" si="8" ref="U22:U40">IF(P22="RP",K22*J22*ROUND(O22/60,2)*0.01*Q22/100,"--")</f>
        <v>--</v>
      </c>
      <c r="V22" s="220" t="str">
        <f aca="true" t="shared" si="9" ref="V22:V40">IF(AND(P22="F",S22="NO"),K22*J22*IF(R22="SI",1.2,1),"--")</f>
        <v>--</v>
      </c>
      <c r="W22" s="221" t="str">
        <f aca="true" t="shared" si="10" ref="W22:W40">IF(AND(P22="F",O22&gt;=10),K22*J22*IF(R22="SI",1.2,1)*IF(O22&lt;=300,ROUND(O22/60,2),5),"--")</f>
        <v>--</v>
      </c>
      <c r="X22" s="222" t="str">
        <f aca="true" t="shared" si="11" ref="X22:X40">IF(AND(P22="F",O22&gt;300),(ROUND(O22/60,2)-5)*K22*J22*0.1*IF(R22="SI",1.2,1),"--")</f>
        <v>--</v>
      </c>
      <c r="Y22" s="705" t="str">
        <f aca="true" t="shared" si="12" ref="Y22:Y40">IF(AND(P22="R",S22="NO"),K22*J22*Q22/100*IF(R22="SI",1.2,1),"--")</f>
        <v>--</v>
      </c>
      <c r="Z22" s="706" t="str">
        <f aca="true" t="shared" si="13" ref="Z22:Z40">IF(AND(P22="R",O22&gt;=10),K22*J22*Q22/100*IF(R22="SI",1.2,1)*IF(O22&lt;=300,ROUND(O22/60,2),5),"--")</f>
        <v>--</v>
      </c>
      <c r="AA22" s="707" t="str">
        <f aca="true" t="shared" si="14" ref="AA22:AA40">IF(AND(P22="R",O22&gt;300),(ROUND(O22/60,2)-5)*K22*J22*0.1*Q22/100*IF(R22="SI",1.2,1),"--")</f>
        <v>--</v>
      </c>
      <c r="AB22" s="223" t="str">
        <f aca="true" t="shared" si="15" ref="AB22:AB40">IF(P22="RF",ROUND(O22/60,2)*K22*J22*0.1*IF(R22="SI",1.2,1),"--")</f>
        <v>--</v>
      </c>
      <c r="AC22" s="224" t="str">
        <f aca="true" t="shared" si="16" ref="AC22:AC40">IF(P22="RR",ROUND(O22/60,2)*K22*J22*0.1*Q22/100*IF(R22="SI",1.2,1),"--")</f>
        <v>--</v>
      </c>
      <c r="AD22" s="794" t="s">
        <v>194</v>
      </c>
      <c r="AE22" s="16">
        <v>0</v>
      </c>
      <c r="AF22" s="708"/>
    </row>
    <row r="23" spans="2:32" s="5" customFormat="1" ht="16.5" customHeight="1">
      <c r="B23" s="50"/>
      <c r="C23" s="272">
        <v>2</v>
      </c>
      <c r="D23" s="272">
        <v>230471</v>
      </c>
      <c r="E23" s="272">
        <v>45</v>
      </c>
      <c r="F23" s="153" t="s">
        <v>276</v>
      </c>
      <c r="G23" s="184">
        <v>500</v>
      </c>
      <c r="H23" s="750">
        <v>345</v>
      </c>
      <c r="I23" s="184" t="s">
        <v>330</v>
      </c>
      <c r="J23" s="699">
        <f t="shared" si="0"/>
        <v>200</v>
      </c>
      <c r="K23" s="700">
        <f t="shared" si="1"/>
        <v>705.87345</v>
      </c>
      <c r="L23" s="701">
        <v>40559.26527777778</v>
      </c>
      <c r="M23" s="702">
        <v>40559.32013888889</v>
      </c>
      <c r="N23" s="187">
        <f t="shared" si="2"/>
        <v>1.31666666676756</v>
      </c>
      <c r="O23" s="188">
        <f t="shared" si="3"/>
        <v>79</v>
      </c>
      <c r="P23" s="218" t="s">
        <v>275</v>
      </c>
      <c r="Q23" s="793" t="str">
        <f t="shared" si="4"/>
        <v>--</v>
      </c>
      <c r="R23" s="219" t="str">
        <f t="shared" si="5"/>
        <v>NO</v>
      </c>
      <c r="S23" s="219" t="str">
        <f t="shared" si="6"/>
        <v>--</v>
      </c>
      <c r="T23" s="703">
        <f t="shared" si="7"/>
        <v>1863.505908</v>
      </c>
      <c r="U23" s="704" t="str">
        <f t="shared" si="8"/>
        <v>--</v>
      </c>
      <c r="V23" s="220" t="str">
        <f t="shared" si="9"/>
        <v>--</v>
      </c>
      <c r="W23" s="221" t="str">
        <f t="shared" si="10"/>
        <v>--</v>
      </c>
      <c r="X23" s="222" t="str">
        <f t="shared" si="11"/>
        <v>--</v>
      </c>
      <c r="Y23" s="705" t="str">
        <f t="shared" si="12"/>
        <v>--</v>
      </c>
      <c r="Z23" s="706" t="str">
        <f t="shared" si="13"/>
        <v>--</v>
      </c>
      <c r="AA23" s="707" t="str">
        <f t="shared" si="14"/>
        <v>--</v>
      </c>
      <c r="AB23" s="223" t="str">
        <f t="shared" si="15"/>
        <v>--</v>
      </c>
      <c r="AC23" s="224" t="str">
        <f t="shared" si="16"/>
        <v>--</v>
      </c>
      <c r="AD23" s="794" t="s">
        <v>194</v>
      </c>
      <c r="AE23" s="16">
        <f aca="true" t="shared" si="17" ref="AE23:AE40">IF(F23="","",SUM(T23:AC23)*IF(AD23="SI",1,2))</f>
        <v>1863.505908</v>
      </c>
      <c r="AF23" s="708"/>
    </row>
    <row r="24" spans="2:32" s="5" customFormat="1" ht="16.5" customHeight="1">
      <c r="B24" s="50"/>
      <c r="C24" s="153">
        <v>3</v>
      </c>
      <c r="D24" s="153">
        <v>230716</v>
      </c>
      <c r="E24" s="153">
        <v>28</v>
      </c>
      <c r="F24" s="709" t="s">
        <v>278</v>
      </c>
      <c r="G24" s="710">
        <v>500</v>
      </c>
      <c r="H24" s="751">
        <v>3</v>
      </c>
      <c r="I24" s="710" t="s">
        <v>274</v>
      </c>
      <c r="J24" s="699">
        <f t="shared" si="0"/>
        <v>20</v>
      </c>
      <c r="K24" s="700">
        <f t="shared" si="1"/>
        <v>204.601</v>
      </c>
      <c r="L24" s="711">
        <v>40562.43125</v>
      </c>
      <c r="M24" s="712">
        <v>40562.75069444445</v>
      </c>
      <c r="N24" s="187">
        <f t="shared" si="2"/>
        <v>7.666666666686069</v>
      </c>
      <c r="O24" s="188">
        <f t="shared" si="3"/>
        <v>460</v>
      </c>
      <c r="P24" s="218" t="s">
        <v>275</v>
      </c>
      <c r="Q24" s="793" t="str">
        <f t="shared" si="4"/>
        <v>--</v>
      </c>
      <c r="R24" s="219" t="str">
        <f t="shared" si="5"/>
        <v>NO</v>
      </c>
      <c r="S24" s="219" t="str">
        <f t="shared" si="6"/>
        <v>--</v>
      </c>
      <c r="T24" s="703">
        <f t="shared" si="7"/>
        <v>313.857934</v>
      </c>
      <c r="U24" s="704" t="str">
        <f t="shared" si="8"/>
        <v>--</v>
      </c>
      <c r="V24" s="220" t="str">
        <f t="shared" si="9"/>
        <v>--</v>
      </c>
      <c r="W24" s="221" t="str">
        <f t="shared" si="10"/>
        <v>--</v>
      </c>
      <c r="X24" s="222" t="str">
        <f t="shared" si="11"/>
        <v>--</v>
      </c>
      <c r="Y24" s="705" t="str">
        <f t="shared" si="12"/>
        <v>--</v>
      </c>
      <c r="Z24" s="706" t="str">
        <f t="shared" si="13"/>
        <v>--</v>
      </c>
      <c r="AA24" s="707" t="str">
        <f t="shared" si="14"/>
        <v>--</v>
      </c>
      <c r="AB24" s="223" t="str">
        <f t="shared" si="15"/>
        <v>--</v>
      </c>
      <c r="AC24" s="224" t="str">
        <f t="shared" si="16"/>
        <v>--</v>
      </c>
      <c r="AD24" s="794" t="s">
        <v>194</v>
      </c>
      <c r="AE24" s="16">
        <f t="shared" si="17"/>
        <v>313.857934</v>
      </c>
      <c r="AF24" s="708"/>
    </row>
    <row r="25" spans="2:32" s="5" customFormat="1" ht="16.5" customHeight="1">
      <c r="B25" s="50"/>
      <c r="C25" s="272">
        <v>4</v>
      </c>
      <c r="D25" s="272">
        <v>230721</v>
      </c>
      <c r="E25" s="272">
        <v>28</v>
      </c>
      <c r="F25" s="709" t="s">
        <v>278</v>
      </c>
      <c r="G25" s="710">
        <v>500</v>
      </c>
      <c r="H25" s="751">
        <v>3</v>
      </c>
      <c r="I25" s="710" t="s">
        <v>274</v>
      </c>
      <c r="J25" s="699">
        <f t="shared" si="0"/>
        <v>20</v>
      </c>
      <c r="K25" s="700">
        <f t="shared" si="1"/>
        <v>204.601</v>
      </c>
      <c r="L25" s="711">
        <v>40563.35972222222</v>
      </c>
      <c r="M25" s="712">
        <v>40563.73541666667</v>
      </c>
      <c r="N25" s="187">
        <f t="shared" si="2"/>
        <v>9.016666666720994</v>
      </c>
      <c r="O25" s="188">
        <f t="shared" si="3"/>
        <v>541</v>
      </c>
      <c r="P25" s="218" t="s">
        <v>275</v>
      </c>
      <c r="Q25" s="793" t="str">
        <f t="shared" si="4"/>
        <v>--</v>
      </c>
      <c r="R25" s="219" t="str">
        <f t="shared" si="5"/>
        <v>NO</v>
      </c>
      <c r="S25" s="219" t="str">
        <f t="shared" si="6"/>
        <v>--</v>
      </c>
      <c r="T25" s="703">
        <f t="shared" si="7"/>
        <v>369.100204</v>
      </c>
      <c r="U25" s="704" t="str">
        <f t="shared" si="8"/>
        <v>--</v>
      </c>
      <c r="V25" s="220" t="str">
        <f t="shared" si="9"/>
        <v>--</v>
      </c>
      <c r="W25" s="221" t="str">
        <f t="shared" si="10"/>
        <v>--</v>
      </c>
      <c r="X25" s="222" t="str">
        <f t="shared" si="11"/>
        <v>--</v>
      </c>
      <c r="Y25" s="705" t="str">
        <f t="shared" si="12"/>
        <v>--</v>
      </c>
      <c r="Z25" s="706" t="str">
        <f t="shared" si="13"/>
        <v>--</v>
      </c>
      <c r="AA25" s="707" t="str">
        <f t="shared" si="14"/>
        <v>--</v>
      </c>
      <c r="AB25" s="223" t="str">
        <f t="shared" si="15"/>
        <v>--</v>
      </c>
      <c r="AC25" s="224" t="str">
        <f t="shared" si="16"/>
        <v>--</v>
      </c>
      <c r="AD25" s="794" t="s">
        <v>194</v>
      </c>
      <c r="AE25" s="16">
        <f t="shared" si="17"/>
        <v>369.100204</v>
      </c>
      <c r="AF25" s="708"/>
    </row>
    <row r="26" spans="2:32" s="5" customFormat="1" ht="16.5" customHeight="1">
      <c r="B26" s="50"/>
      <c r="C26" s="153">
        <v>5</v>
      </c>
      <c r="D26" s="153">
        <v>230723</v>
      </c>
      <c r="E26" s="153">
        <v>28</v>
      </c>
      <c r="F26" s="153" t="s">
        <v>278</v>
      </c>
      <c r="G26" s="184">
        <v>500</v>
      </c>
      <c r="H26" s="750">
        <v>3</v>
      </c>
      <c r="I26" s="184" t="s">
        <v>274</v>
      </c>
      <c r="J26" s="699">
        <f t="shared" si="0"/>
        <v>20</v>
      </c>
      <c r="K26" s="700">
        <f t="shared" si="1"/>
        <v>204.601</v>
      </c>
      <c r="L26" s="701">
        <v>40564.34583333333</v>
      </c>
      <c r="M26" s="702">
        <v>40564.74097222222</v>
      </c>
      <c r="N26" s="187">
        <f t="shared" si="2"/>
        <v>9.483333333337214</v>
      </c>
      <c r="O26" s="188">
        <f t="shared" si="3"/>
        <v>569</v>
      </c>
      <c r="P26" s="218" t="s">
        <v>275</v>
      </c>
      <c r="Q26" s="793" t="str">
        <f t="shared" si="4"/>
        <v>--</v>
      </c>
      <c r="R26" s="219" t="str">
        <f t="shared" si="5"/>
        <v>NO</v>
      </c>
      <c r="S26" s="219" t="str">
        <f t="shared" si="6"/>
        <v>--</v>
      </c>
      <c r="T26" s="703">
        <f t="shared" si="7"/>
        <v>387.923496</v>
      </c>
      <c r="U26" s="704" t="str">
        <f t="shared" si="8"/>
        <v>--</v>
      </c>
      <c r="V26" s="220" t="str">
        <f t="shared" si="9"/>
        <v>--</v>
      </c>
      <c r="W26" s="221" t="str">
        <f t="shared" si="10"/>
        <v>--</v>
      </c>
      <c r="X26" s="222" t="str">
        <f t="shared" si="11"/>
        <v>--</v>
      </c>
      <c r="Y26" s="705" t="str">
        <f t="shared" si="12"/>
        <v>--</v>
      </c>
      <c r="Z26" s="706" t="str">
        <f t="shared" si="13"/>
        <v>--</v>
      </c>
      <c r="AA26" s="707" t="str">
        <f t="shared" si="14"/>
        <v>--</v>
      </c>
      <c r="AB26" s="223" t="str">
        <f t="shared" si="15"/>
        <v>--</v>
      </c>
      <c r="AC26" s="224" t="str">
        <f t="shared" si="16"/>
        <v>--</v>
      </c>
      <c r="AD26" s="794" t="s">
        <v>194</v>
      </c>
      <c r="AE26" s="16">
        <f t="shared" si="17"/>
        <v>387.923496</v>
      </c>
      <c r="AF26" s="708"/>
    </row>
    <row r="27" spans="2:32" s="5" customFormat="1" ht="16.5" customHeight="1">
      <c r="B27" s="50"/>
      <c r="C27" s="272">
        <v>6</v>
      </c>
      <c r="D27" s="272">
        <v>230725</v>
      </c>
      <c r="E27" s="272">
        <v>5</v>
      </c>
      <c r="F27" s="153" t="s">
        <v>279</v>
      </c>
      <c r="G27" s="184">
        <v>500</v>
      </c>
      <c r="H27" s="750">
        <v>76</v>
      </c>
      <c r="I27" s="184" t="s">
        <v>274</v>
      </c>
      <c r="J27" s="699">
        <f t="shared" si="0"/>
        <v>20</v>
      </c>
      <c r="K27" s="700">
        <f t="shared" si="1"/>
        <v>204.601</v>
      </c>
      <c r="L27" s="701">
        <v>40565.24930555555</v>
      </c>
      <c r="M27" s="702">
        <v>40565.736805555556</v>
      </c>
      <c r="N27" s="187">
        <f t="shared" si="2"/>
        <v>11.70000000006985</v>
      </c>
      <c r="O27" s="188">
        <f t="shared" si="3"/>
        <v>702</v>
      </c>
      <c r="P27" s="218" t="s">
        <v>275</v>
      </c>
      <c r="Q27" s="793" t="str">
        <f t="shared" si="4"/>
        <v>--</v>
      </c>
      <c r="R27" s="219" t="str">
        <f t="shared" si="5"/>
        <v>NO</v>
      </c>
      <c r="S27" s="219" t="str">
        <f t="shared" si="6"/>
        <v>--</v>
      </c>
      <c r="T27" s="703">
        <f t="shared" si="7"/>
        <v>478.76634</v>
      </c>
      <c r="U27" s="704" t="str">
        <f t="shared" si="8"/>
        <v>--</v>
      </c>
      <c r="V27" s="220" t="str">
        <f t="shared" si="9"/>
        <v>--</v>
      </c>
      <c r="W27" s="221" t="str">
        <f t="shared" si="10"/>
        <v>--</v>
      </c>
      <c r="X27" s="222" t="str">
        <f t="shared" si="11"/>
        <v>--</v>
      </c>
      <c r="Y27" s="705" t="str">
        <f t="shared" si="12"/>
        <v>--</v>
      </c>
      <c r="Z27" s="706" t="str">
        <f t="shared" si="13"/>
        <v>--</v>
      </c>
      <c r="AA27" s="707" t="str">
        <f t="shared" si="14"/>
        <v>--</v>
      </c>
      <c r="AB27" s="223" t="str">
        <f t="shared" si="15"/>
        <v>--</v>
      </c>
      <c r="AC27" s="224" t="str">
        <f t="shared" si="16"/>
        <v>--</v>
      </c>
      <c r="AD27" s="794" t="s">
        <v>194</v>
      </c>
      <c r="AE27" s="16">
        <f t="shared" si="17"/>
        <v>478.76634</v>
      </c>
      <c r="AF27" s="708"/>
    </row>
    <row r="28" spans="2:32" s="5" customFormat="1" ht="16.5" customHeight="1">
      <c r="B28" s="50"/>
      <c r="C28" s="153">
        <v>7</v>
      </c>
      <c r="D28" s="153">
        <v>230726</v>
      </c>
      <c r="E28" s="153">
        <v>30</v>
      </c>
      <c r="F28" s="146" t="s">
        <v>280</v>
      </c>
      <c r="G28" s="148">
        <v>500</v>
      </c>
      <c r="H28" s="752">
        <v>4.5</v>
      </c>
      <c r="I28" s="148" t="s">
        <v>274</v>
      </c>
      <c r="J28" s="699">
        <f t="shared" si="0"/>
        <v>20</v>
      </c>
      <c r="K28" s="700">
        <f t="shared" si="1"/>
        <v>204.601</v>
      </c>
      <c r="L28" s="185">
        <v>40565.27638888889</v>
      </c>
      <c r="M28" s="217">
        <v>40565.76597222222</v>
      </c>
      <c r="N28" s="187">
        <f t="shared" si="2"/>
        <v>11.750000000058208</v>
      </c>
      <c r="O28" s="188">
        <f t="shared" si="3"/>
        <v>705</v>
      </c>
      <c r="P28" s="218" t="s">
        <v>275</v>
      </c>
      <c r="Q28" s="793" t="str">
        <f t="shared" si="4"/>
        <v>--</v>
      </c>
      <c r="R28" s="219" t="str">
        <f t="shared" si="5"/>
        <v>NO</v>
      </c>
      <c r="S28" s="219" t="str">
        <f t="shared" si="6"/>
        <v>--</v>
      </c>
      <c r="T28" s="703">
        <f t="shared" si="7"/>
        <v>480.81235000000004</v>
      </c>
      <c r="U28" s="704" t="str">
        <f t="shared" si="8"/>
        <v>--</v>
      </c>
      <c r="V28" s="220" t="str">
        <f t="shared" si="9"/>
        <v>--</v>
      </c>
      <c r="W28" s="221" t="str">
        <f t="shared" si="10"/>
        <v>--</v>
      </c>
      <c r="X28" s="222" t="str">
        <f t="shared" si="11"/>
        <v>--</v>
      </c>
      <c r="Y28" s="705" t="str">
        <f t="shared" si="12"/>
        <v>--</v>
      </c>
      <c r="Z28" s="706" t="str">
        <f t="shared" si="13"/>
        <v>--</v>
      </c>
      <c r="AA28" s="707" t="str">
        <f t="shared" si="14"/>
        <v>--</v>
      </c>
      <c r="AB28" s="223" t="str">
        <f t="shared" si="15"/>
        <v>--</v>
      </c>
      <c r="AC28" s="224" t="str">
        <f t="shared" si="16"/>
        <v>--</v>
      </c>
      <c r="AD28" s="794" t="s">
        <v>194</v>
      </c>
      <c r="AE28" s="16">
        <f t="shared" si="17"/>
        <v>480.81235000000004</v>
      </c>
      <c r="AF28" s="708"/>
    </row>
    <row r="29" spans="2:32" s="5" customFormat="1" ht="16.5" customHeight="1">
      <c r="B29" s="50"/>
      <c r="C29" s="153">
        <v>9</v>
      </c>
      <c r="D29" s="153">
        <v>230914</v>
      </c>
      <c r="E29" s="153">
        <v>30</v>
      </c>
      <c r="F29" s="146" t="s">
        <v>280</v>
      </c>
      <c r="G29" s="148">
        <v>500</v>
      </c>
      <c r="H29" s="752">
        <v>4.5</v>
      </c>
      <c r="I29" s="148" t="s">
        <v>274</v>
      </c>
      <c r="J29" s="699">
        <f t="shared" si="0"/>
        <v>20</v>
      </c>
      <c r="K29" s="700">
        <f t="shared" si="1"/>
        <v>204.601</v>
      </c>
      <c r="L29" s="185">
        <v>40572.34861111111</v>
      </c>
      <c r="M29" s="217">
        <v>40572.76527777778</v>
      </c>
      <c r="N29" s="187">
        <f t="shared" si="2"/>
        <v>9.999999999941792</v>
      </c>
      <c r="O29" s="188">
        <f t="shared" si="3"/>
        <v>600</v>
      </c>
      <c r="P29" s="218" t="s">
        <v>275</v>
      </c>
      <c r="Q29" s="793" t="str">
        <f t="shared" si="4"/>
        <v>--</v>
      </c>
      <c r="R29" s="219" t="str">
        <f t="shared" si="5"/>
        <v>NO</v>
      </c>
      <c r="S29" s="219" t="str">
        <f t="shared" si="6"/>
        <v>--</v>
      </c>
      <c r="T29" s="703">
        <f t="shared" si="7"/>
        <v>409.202</v>
      </c>
      <c r="U29" s="704" t="str">
        <f t="shared" si="8"/>
        <v>--</v>
      </c>
      <c r="V29" s="220" t="str">
        <f t="shared" si="9"/>
        <v>--</v>
      </c>
      <c r="W29" s="221" t="str">
        <f t="shared" si="10"/>
        <v>--</v>
      </c>
      <c r="X29" s="222" t="str">
        <f t="shared" si="11"/>
        <v>--</v>
      </c>
      <c r="Y29" s="705" t="str">
        <f t="shared" si="12"/>
        <v>--</v>
      </c>
      <c r="Z29" s="706" t="str">
        <f t="shared" si="13"/>
        <v>--</v>
      </c>
      <c r="AA29" s="707" t="str">
        <f t="shared" si="14"/>
        <v>--</v>
      </c>
      <c r="AB29" s="223" t="str">
        <f t="shared" si="15"/>
        <v>--</v>
      </c>
      <c r="AC29" s="224" t="str">
        <f t="shared" si="16"/>
        <v>--</v>
      </c>
      <c r="AD29" s="794" t="s">
        <v>194</v>
      </c>
      <c r="AE29" s="16">
        <f t="shared" si="17"/>
        <v>409.202</v>
      </c>
      <c r="AF29" s="708"/>
    </row>
    <row r="30" spans="2:32" s="5" customFormat="1" ht="16.5" customHeight="1">
      <c r="B30" s="50"/>
      <c r="C30" s="272">
        <v>10</v>
      </c>
      <c r="D30" s="272">
        <v>230919</v>
      </c>
      <c r="E30" s="272">
        <v>30</v>
      </c>
      <c r="F30" s="146" t="s">
        <v>280</v>
      </c>
      <c r="G30" s="148">
        <v>500</v>
      </c>
      <c r="H30" s="752">
        <v>4.5</v>
      </c>
      <c r="I30" s="148" t="s">
        <v>274</v>
      </c>
      <c r="J30" s="699">
        <f t="shared" si="0"/>
        <v>20</v>
      </c>
      <c r="K30" s="700">
        <f t="shared" si="1"/>
        <v>204.601</v>
      </c>
      <c r="L30" s="185">
        <v>40573.354166666664</v>
      </c>
      <c r="M30" s="217">
        <v>40573.78055555555</v>
      </c>
      <c r="N30" s="187">
        <f t="shared" si="2"/>
        <v>10.233333333337214</v>
      </c>
      <c r="O30" s="188">
        <f t="shared" si="3"/>
        <v>614</v>
      </c>
      <c r="P30" s="218" t="s">
        <v>275</v>
      </c>
      <c r="Q30" s="793" t="str">
        <f t="shared" si="4"/>
        <v>--</v>
      </c>
      <c r="R30" s="219" t="str">
        <f t="shared" si="5"/>
        <v>NO</v>
      </c>
      <c r="S30" s="219" t="str">
        <f t="shared" si="6"/>
        <v>--</v>
      </c>
      <c r="T30" s="703">
        <f t="shared" si="7"/>
        <v>418.613646</v>
      </c>
      <c r="U30" s="704" t="str">
        <f t="shared" si="8"/>
        <v>--</v>
      </c>
      <c r="V30" s="220" t="str">
        <f t="shared" si="9"/>
        <v>--</v>
      </c>
      <c r="W30" s="221" t="str">
        <f t="shared" si="10"/>
        <v>--</v>
      </c>
      <c r="X30" s="222" t="str">
        <f t="shared" si="11"/>
        <v>--</v>
      </c>
      <c r="Y30" s="705" t="str">
        <f t="shared" si="12"/>
        <v>--</v>
      </c>
      <c r="Z30" s="706" t="str">
        <f t="shared" si="13"/>
        <v>--</v>
      </c>
      <c r="AA30" s="707" t="str">
        <f t="shared" si="14"/>
        <v>--</v>
      </c>
      <c r="AB30" s="223" t="str">
        <f t="shared" si="15"/>
        <v>--</v>
      </c>
      <c r="AC30" s="224" t="str">
        <f t="shared" si="16"/>
        <v>--</v>
      </c>
      <c r="AD30" s="794" t="s">
        <v>194</v>
      </c>
      <c r="AE30" s="16">
        <f t="shared" si="17"/>
        <v>418.613646</v>
      </c>
      <c r="AF30" s="708"/>
    </row>
    <row r="31" spans="2:32" s="5" customFormat="1" ht="16.5" customHeight="1">
      <c r="B31" s="50"/>
      <c r="C31" s="153"/>
      <c r="D31" s="153"/>
      <c r="E31" s="153"/>
      <c r="F31" s="146"/>
      <c r="G31" s="148"/>
      <c r="H31" s="752"/>
      <c r="I31" s="148"/>
      <c r="J31" s="699">
        <f t="shared" si="0"/>
        <v>20</v>
      </c>
      <c r="K31" s="700">
        <f t="shared" si="1"/>
        <v>170.503</v>
      </c>
      <c r="L31" s="185"/>
      <c r="M31" s="217"/>
      <c r="N31" s="187">
        <f t="shared" si="2"/>
      </c>
      <c r="O31" s="188">
        <f t="shared" si="3"/>
      </c>
      <c r="P31" s="218"/>
      <c r="Q31" s="793">
        <f t="shared" si="4"/>
      </c>
      <c r="R31" s="219">
        <f t="shared" si="5"/>
      </c>
      <c r="S31" s="219">
        <f t="shared" si="6"/>
      </c>
      <c r="T31" s="703" t="str">
        <f t="shared" si="7"/>
        <v>--</v>
      </c>
      <c r="U31" s="704" t="str">
        <f t="shared" si="8"/>
        <v>--</v>
      </c>
      <c r="V31" s="220" t="str">
        <f t="shared" si="9"/>
        <v>--</v>
      </c>
      <c r="W31" s="221" t="str">
        <f t="shared" si="10"/>
        <v>--</v>
      </c>
      <c r="X31" s="222" t="str">
        <f t="shared" si="11"/>
        <v>--</v>
      </c>
      <c r="Y31" s="705" t="str">
        <f t="shared" si="12"/>
        <v>--</v>
      </c>
      <c r="Z31" s="706" t="str">
        <f t="shared" si="13"/>
        <v>--</v>
      </c>
      <c r="AA31" s="707" t="str">
        <f t="shared" si="14"/>
        <v>--</v>
      </c>
      <c r="AB31" s="223" t="str">
        <f t="shared" si="15"/>
        <v>--</v>
      </c>
      <c r="AC31" s="224" t="str">
        <f t="shared" si="16"/>
        <v>--</v>
      </c>
      <c r="AD31" s="794">
        <f aca="true" t="shared" si="18" ref="AD31:AD40">IF(F31="","","SI")</f>
      </c>
      <c r="AE31" s="16">
        <f t="shared" si="17"/>
      </c>
      <c r="AF31" s="708"/>
    </row>
    <row r="32" spans="2:32" s="5" customFormat="1" ht="16.5" customHeight="1">
      <c r="B32" s="50"/>
      <c r="C32" s="272"/>
      <c r="D32" s="272"/>
      <c r="E32" s="272"/>
      <c r="F32" s="146"/>
      <c r="G32" s="148"/>
      <c r="H32" s="752"/>
      <c r="I32" s="148"/>
      <c r="J32" s="699">
        <f t="shared" si="0"/>
        <v>20</v>
      </c>
      <c r="K32" s="700">
        <f t="shared" si="1"/>
        <v>170.503</v>
      </c>
      <c r="L32" s="185"/>
      <c r="M32" s="186"/>
      <c r="N32" s="187">
        <f t="shared" si="2"/>
      </c>
      <c r="O32" s="188">
        <f t="shared" si="3"/>
      </c>
      <c r="P32" s="218"/>
      <c r="Q32" s="793">
        <f t="shared" si="4"/>
      </c>
      <c r="R32" s="219">
        <f t="shared" si="5"/>
      </c>
      <c r="S32" s="219">
        <f t="shared" si="6"/>
      </c>
      <c r="T32" s="703" t="str">
        <f t="shared" si="7"/>
        <v>--</v>
      </c>
      <c r="U32" s="704" t="str">
        <f t="shared" si="8"/>
        <v>--</v>
      </c>
      <c r="V32" s="220" t="str">
        <f t="shared" si="9"/>
        <v>--</v>
      </c>
      <c r="W32" s="221" t="str">
        <f t="shared" si="10"/>
        <v>--</v>
      </c>
      <c r="X32" s="222" t="str">
        <f t="shared" si="11"/>
        <v>--</v>
      </c>
      <c r="Y32" s="705" t="str">
        <f t="shared" si="12"/>
        <v>--</v>
      </c>
      <c r="Z32" s="706" t="str">
        <f t="shared" si="13"/>
        <v>--</v>
      </c>
      <c r="AA32" s="707" t="str">
        <f t="shared" si="14"/>
        <v>--</v>
      </c>
      <c r="AB32" s="223" t="str">
        <f t="shared" si="15"/>
        <v>--</v>
      </c>
      <c r="AC32" s="224" t="str">
        <f t="shared" si="16"/>
        <v>--</v>
      </c>
      <c r="AD32" s="794">
        <f t="shared" si="18"/>
      </c>
      <c r="AE32" s="16">
        <f t="shared" si="17"/>
      </c>
      <c r="AF32" s="708"/>
    </row>
    <row r="33" spans="2:32" s="5" customFormat="1" ht="16.5" customHeight="1">
      <c r="B33" s="50"/>
      <c r="C33" s="153"/>
      <c r="D33" s="153"/>
      <c r="E33" s="153"/>
      <c r="F33" s="146"/>
      <c r="G33" s="148"/>
      <c r="H33" s="752"/>
      <c r="I33" s="148"/>
      <c r="J33" s="699">
        <f t="shared" si="0"/>
        <v>20</v>
      </c>
      <c r="K33" s="700">
        <f t="shared" si="1"/>
        <v>170.503</v>
      </c>
      <c r="L33" s="185"/>
      <c r="M33" s="186"/>
      <c r="N33" s="187">
        <f t="shared" si="2"/>
      </c>
      <c r="O33" s="188">
        <f t="shared" si="3"/>
      </c>
      <c r="P33" s="218"/>
      <c r="Q33" s="793">
        <f t="shared" si="4"/>
      </c>
      <c r="R33" s="219">
        <f t="shared" si="5"/>
      </c>
      <c r="S33" s="219">
        <f t="shared" si="6"/>
      </c>
      <c r="T33" s="703" t="str">
        <f t="shared" si="7"/>
        <v>--</v>
      </c>
      <c r="U33" s="704" t="str">
        <f t="shared" si="8"/>
        <v>--</v>
      </c>
      <c r="V33" s="220" t="str">
        <f t="shared" si="9"/>
        <v>--</v>
      </c>
      <c r="W33" s="221" t="str">
        <f t="shared" si="10"/>
        <v>--</v>
      </c>
      <c r="X33" s="222" t="str">
        <f t="shared" si="11"/>
        <v>--</v>
      </c>
      <c r="Y33" s="705" t="str">
        <f t="shared" si="12"/>
        <v>--</v>
      </c>
      <c r="Z33" s="706" t="str">
        <f t="shared" si="13"/>
        <v>--</v>
      </c>
      <c r="AA33" s="707" t="str">
        <f t="shared" si="14"/>
        <v>--</v>
      </c>
      <c r="AB33" s="223" t="str">
        <f t="shared" si="15"/>
        <v>--</v>
      </c>
      <c r="AC33" s="224" t="str">
        <f t="shared" si="16"/>
        <v>--</v>
      </c>
      <c r="AD33" s="794">
        <f t="shared" si="18"/>
      </c>
      <c r="AE33" s="16">
        <f t="shared" si="17"/>
      </c>
      <c r="AF33" s="708"/>
    </row>
    <row r="34" spans="2:32" s="5" customFormat="1" ht="16.5" customHeight="1">
      <c r="B34" s="50"/>
      <c r="C34" s="272"/>
      <c r="D34" s="272"/>
      <c r="E34" s="272"/>
      <c r="F34" s="146"/>
      <c r="G34" s="148"/>
      <c r="H34" s="752"/>
      <c r="I34" s="148"/>
      <c r="J34" s="699">
        <f t="shared" si="0"/>
        <v>20</v>
      </c>
      <c r="K34" s="700">
        <f t="shared" si="1"/>
        <v>170.503</v>
      </c>
      <c r="L34" s="185"/>
      <c r="M34" s="186"/>
      <c r="N34" s="187">
        <f t="shared" si="2"/>
      </c>
      <c r="O34" s="188">
        <f t="shared" si="3"/>
      </c>
      <c r="P34" s="218"/>
      <c r="Q34" s="793">
        <f t="shared" si="4"/>
      </c>
      <c r="R34" s="219">
        <f t="shared" si="5"/>
      </c>
      <c r="S34" s="219">
        <f t="shared" si="6"/>
      </c>
      <c r="T34" s="703" t="str">
        <f t="shared" si="7"/>
        <v>--</v>
      </c>
      <c r="U34" s="704" t="str">
        <f t="shared" si="8"/>
        <v>--</v>
      </c>
      <c r="V34" s="220" t="str">
        <f t="shared" si="9"/>
        <v>--</v>
      </c>
      <c r="W34" s="221" t="str">
        <f t="shared" si="10"/>
        <v>--</v>
      </c>
      <c r="X34" s="222" t="str">
        <f t="shared" si="11"/>
        <v>--</v>
      </c>
      <c r="Y34" s="705" t="str">
        <f t="shared" si="12"/>
        <v>--</v>
      </c>
      <c r="Z34" s="706" t="str">
        <f t="shared" si="13"/>
        <v>--</v>
      </c>
      <c r="AA34" s="707" t="str">
        <f t="shared" si="14"/>
        <v>--</v>
      </c>
      <c r="AB34" s="223" t="str">
        <f t="shared" si="15"/>
        <v>--</v>
      </c>
      <c r="AC34" s="224" t="str">
        <f t="shared" si="16"/>
        <v>--</v>
      </c>
      <c r="AD34" s="794">
        <f t="shared" si="18"/>
      </c>
      <c r="AE34" s="16">
        <f t="shared" si="17"/>
      </c>
      <c r="AF34" s="708"/>
    </row>
    <row r="35" spans="2:32" s="5" customFormat="1" ht="16.5" customHeight="1">
      <c r="B35" s="50"/>
      <c r="C35" s="153"/>
      <c r="D35" s="153"/>
      <c r="E35" s="153"/>
      <c r="F35" s="146"/>
      <c r="G35" s="148"/>
      <c r="H35" s="752"/>
      <c r="I35" s="148"/>
      <c r="J35" s="699">
        <f t="shared" si="0"/>
        <v>20</v>
      </c>
      <c r="K35" s="700">
        <f t="shared" si="1"/>
        <v>170.503</v>
      </c>
      <c r="L35" s="185"/>
      <c r="M35" s="186"/>
      <c r="N35" s="187">
        <f t="shared" si="2"/>
      </c>
      <c r="O35" s="188">
        <f t="shared" si="3"/>
      </c>
      <c r="P35" s="218"/>
      <c r="Q35" s="793">
        <f t="shared" si="4"/>
      </c>
      <c r="R35" s="219">
        <f t="shared" si="5"/>
      </c>
      <c r="S35" s="219">
        <f t="shared" si="6"/>
      </c>
      <c r="T35" s="703" t="str">
        <f t="shared" si="7"/>
        <v>--</v>
      </c>
      <c r="U35" s="704" t="str">
        <f t="shared" si="8"/>
        <v>--</v>
      </c>
      <c r="V35" s="220" t="str">
        <f t="shared" si="9"/>
        <v>--</v>
      </c>
      <c r="W35" s="221" t="str">
        <f t="shared" si="10"/>
        <v>--</v>
      </c>
      <c r="X35" s="222" t="str">
        <f t="shared" si="11"/>
        <v>--</v>
      </c>
      <c r="Y35" s="705" t="str">
        <f t="shared" si="12"/>
        <v>--</v>
      </c>
      <c r="Z35" s="706" t="str">
        <f t="shared" si="13"/>
        <v>--</v>
      </c>
      <c r="AA35" s="707" t="str">
        <f t="shared" si="14"/>
        <v>--</v>
      </c>
      <c r="AB35" s="223" t="str">
        <f t="shared" si="15"/>
        <v>--</v>
      </c>
      <c r="AC35" s="224" t="str">
        <f t="shared" si="16"/>
        <v>--</v>
      </c>
      <c r="AD35" s="794">
        <f t="shared" si="18"/>
      </c>
      <c r="AE35" s="16">
        <f t="shared" si="17"/>
      </c>
      <c r="AF35" s="708"/>
    </row>
    <row r="36" spans="2:32" s="5" customFormat="1" ht="16.5" customHeight="1">
      <c r="B36" s="50"/>
      <c r="C36" s="272"/>
      <c r="D36" s="272"/>
      <c r="E36" s="272"/>
      <c r="F36" s="146"/>
      <c r="G36" s="148"/>
      <c r="H36" s="752"/>
      <c r="I36" s="148"/>
      <c r="J36" s="699">
        <f t="shared" si="0"/>
        <v>20</v>
      </c>
      <c r="K36" s="700">
        <f t="shared" si="1"/>
        <v>170.503</v>
      </c>
      <c r="L36" s="185"/>
      <c r="M36" s="186"/>
      <c r="N36" s="187">
        <f t="shared" si="2"/>
      </c>
      <c r="O36" s="188">
        <f t="shared" si="3"/>
      </c>
      <c r="P36" s="218"/>
      <c r="Q36" s="793">
        <f t="shared" si="4"/>
      </c>
      <c r="R36" s="219">
        <f t="shared" si="5"/>
      </c>
      <c r="S36" s="219">
        <f t="shared" si="6"/>
      </c>
      <c r="T36" s="703" t="str">
        <f t="shared" si="7"/>
        <v>--</v>
      </c>
      <c r="U36" s="704" t="str">
        <f t="shared" si="8"/>
        <v>--</v>
      </c>
      <c r="V36" s="220" t="str">
        <f t="shared" si="9"/>
        <v>--</v>
      </c>
      <c r="W36" s="221" t="str">
        <f t="shared" si="10"/>
        <v>--</v>
      </c>
      <c r="X36" s="222" t="str">
        <f t="shared" si="11"/>
        <v>--</v>
      </c>
      <c r="Y36" s="705" t="str">
        <f t="shared" si="12"/>
        <v>--</v>
      </c>
      <c r="Z36" s="706" t="str">
        <f t="shared" si="13"/>
        <v>--</v>
      </c>
      <c r="AA36" s="707" t="str">
        <f t="shared" si="14"/>
        <v>--</v>
      </c>
      <c r="AB36" s="223" t="str">
        <f t="shared" si="15"/>
        <v>--</v>
      </c>
      <c r="AC36" s="224" t="str">
        <f t="shared" si="16"/>
        <v>--</v>
      </c>
      <c r="AD36" s="794">
        <f t="shared" si="18"/>
      </c>
      <c r="AE36" s="16">
        <f t="shared" si="17"/>
      </c>
      <c r="AF36" s="708"/>
    </row>
    <row r="37" spans="2:32" s="5" customFormat="1" ht="16.5" customHeight="1">
      <c r="B37" s="50"/>
      <c r="C37" s="153"/>
      <c r="D37" s="153"/>
      <c r="E37" s="153"/>
      <c r="F37" s="146"/>
      <c r="G37" s="148"/>
      <c r="H37" s="752"/>
      <c r="I37" s="148"/>
      <c r="J37" s="699">
        <f t="shared" si="0"/>
        <v>20</v>
      </c>
      <c r="K37" s="700">
        <f t="shared" si="1"/>
        <v>170.503</v>
      </c>
      <c r="L37" s="185"/>
      <c r="M37" s="186"/>
      <c r="N37" s="187">
        <f t="shared" si="2"/>
      </c>
      <c r="O37" s="188">
        <f t="shared" si="3"/>
      </c>
      <c r="P37" s="218"/>
      <c r="Q37" s="793">
        <f t="shared" si="4"/>
      </c>
      <c r="R37" s="219">
        <f t="shared" si="5"/>
      </c>
      <c r="S37" s="219">
        <f t="shared" si="6"/>
      </c>
      <c r="T37" s="703" t="str">
        <f t="shared" si="7"/>
        <v>--</v>
      </c>
      <c r="U37" s="704" t="str">
        <f t="shared" si="8"/>
        <v>--</v>
      </c>
      <c r="V37" s="220" t="str">
        <f t="shared" si="9"/>
        <v>--</v>
      </c>
      <c r="W37" s="221" t="str">
        <f t="shared" si="10"/>
        <v>--</v>
      </c>
      <c r="X37" s="222" t="str">
        <f t="shared" si="11"/>
        <v>--</v>
      </c>
      <c r="Y37" s="705" t="str">
        <f t="shared" si="12"/>
        <v>--</v>
      </c>
      <c r="Z37" s="706" t="str">
        <f t="shared" si="13"/>
        <v>--</v>
      </c>
      <c r="AA37" s="707" t="str">
        <f t="shared" si="14"/>
        <v>--</v>
      </c>
      <c r="AB37" s="223" t="str">
        <f t="shared" si="15"/>
        <v>--</v>
      </c>
      <c r="AC37" s="224" t="str">
        <f t="shared" si="16"/>
        <v>--</v>
      </c>
      <c r="AD37" s="794">
        <f t="shared" si="18"/>
      </c>
      <c r="AE37" s="16">
        <f t="shared" si="17"/>
      </c>
      <c r="AF37" s="708"/>
    </row>
    <row r="38" spans="2:32" s="5" customFormat="1" ht="16.5" customHeight="1">
      <c r="B38" s="50"/>
      <c r="C38" s="272"/>
      <c r="D38" s="272"/>
      <c r="E38" s="272"/>
      <c r="F38" s="146"/>
      <c r="G38" s="148"/>
      <c r="H38" s="752"/>
      <c r="I38" s="148"/>
      <c r="J38" s="699">
        <f t="shared" si="0"/>
        <v>20</v>
      </c>
      <c r="K38" s="700">
        <f t="shared" si="1"/>
        <v>170.503</v>
      </c>
      <c r="L38" s="185"/>
      <c r="M38" s="186"/>
      <c r="N38" s="187">
        <f t="shared" si="2"/>
      </c>
      <c r="O38" s="188">
        <f t="shared" si="3"/>
      </c>
      <c r="P38" s="218"/>
      <c r="Q38" s="793">
        <f t="shared" si="4"/>
      </c>
      <c r="R38" s="219">
        <f t="shared" si="5"/>
      </c>
      <c r="S38" s="219">
        <f t="shared" si="6"/>
      </c>
      <c r="T38" s="703" t="str">
        <f t="shared" si="7"/>
        <v>--</v>
      </c>
      <c r="U38" s="704" t="str">
        <f t="shared" si="8"/>
        <v>--</v>
      </c>
      <c r="V38" s="220" t="str">
        <f t="shared" si="9"/>
        <v>--</v>
      </c>
      <c r="W38" s="221" t="str">
        <f t="shared" si="10"/>
        <v>--</v>
      </c>
      <c r="X38" s="222" t="str">
        <f t="shared" si="11"/>
        <v>--</v>
      </c>
      <c r="Y38" s="705" t="str">
        <f t="shared" si="12"/>
        <v>--</v>
      </c>
      <c r="Z38" s="706" t="str">
        <f t="shared" si="13"/>
        <v>--</v>
      </c>
      <c r="AA38" s="707" t="str">
        <f t="shared" si="14"/>
        <v>--</v>
      </c>
      <c r="AB38" s="223" t="str">
        <f t="shared" si="15"/>
        <v>--</v>
      </c>
      <c r="AC38" s="224" t="str">
        <f t="shared" si="16"/>
        <v>--</v>
      </c>
      <c r="AD38" s="794">
        <f t="shared" si="18"/>
      </c>
      <c r="AE38" s="16">
        <f t="shared" si="17"/>
      </c>
      <c r="AF38" s="708"/>
    </row>
    <row r="39" spans="2:32" s="5" customFormat="1" ht="16.5" customHeight="1">
      <c r="B39" s="50"/>
      <c r="C39" s="153"/>
      <c r="D39" s="153"/>
      <c r="E39" s="153"/>
      <c r="F39" s="146"/>
      <c r="G39" s="148"/>
      <c r="H39" s="752"/>
      <c r="I39" s="148"/>
      <c r="J39" s="699">
        <f t="shared" si="0"/>
        <v>20</v>
      </c>
      <c r="K39" s="700">
        <f t="shared" si="1"/>
        <v>170.503</v>
      </c>
      <c r="L39" s="185"/>
      <c r="M39" s="186"/>
      <c r="N39" s="187">
        <f t="shared" si="2"/>
      </c>
      <c r="O39" s="188">
        <f t="shared" si="3"/>
      </c>
      <c r="P39" s="218"/>
      <c r="Q39" s="793">
        <f t="shared" si="4"/>
      </c>
      <c r="R39" s="219">
        <f t="shared" si="5"/>
      </c>
      <c r="S39" s="219">
        <f t="shared" si="6"/>
      </c>
      <c r="T39" s="703" t="str">
        <f t="shared" si="7"/>
        <v>--</v>
      </c>
      <c r="U39" s="704" t="str">
        <f t="shared" si="8"/>
        <v>--</v>
      </c>
      <c r="V39" s="220" t="str">
        <f t="shared" si="9"/>
        <v>--</v>
      </c>
      <c r="W39" s="221" t="str">
        <f t="shared" si="10"/>
        <v>--</v>
      </c>
      <c r="X39" s="222" t="str">
        <f t="shared" si="11"/>
        <v>--</v>
      </c>
      <c r="Y39" s="705" t="str">
        <f t="shared" si="12"/>
        <v>--</v>
      </c>
      <c r="Z39" s="706" t="str">
        <f t="shared" si="13"/>
        <v>--</v>
      </c>
      <c r="AA39" s="707" t="str">
        <f t="shared" si="14"/>
        <v>--</v>
      </c>
      <c r="AB39" s="223" t="str">
        <f t="shared" si="15"/>
        <v>--</v>
      </c>
      <c r="AC39" s="224" t="str">
        <f t="shared" si="16"/>
        <v>--</v>
      </c>
      <c r="AD39" s="794">
        <f t="shared" si="18"/>
      </c>
      <c r="AE39" s="16">
        <f t="shared" si="17"/>
      </c>
      <c r="AF39" s="708"/>
    </row>
    <row r="40" spans="2:32" s="5" customFormat="1" ht="16.5" customHeight="1">
      <c r="B40" s="50"/>
      <c r="C40" s="272"/>
      <c r="D40" s="272"/>
      <c r="E40" s="272"/>
      <c r="F40" s="146"/>
      <c r="G40" s="148"/>
      <c r="H40" s="752"/>
      <c r="I40" s="148"/>
      <c r="J40" s="699">
        <f t="shared" si="0"/>
        <v>20</v>
      </c>
      <c r="K40" s="700">
        <f t="shared" si="1"/>
        <v>170.503</v>
      </c>
      <c r="L40" s="185"/>
      <c r="M40" s="186"/>
      <c r="N40" s="187">
        <f t="shared" si="2"/>
      </c>
      <c r="O40" s="188">
        <f t="shared" si="3"/>
      </c>
      <c r="P40" s="218"/>
      <c r="Q40" s="793">
        <f t="shared" si="4"/>
      </c>
      <c r="R40" s="219">
        <f t="shared" si="5"/>
      </c>
      <c r="S40" s="219">
        <f t="shared" si="6"/>
      </c>
      <c r="T40" s="703" t="str">
        <f t="shared" si="7"/>
        <v>--</v>
      </c>
      <c r="U40" s="704" t="str">
        <f t="shared" si="8"/>
        <v>--</v>
      </c>
      <c r="V40" s="220" t="str">
        <f t="shared" si="9"/>
        <v>--</v>
      </c>
      <c r="W40" s="221" t="str">
        <f t="shared" si="10"/>
        <v>--</v>
      </c>
      <c r="X40" s="222" t="str">
        <f t="shared" si="11"/>
        <v>--</v>
      </c>
      <c r="Y40" s="705" t="str">
        <f t="shared" si="12"/>
        <v>--</v>
      </c>
      <c r="Z40" s="706" t="str">
        <f t="shared" si="13"/>
        <v>--</v>
      </c>
      <c r="AA40" s="707" t="str">
        <f t="shared" si="14"/>
        <v>--</v>
      </c>
      <c r="AB40" s="223" t="str">
        <f t="shared" si="15"/>
        <v>--</v>
      </c>
      <c r="AC40" s="224" t="str">
        <f t="shared" si="16"/>
        <v>--</v>
      </c>
      <c r="AD40" s="794">
        <f t="shared" si="18"/>
      </c>
      <c r="AE40" s="16">
        <f t="shared" si="17"/>
      </c>
      <c r="AF40" s="708"/>
    </row>
    <row r="41" spans="2:32" s="5" customFormat="1" ht="16.5" customHeight="1" thickBot="1">
      <c r="B41" s="50"/>
      <c r="C41" s="792"/>
      <c r="D41" s="795"/>
      <c r="E41" s="153"/>
      <c r="F41" s="150"/>
      <c r="G41" s="226"/>
      <c r="H41" s="746"/>
      <c r="I41" s="227"/>
      <c r="J41" s="713"/>
      <c r="K41" s="714"/>
      <c r="L41" s="744"/>
      <c r="M41" s="744"/>
      <c r="N41" s="9"/>
      <c r="O41" s="9"/>
      <c r="P41" s="152"/>
      <c r="Q41" s="190"/>
      <c r="R41" s="152"/>
      <c r="S41" s="152"/>
      <c r="T41" s="715"/>
      <c r="U41" s="716"/>
      <c r="V41" s="228"/>
      <c r="W41" s="229"/>
      <c r="X41" s="230"/>
      <c r="Y41" s="717"/>
      <c r="Z41" s="718"/>
      <c r="AA41" s="719"/>
      <c r="AB41" s="231"/>
      <c r="AC41" s="232"/>
      <c r="AD41" s="720"/>
      <c r="AE41" s="233"/>
      <c r="AF41" s="708"/>
    </row>
    <row r="42" spans="2:32" s="5" customFormat="1" ht="16.5" customHeight="1" thickBot="1" thickTop="1">
      <c r="B42" s="50"/>
      <c r="C42" s="441" t="s">
        <v>329</v>
      </c>
      <c r="D42" s="844" t="s">
        <v>327</v>
      </c>
      <c r="E42" s="127"/>
      <c r="F42" s="128"/>
      <c r="G42" s="234"/>
      <c r="H42" s="202"/>
      <c r="I42" s="235"/>
      <c r="J42" s="202"/>
      <c r="K42" s="191"/>
      <c r="L42" s="191"/>
      <c r="M42" s="191"/>
      <c r="N42" s="191"/>
      <c r="O42" s="191"/>
      <c r="P42" s="191"/>
      <c r="Q42" s="236"/>
      <c r="R42" s="191"/>
      <c r="S42" s="191"/>
      <c r="T42" s="721">
        <f aca="true" t="shared" si="19" ref="T42:AC42">SUM(T20:T41)</f>
        <v>5603.623394</v>
      </c>
      <c r="U42" s="722">
        <f t="shared" si="19"/>
        <v>0</v>
      </c>
      <c r="V42" s="723">
        <f t="shared" si="19"/>
        <v>0</v>
      </c>
      <c r="W42" s="723">
        <f t="shared" si="19"/>
        <v>0</v>
      </c>
      <c r="X42" s="723">
        <f t="shared" si="19"/>
        <v>0</v>
      </c>
      <c r="Y42" s="724">
        <f t="shared" si="19"/>
        <v>0</v>
      </c>
      <c r="Z42" s="724">
        <f t="shared" si="19"/>
        <v>0</v>
      </c>
      <c r="AA42" s="724">
        <f t="shared" si="19"/>
        <v>0</v>
      </c>
      <c r="AB42" s="237">
        <f t="shared" si="19"/>
        <v>0</v>
      </c>
      <c r="AC42" s="238">
        <f t="shared" si="19"/>
        <v>0</v>
      </c>
      <c r="AD42" s="239"/>
      <c r="AE42" s="240">
        <f>ROUND(SUM(AE20:AE41),2)</f>
        <v>4721.78</v>
      </c>
      <c r="AF42" s="708"/>
    </row>
    <row r="43" spans="2:32" s="5" customFormat="1" ht="16.5" customHeight="1" thickBot="1" thickTop="1">
      <c r="B43" s="74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6"/>
    </row>
    <row r="44" spans="2:32" ht="16.5" customHeight="1" thickTop="1">
      <c r="B44" s="1"/>
      <c r="C44" s="1"/>
      <c r="D44" s="1"/>
      <c r="AF44" s="1"/>
    </row>
  </sheetData>
  <sheetProtection password="CC12"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Roman,Normal"&amp;8&amp;F-&amp;A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AE156"/>
  <sheetViews>
    <sheetView zoomScale="70" zoomScaleNormal="70" zoomScalePageLayoutView="0" workbookViewId="0" topLeftCell="A13">
      <selection activeCell="G35" sqref="G35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57421875" style="0" customWidth="1"/>
    <col min="6" max="7" width="25.7109375" style="0" customWidth="1"/>
    <col min="8" max="8" width="9.7109375" style="0" customWidth="1"/>
    <col min="9" max="9" width="12.7109375" style="0" customWidth="1"/>
    <col min="10" max="10" width="13.7109375" style="0" hidden="1" customWidth="1"/>
    <col min="11" max="12" width="15.7109375" style="0" customWidth="1"/>
    <col min="13" max="16" width="9.7109375" style="0" customWidth="1"/>
    <col min="17" max="17" width="5.8515625" style="0" customWidth="1"/>
    <col min="18" max="18" width="7.00390625" style="0" customWidth="1"/>
    <col min="19" max="19" width="13.140625" style="0" hidden="1" customWidth="1"/>
    <col min="20" max="21" width="16.421875" style="0" hidden="1" customWidth="1"/>
    <col min="22" max="22" width="16.57421875" style="0" hidden="1" customWidth="1"/>
    <col min="23" max="27" width="16.2812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2:30" s="18" customFormat="1" ht="26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145"/>
    </row>
    <row r="2" spans="1:30" s="18" customFormat="1" ht="26.25">
      <c r="A2" s="91"/>
      <c r="B2" s="241" t="str">
        <f>+'TOT-0111'!B2</f>
        <v>ANEXO II al Memorándum D.T.E.E. N°  1088 / 2012</v>
      </c>
      <c r="C2" s="241"/>
      <c r="D2" s="241"/>
      <c r="E2" s="241"/>
      <c r="F2" s="241"/>
      <c r="G2" s="19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</row>
    <row r="3" spans="1:30" s="5" customFormat="1" ht="15.7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s="25" customFormat="1" ht="11.25">
      <c r="A4" s="242" t="s">
        <v>73</v>
      </c>
      <c r="B4" s="114"/>
      <c r="C4" s="114"/>
      <c r="D4" s="11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</row>
    <row r="5" spans="1:30" s="25" customFormat="1" ht="11.25">
      <c r="A5" s="242" t="s">
        <v>2</v>
      </c>
      <c r="B5" s="114"/>
      <c r="C5" s="114"/>
      <c r="D5" s="11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</row>
    <row r="6" spans="1:30" s="5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</row>
    <row r="7" spans="1:30" s="5" customFormat="1" ht="13.5" thickTop="1">
      <c r="A7" s="90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4"/>
    </row>
    <row r="8" spans="1:30" s="29" customFormat="1" ht="20.25">
      <c r="A8" s="105"/>
      <c r="B8" s="106"/>
      <c r="C8" s="96"/>
      <c r="D8" s="96"/>
      <c r="E8" s="105"/>
      <c r="F8" s="243" t="s">
        <v>67</v>
      </c>
      <c r="G8" s="105"/>
      <c r="H8" s="105"/>
      <c r="I8" s="244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96"/>
      <c r="U8" s="96"/>
      <c r="V8" s="96"/>
      <c r="W8" s="96"/>
      <c r="X8" s="96"/>
      <c r="Y8" s="96"/>
      <c r="Z8" s="96"/>
      <c r="AA8" s="96"/>
      <c r="AB8" s="96"/>
      <c r="AC8" s="96"/>
      <c r="AD8" s="107"/>
    </row>
    <row r="9" spans="1:30" s="5" customFormat="1" ht="12.75">
      <c r="A9" s="90"/>
      <c r="B9" s="95"/>
      <c r="C9" s="15"/>
      <c r="D9" s="15"/>
      <c r="E9" s="90"/>
      <c r="F9" s="15"/>
      <c r="G9" s="245"/>
      <c r="H9" s="90"/>
      <c r="I9" s="15"/>
      <c r="J9" s="90"/>
      <c r="K9" s="90"/>
      <c r="L9" s="90"/>
      <c r="M9" s="90"/>
      <c r="N9" s="90"/>
      <c r="O9" s="90"/>
      <c r="P9" s="90"/>
      <c r="Q9" s="90"/>
      <c r="R9" s="90"/>
      <c r="S9" s="90"/>
      <c r="T9" s="15"/>
      <c r="U9" s="15"/>
      <c r="V9" s="15"/>
      <c r="W9" s="15"/>
      <c r="X9" s="15"/>
      <c r="Y9" s="15"/>
      <c r="Z9" s="15"/>
      <c r="AA9" s="15"/>
      <c r="AB9" s="15"/>
      <c r="AC9" s="15"/>
      <c r="AD9" s="17"/>
    </row>
    <row r="10" spans="1:30" s="772" customFormat="1" ht="30" customHeight="1">
      <c r="A10" s="766"/>
      <c r="B10" s="767"/>
      <c r="C10" s="770"/>
      <c r="D10" s="770"/>
      <c r="E10" s="766"/>
      <c r="F10" s="768" t="s">
        <v>204</v>
      </c>
      <c r="G10" s="766"/>
      <c r="H10" s="769"/>
      <c r="I10" s="770"/>
      <c r="J10" s="766"/>
      <c r="K10" s="766"/>
      <c r="L10" s="766"/>
      <c r="M10" s="766"/>
      <c r="N10" s="766"/>
      <c r="O10" s="766"/>
      <c r="P10" s="766"/>
      <c r="Q10" s="766"/>
      <c r="R10" s="766"/>
      <c r="S10" s="766"/>
      <c r="T10" s="770"/>
      <c r="U10" s="770"/>
      <c r="V10" s="770"/>
      <c r="W10" s="770"/>
      <c r="X10" s="770"/>
      <c r="Y10" s="770"/>
      <c r="Z10" s="770"/>
      <c r="AA10" s="770"/>
      <c r="AB10" s="770"/>
      <c r="AC10" s="770"/>
      <c r="AD10" s="771"/>
    </row>
    <row r="11" spans="1:30" s="777" customFormat="1" ht="9.75" customHeight="1">
      <c r="A11" s="773"/>
      <c r="B11" s="774"/>
      <c r="C11" s="775"/>
      <c r="D11" s="775"/>
      <c r="E11" s="773"/>
      <c r="G11" s="775"/>
      <c r="H11" s="775"/>
      <c r="I11" s="775"/>
      <c r="J11" s="773"/>
      <c r="K11" s="773"/>
      <c r="L11" s="773"/>
      <c r="M11" s="773"/>
      <c r="N11" s="773"/>
      <c r="O11" s="773"/>
      <c r="P11" s="773"/>
      <c r="Q11" s="773"/>
      <c r="R11" s="773"/>
      <c r="S11" s="773"/>
      <c r="T11" s="775"/>
      <c r="U11" s="775"/>
      <c r="V11" s="775"/>
      <c r="W11" s="775"/>
      <c r="X11" s="775"/>
      <c r="Y11" s="775"/>
      <c r="Z11" s="775"/>
      <c r="AA11" s="775"/>
      <c r="AB11" s="775"/>
      <c r="AC11" s="775"/>
      <c r="AD11" s="776"/>
    </row>
    <row r="12" spans="1:30" s="777" customFormat="1" ht="21" customHeight="1">
      <c r="A12" s="766"/>
      <c r="B12" s="767"/>
      <c r="C12" s="770"/>
      <c r="D12" s="770"/>
      <c r="E12" s="766"/>
      <c r="F12" s="778" t="s">
        <v>205</v>
      </c>
      <c r="G12" s="766"/>
      <c r="H12" s="766"/>
      <c r="I12" s="766"/>
      <c r="J12" s="779"/>
      <c r="K12" s="779"/>
      <c r="L12" s="779"/>
      <c r="M12" s="779"/>
      <c r="N12" s="779"/>
      <c r="O12" s="773"/>
      <c r="P12" s="773"/>
      <c r="Q12" s="773"/>
      <c r="R12" s="773"/>
      <c r="S12" s="773"/>
      <c r="T12" s="775"/>
      <c r="U12" s="775"/>
      <c r="V12" s="775"/>
      <c r="W12" s="775"/>
      <c r="X12" s="775"/>
      <c r="Y12" s="775"/>
      <c r="Z12" s="775"/>
      <c r="AA12" s="775"/>
      <c r="AB12" s="775"/>
      <c r="AC12" s="775"/>
      <c r="AD12" s="776"/>
    </row>
    <row r="13" spans="1:30" s="5" customFormat="1" ht="12.75">
      <c r="A13" s="90"/>
      <c r="B13" s="95"/>
      <c r="C13" s="15"/>
      <c r="D13" s="15"/>
      <c r="E13" s="90"/>
      <c r="F13" s="15"/>
      <c r="G13" s="15"/>
      <c r="H13" s="15"/>
      <c r="I13" s="98"/>
      <c r="J13" s="15"/>
      <c r="K13" s="15"/>
      <c r="L13" s="15"/>
      <c r="M13" s="15"/>
      <c r="N13" s="15"/>
      <c r="O13" s="90"/>
      <c r="P13" s="90"/>
      <c r="Q13" s="90"/>
      <c r="R13" s="90"/>
      <c r="S13" s="90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7"/>
    </row>
    <row r="14" spans="1:30" s="36" customFormat="1" ht="19.5">
      <c r="A14" s="109"/>
      <c r="B14" s="37" t="str">
        <f>'TOT-0111'!B14</f>
        <v>Desde el 01 al 31 de enero de 2011</v>
      </c>
      <c r="C14" s="40"/>
      <c r="D14" s="40"/>
      <c r="E14" s="246"/>
      <c r="F14" s="112"/>
      <c r="G14" s="112"/>
      <c r="H14" s="112"/>
      <c r="I14" s="112"/>
      <c r="J14" s="112"/>
      <c r="K14" s="112"/>
      <c r="L14" s="112"/>
      <c r="M14" s="112"/>
      <c r="N14" s="112"/>
      <c r="O14" s="246"/>
      <c r="P14" s="246"/>
      <c r="Q14" s="246"/>
      <c r="R14" s="246"/>
      <c r="S14" s="246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247"/>
    </row>
    <row r="15" spans="1:30" s="5" customFormat="1" ht="13.5" thickBot="1">
      <c r="A15" s="90"/>
      <c r="B15" s="95"/>
      <c r="C15" s="15"/>
      <c r="D15" s="15"/>
      <c r="E15" s="90"/>
      <c r="F15" s="15"/>
      <c r="G15" s="15"/>
      <c r="H15" s="15"/>
      <c r="I15" s="98"/>
      <c r="J15" s="15"/>
      <c r="K15" s="15"/>
      <c r="L15" s="15"/>
      <c r="M15" s="15"/>
      <c r="N15" s="15"/>
      <c r="O15" s="90"/>
      <c r="P15" s="90"/>
      <c r="Q15" s="90"/>
      <c r="R15" s="90"/>
      <c r="S15" s="90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7"/>
    </row>
    <row r="16" spans="1:30" s="5" customFormat="1" ht="16.5" customHeight="1" thickBot="1" thickTop="1">
      <c r="A16" s="90"/>
      <c r="B16" s="95"/>
      <c r="C16" s="15"/>
      <c r="D16" s="15"/>
      <c r="E16" s="90"/>
      <c r="F16" s="248" t="s">
        <v>74</v>
      </c>
      <c r="G16" s="249"/>
      <c r="H16" s="250">
        <v>0.56</v>
      </c>
      <c r="J16" s="90"/>
      <c r="K16" s="90"/>
      <c r="L16" s="90"/>
      <c r="M16" s="90"/>
      <c r="N16" s="90"/>
      <c r="O16" s="90"/>
      <c r="P16" s="90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7"/>
    </row>
    <row r="17" spans="1:30" s="5" customFormat="1" ht="16.5" customHeight="1" thickBot="1" thickTop="1">
      <c r="A17" s="90"/>
      <c r="B17" s="95"/>
      <c r="C17" s="15"/>
      <c r="D17" s="15"/>
      <c r="E17" s="90"/>
      <c r="F17" s="110" t="s">
        <v>25</v>
      </c>
      <c r="G17" s="111"/>
      <c r="H17" s="754">
        <v>200</v>
      </c>
      <c r="I17"/>
      <c r="J17" s="15"/>
      <c r="K17" s="200"/>
      <c r="L17" s="201"/>
      <c r="M17" s="4"/>
      <c r="N17" s="15"/>
      <c r="O17" s="15"/>
      <c r="P17" s="15"/>
      <c r="Q17" s="15"/>
      <c r="R17" s="15"/>
      <c r="S17" s="15"/>
      <c r="T17" s="15"/>
      <c r="U17" s="15"/>
      <c r="V17" s="15"/>
      <c r="W17" s="99"/>
      <c r="X17" s="99"/>
      <c r="Y17" s="99"/>
      <c r="Z17" s="99"/>
      <c r="AA17" s="99"/>
      <c r="AB17" s="99"/>
      <c r="AC17" s="90"/>
      <c r="AD17" s="17"/>
    </row>
    <row r="18" spans="1:30" s="5" customFormat="1" ht="16.5" customHeight="1" thickBot="1" thickTop="1">
      <c r="A18" s="90"/>
      <c r="B18" s="95"/>
      <c r="C18" s="825">
        <v>3</v>
      </c>
      <c r="D18" s="825">
        <v>4</v>
      </c>
      <c r="E18" s="825">
        <v>5</v>
      </c>
      <c r="F18" s="825">
        <v>6</v>
      </c>
      <c r="G18" s="825">
        <v>7</v>
      </c>
      <c r="H18" s="825">
        <v>8</v>
      </c>
      <c r="I18" s="825">
        <v>9</v>
      </c>
      <c r="J18" s="825">
        <v>10</v>
      </c>
      <c r="K18" s="825">
        <v>11</v>
      </c>
      <c r="L18" s="825">
        <v>12</v>
      </c>
      <c r="M18" s="825">
        <v>13</v>
      </c>
      <c r="N18" s="825">
        <v>14</v>
      </c>
      <c r="O18" s="825">
        <v>15</v>
      </c>
      <c r="P18" s="825">
        <v>16</v>
      </c>
      <c r="Q18" s="825">
        <v>17</v>
      </c>
      <c r="R18" s="825">
        <v>18</v>
      </c>
      <c r="S18" s="825">
        <v>19</v>
      </c>
      <c r="T18" s="825">
        <v>20</v>
      </c>
      <c r="U18" s="825">
        <v>21</v>
      </c>
      <c r="V18" s="825">
        <v>22</v>
      </c>
      <c r="W18" s="825">
        <v>23</v>
      </c>
      <c r="X18" s="825">
        <v>24</v>
      </c>
      <c r="Y18" s="825">
        <v>25</v>
      </c>
      <c r="Z18" s="825">
        <v>26</v>
      </c>
      <c r="AA18" s="825">
        <v>27</v>
      </c>
      <c r="AB18" s="825">
        <v>28</v>
      </c>
      <c r="AC18" s="825">
        <v>29</v>
      </c>
      <c r="AD18" s="17"/>
    </row>
    <row r="19" spans="1:30" s="5" customFormat="1" ht="33.75" customHeight="1" thickBot="1" thickTop="1">
      <c r="A19" s="90"/>
      <c r="B19" s="95"/>
      <c r="C19" s="123" t="s">
        <v>12</v>
      </c>
      <c r="D19" s="84" t="s">
        <v>212</v>
      </c>
      <c r="E19" s="84" t="s">
        <v>213</v>
      </c>
      <c r="F19" s="119" t="s">
        <v>26</v>
      </c>
      <c r="G19" s="118" t="s">
        <v>27</v>
      </c>
      <c r="H19" s="120" t="s">
        <v>28</v>
      </c>
      <c r="I19" s="121" t="s">
        <v>13</v>
      </c>
      <c r="J19" s="129" t="s">
        <v>15</v>
      </c>
      <c r="K19" s="118" t="s">
        <v>16</v>
      </c>
      <c r="L19" s="118" t="s">
        <v>17</v>
      </c>
      <c r="M19" s="119" t="s">
        <v>29</v>
      </c>
      <c r="N19" s="119" t="s">
        <v>30</v>
      </c>
      <c r="O19" s="88" t="s">
        <v>18</v>
      </c>
      <c r="P19" s="88" t="s">
        <v>57</v>
      </c>
      <c r="Q19" s="122" t="s">
        <v>31</v>
      </c>
      <c r="R19" s="118" t="s">
        <v>32</v>
      </c>
      <c r="S19" s="251" t="s">
        <v>36</v>
      </c>
      <c r="T19" s="252" t="s">
        <v>19</v>
      </c>
      <c r="U19" s="253" t="s">
        <v>20</v>
      </c>
      <c r="V19" s="206" t="s">
        <v>75</v>
      </c>
      <c r="W19" s="208"/>
      <c r="X19" s="254" t="s">
        <v>76</v>
      </c>
      <c r="Y19" s="255"/>
      <c r="Z19" s="256" t="s">
        <v>21</v>
      </c>
      <c r="AA19" s="257" t="s">
        <v>71</v>
      </c>
      <c r="AB19" s="132" t="s">
        <v>72</v>
      </c>
      <c r="AC19" s="121" t="s">
        <v>23</v>
      </c>
      <c r="AD19" s="17"/>
    </row>
    <row r="20" spans="1:30" s="5" customFormat="1" ht="16.5" customHeight="1" thickTop="1">
      <c r="A20" s="90"/>
      <c r="B20" s="95"/>
      <c r="C20" s="258"/>
      <c r="D20" s="258"/>
      <c r="E20" s="258"/>
      <c r="F20" s="258"/>
      <c r="G20" s="258"/>
      <c r="H20" s="258"/>
      <c r="I20" s="259"/>
      <c r="J20" s="260"/>
      <c r="K20" s="258"/>
      <c r="L20" s="258"/>
      <c r="M20" s="258"/>
      <c r="N20" s="258"/>
      <c r="O20" s="258"/>
      <c r="P20" s="179"/>
      <c r="Q20" s="261"/>
      <c r="R20" s="258"/>
      <c r="S20" s="262"/>
      <c r="T20" s="263"/>
      <c r="U20" s="264"/>
      <c r="V20" s="265"/>
      <c r="W20" s="266"/>
      <c r="X20" s="267"/>
      <c r="Y20" s="268"/>
      <c r="Z20" s="269"/>
      <c r="AA20" s="270"/>
      <c r="AB20" s="261"/>
      <c r="AC20" s="271"/>
      <c r="AD20" s="17"/>
    </row>
    <row r="21" spans="1:30" s="5" customFormat="1" ht="16.5" customHeight="1">
      <c r="A21" s="90"/>
      <c r="B21" s="95"/>
      <c r="C21" s="272"/>
      <c r="D21" s="272"/>
      <c r="E21" s="272"/>
      <c r="F21" s="272"/>
      <c r="G21" s="272"/>
      <c r="H21" s="272"/>
      <c r="I21" s="273"/>
      <c r="J21" s="274"/>
      <c r="K21" s="272"/>
      <c r="L21" s="272"/>
      <c r="M21" s="272"/>
      <c r="N21" s="272"/>
      <c r="O21" s="272"/>
      <c r="P21" s="182"/>
      <c r="Q21" s="275"/>
      <c r="R21" s="272"/>
      <c r="S21" s="276"/>
      <c r="T21" s="277"/>
      <c r="U21" s="278"/>
      <c r="V21" s="279"/>
      <c r="W21" s="280"/>
      <c r="X21" s="281"/>
      <c r="Y21" s="282"/>
      <c r="Z21" s="283"/>
      <c r="AA21" s="284"/>
      <c r="AB21" s="275"/>
      <c r="AC21" s="285"/>
      <c r="AD21" s="17"/>
    </row>
    <row r="22" spans="1:30" s="5" customFormat="1" ht="16.5" customHeight="1">
      <c r="A22" s="90"/>
      <c r="B22" s="95"/>
      <c r="C22" s="153">
        <v>11</v>
      </c>
      <c r="D22" s="153">
        <v>230461</v>
      </c>
      <c r="E22" s="153">
        <v>3265</v>
      </c>
      <c r="F22" s="149" t="s">
        <v>282</v>
      </c>
      <c r="G22" s="286" t="s">
        <v>347</v>
      </c>
      <c r="H22" s="287">
        <v>150</v>
      </c>
      <c r="I22" s="841" t="s">
        <v>119</v>
      </c>
      <c r="J22" s="289">
        <f aca="true" t="shared" si="0" ref="J22:J41">H22*$H$16</f>
        <v>84.00000000000001</v>
      </c>
      <c r="K22" s="154">
        <v>40553.36319444444</v>
      </c>
      <c r="L22" s="154">
        <v>40553.745833333334</v>
      </c>
      <c r="M22" s="290">
        <f aca="true" t="shared" si="1" ref="M22:M41">IF(F22="","",(L22-K22)*24)</f>
        <v>9.183333333407063</v>
      </c>
      <c r="N22" s="14">
        <f aca="true" t="shared" si="2" ref="N22:N41">IF(F22="","",ROUND((L22-K22)*24*60,0))</f>
        <v>551</v>
      </c>
      <c r="O22" s="155" t="s">
        <v>275</v>
      </c>
      <c r="P22" s="501" t="str">
        <f aca="true" t="shared" si="3" ref="P22:P41">IF(F22="","","--")</f>
        <v>--</v>
      </c>
      <c r="Q22" s="8" t="str">
        <f aca="true" t="shared" si="4" ref="Q22:Q41">IF(F22="","",IF(OR(O22="P",O22="RP"),"--","NO"))</f>
        <v>--</v>
      </c>
      <c r="R22" s="219" t="str">
        <f aca="true" t="shared" si="5" ref="R22:R41">IF(F22="","","NO")</f>
        <v>NO</v>
      </c>
      <c r="S22" s="291">
        <f aca="true" t="shared" si="6" ref="S22:S41">$H$17*IF(OR(O22="P",O22="RP"),0.1,1)*IF(R22="SI",1,0.1)</f>
        <v>2</v>
      </c>
      <c r="T22" s="292">
        <f aca="true" t="shared" si="7" ref="T22:T41">IF(O22="P",J22*S22*ROUND(N22/60,2),"--")</f>
        <v>1542.2400000000002</v>
      </c>
      <c r="U22" s="293" t="str">
        <f aca="true" t="shared" si="8" ref="U22:U41">IF(O22="RP",J22*S22*P22/100*ROUND(N22/60,2),"--")</f>
        <v>--</v>
      </c>
      <c r="V22" s="294" t="str">
        <f aca="true" t="shared" si="9" ref="V22:V41">IF(AND(O22="F",Q22="NO"),J22*S22,"--")</f>
        <v>--</v>
      </c>
      <c r="W22" s="295" t="str">
        <f aca="true" t="shared" si="10" ref="W22:W41">IF(O22="F",J22*S22*ROUND(N22/60,2),"--")</f>
        <v>--</v>
      </c>
      <c r="X22" s="296" t="str">
        <f aca="true" t="shared" si="11" ref="X22:X41">IF(AND(O22="R",Q22="NO"),J22*S22*P22/100,"--")</f>
        <v>--</v>
      </c>
      <c r="Y22" s="297" t="str">
        <f aca="true" t="shared" si="12" ref="Y22:Y41">IF(O22="R",J22*S22*P22/100*ROUND(N22/60,2),"--")</f>
        <v>--</v>
      </c>
      <c r="Z22" s="298" t="str">
        <f aca="true" t="shared" si="13" ref="Z22:Z41">IF(O22="RF",J22*S22*ROUND(N22/60,2),"--")</f>
        <v>--</v>
      </c>
      <c r="AA22" s="299" t="str">
        <f aca="true" t="shared" si="14" ref="AA22:AA41">IF(O22="RR",J22*S22*P22/100*ROUND(N22/60,2),"--")</f>
        <v>--</v>
      </c>
      <c r="AB22" s="300" t="s">
        <v>194</v>
      </c>
      <c r="AC22" s="16">
        <f aca="true" t="shared" si="15" ref="AC22:AC41">IF(F22="","",(SUM(T22:AA22)*IF(AB22="SI",1,2)*IF(AND(P22&lt;&gt;"--",O22="RF"),P22/100,1)))</f>
        <v>1542.2400000000002</v>
      </c>
      <c r="AD22" s="17"/>
    </row>
    <row r="23" spans="1:30" s="5" customFormat="1" ht="16.5" customHeight="1">
      <c r="A23" s="90"/>
      <c r="B23" s="95"/>
      <c r="C23" s="272">
        <v>12</v>
      </c>
      <c r="D23" s="272">
        <v>230463</v>
      </c>
      <c r="E23" s="272">
        <v>3759</v>
      </c>
      <c r="F23" s="149" t="s">
        <v>282</v>
      </c>
      <c r="G23" s="286" t="s">
        <v>283</v>
      </c>
      <c r="H23" s="287">
        <v>150</v>
      </c>
      <c r="I23" s="841" t="s">
        <v>119</v>
      </c>
      <c r="J23" s="289">
        <f t="shared" si="0"/>
        <v>84.00000000000001</v>
      </c>
      <c r="K23" s="154">
        <v>40554.350694444445</v>
      </c>
      <c r="L23" s="154">
        <v>40554.73888888889</v>
      </c>
      <c r="M23" s="290">
        <f t="shared" si="1"/>
        <v>9.316666666651145</v>
      </c>
      <c r="N23" s="14">
        <f t="shared" si="2"/>
        <v>559</v>
      </c>
      <c r="O23" s="155" t="s">
        <v>275</v>
      </c>
      <c r="P23" s="501" t="str">
        <f t="shared" si="3"/>
        <v>--</v>
      </c>
      <c r="Q23" s="8" t="str">
        <f t="shared" si="4"/>
        <v>--</v>
      </c>
      <c r="R23" s="219" t="str">
        <f t="shared" si="5"/>
        <v>NO</v>
      </c>
      <c r="S23" s="291">
        <f t="shared" si="6"/>
        <v>2</v>
      </c>
      <c r="T23" s="292">
        <f t="shared" si="7"/>
        <v>1565.7600000000002</v>
      </c>
      <c r="U23" s="293" t="str">
        <f t="shared" si="8"/>
        <v>--</v>
      </c>
      <c r="V23" s="294" t="str">
        <f t="shared" si="9"/>
        <v>--</v>
      </c>
      <c r="W23" s="295" t="str">
        <f t="shared" si="10"/>
        <v>--</v>
      </c>
      <c r="X23" s="296" t="str">
        <f t="shared" si="11"/>
        <v>--</v>
      </c>
      <c r="Y23" s="297" t="str">
        <f t="shared" si="12"/>
        <v>--</v>
      </c>
      <c r="Z23" s="298" t="str">
        <f t="shared" si="13"/>
        <v>--</v>
      </c>
      <c r="AA23" s="299" t="str">
        <f t="shared" si="14"/>
        <v>--</v>
      </c>
      <c r="AB23" s="300" t="s">
        <v>194</v>
      </c>
      <c r="AC23" s="16">
        <f t="shared" si="15"/>
        <v>1565.7600000000002</v>
      </c>
      <c r="AD23" s="17"/>
    </row>
    <row r="24" spans="1:30" s="5" customFormat="1" ht="16.5" customHeight="1">
      <c r="A24" s="90"/>
      <c r="B24" s="95"/>
      <c r="C24" s="153">
        <v>13</v>
      </c>
      <c r="D24" s="153">
        <v>230727</v>
      </c>
      <c r="E24" s="153">
        <v>60</v>
      </c>
      <c r="F24" s="149" t="s">
        <v>284</v>
      </c>
      <c r="G24" s="286" t="s">
        <v>285</v>
      </c>
      <c r="H24" s="287">
        <v>100</v>
      </c>
      <c r="I24" s="841" t="s">
        <v>268</v>
      </c>
      <c r="J24" s="289">
        <f t="shared" si="0"/>
        <v>56.00000000000001</v>
      </c>
      <c r="K24" s="154">
        <v>40565.3875</v>
      </c>
      <c r="L24" s="154">
        <v>40565.527083333334</v>
      </c>
      <c r="M24" s="290">
        <f t="shared" si="1"/>
        <v>3.3500000000931323</v>
      </c>
      <c r="N24" s="14">
        <f t="shared" si="2"/>
        <v>201</v>
      </c>
      <c r="O24" s="155" t="s">
        <v>275</v>
      </c>
      <c r="P24" s="501" t="str">
        <f t="shared" si="3"/>
        <v>--</v>
      </c>
      <c r="Q24" s="8" t="str">
        <f t="shared" si="4"/>
        <v>--</v>
      </c>
      <c r="R24" s="219" t="str">
        <f t="shared" si="5"/>
        <v>NO</v>
      </c>
      <c r="S24" s="291">
        <f t="shared" si="6"/>
        <v>2</v>
      </c>
      <c r="T24" s="292">
        <f t="shared" si="7"/>
        <v>375.20000000000005</v>
      </c>
      <c r="U24" s="293" t="str">
        <f t="shared" si="8"/>
        <v>--</v>
      </c>
      <c r="V24" s="294" t="str">
        <f t="shared" si="9"/>
        <v>--</v>
      </c>
      <c r="W24" s="295" t="str">
        <f t="shared" si="10"/>
        <v>--</v>
      </c>
      <c r="X24" s="296" t="str">
        <f t="shared" si="11"/>
        <v>--</v>
      </c>
      <c r="Y24" s="297" t="str">
        <f t="shared" si="12"/>
        <v>--</v>
      </c>
      <c r="Z24" s="298" t="str">
        <f t="shared" si="13"/>
        <v>--</v>
      </c>
      <c r="AA24" s="299" t="str">
        <f t="shared" si="14"/>
        <v>--</v>
      </c>
      <c r="AB24" s="300" t="s">
        <v>194</v>
      </c>
      <c r="AC24" s="16">
        <f t="shared" si="15"/>
        <v>375.20000000000005</v>
      </c>
      <c r="AD24" s="17"/>
    </row>
    <row r="25" spans="1:30" s="5" customFormat="1" ht="16.5" customHeight="1">
      <c r="A25" s="90"/>
      <c r="B25" s="95"/>
      <c r="C25" s="272">
        <v>14</v>
      </c>
      <c r="D25" s="272">
        <v>230909</v>
      </c>
      <c r="E25" s="272">
        <v>61</v>
      </c>
      <c r="F25" s="149" t="s">
        <v>286</v>
      </c>
      <c r="G25" s="286" t="s">
        <v>287</v>
      </c>
      <c r="H25" s="287">
        <v>150</v>
      </c>
      <c r="I25" s="841" t="s">
        <v>268</v>
      </c>
      <c r="J25" s="289">
        <f t="shared" si="0"/>
        <v>84.00000000000001</v>
      </c>
      <c r="K25" s="154">
        <v>40567.63402777778</v>
      </c>
      <c r="L25" s="154">
        <v>40567.79513888889</v>
      </c>
      <c r="M25" s="290">
        <f t="shared" si="1"/>
        <v>3.8666666666977108</v>
      </c>
      <c r="N25" s="14">
        <f t="shared" si="2"/>
        <v>232</v>
      </c>
      <c r="O25" s="155" t="s">
        <v>281</v>
      </c>
      <c r="P25" s="501" t="str">
        <f t="shared" si="3"/>
        <v>--</v>
      </c>
      <c r="Q25" s="8" t="str">
        <f t="shared" si="4"/>
        <v>NO</v>
      </c>
      <c r="R25" s="219" t="str">
        <f t="shared" si="5"/>
        <v>NO</v>
      </c>
      <c r="S25" s="291">
        <f t="shared" si="6"/>
        <v>20</v>
      </c>
      <c r="T25" s="292" t="str">
        <f t="shared" si="7"/>
        <v>--</v>
      </c>
      <c r="U25" s="293" t="str">
        <f t="shared" si="8"/>
        <v>--</v>
      </c>
      <c r="V25" s="294">
        <f t="shared" si="9"/>
        <v>1680.0000000000002</v>
      </c>
      <c r="W25" s="295">
        <f t="shared" si="10"/>
        <v>6501.600000000001</v>
      </c>
      <c r="X25" s="296" t="str">
        <f t="shared" si="11"/>
        <v>--</v>
      </c>
      <c r="Y25" s="297" t="str">
        <f t="shared" si="12"/>
        <v>--</v>
      </c>
      <c r="Z25" s="298" t="str">
        <f t="shared" si="13"/>
        <v>--</v>
      </c>
      <c r="AA25" s="299" t="str">
        <f t="shared" si="14"/>
        <v>--</v>
      </c>
      <c r="AB25" s="300" t="s">
        <v>194</v>
      </c>
      <c r="AC25" s="16">
        <f t="shared" si="15"/>
        <v>8181.600000000001</v>
      </c>
      <c r="AD25" s="17"/>
    </row>
    <row r="26" spans="1:30" s="5" customFormat="1" ht="16.5" customHeight="1">
      <c r="A26" s="90"/>
      <c r="B26" s="95"/>
      <c r="C26" s="153"/>
      <c r="D26" s="153"/>
      <c r="E26" s="153"/>
      <c r="F26" s="149"/>
      <c r="G26" s="286"/>
      <c r="H26" s="287"/>
      <c r="I26" s="288"/>
      <c r="J26" s="289">
        <f t="shared" si="0"/>
        <v>0</v>
      </c>
      <c r="K26" s="154"/>
      <c r="L26" s="154"/>
      <c r="M26" s="290">
        <f t="shared" si="1"/>
      </c>
      <c r="N26" s="14">
        <f t="shared" si="2"/>
      </c>
      <c r="O26" s="155"/>
      <c r="P26" s="501">
        <f t="shared" si="3"/>
      </c>
      <c r="Q26" s="8">
        <f t="shared" si="4"/>
      </c>
      <c r="R26" s="219">
        <f t="shared" si="5"/>
      </c>
      <c r="S26" s="291">
        <f t="shared" si="6"/>
        <v>20</v>
      </c>
      <c r="T26" s="292" t="str">
        <f t="shared" si="7"/>
        <v>--</v>
      </c>
      <c r="U26" s="293" t="str">
        <f t="shared" si="8"/>
        <v>--</v>
      </c>
      <c r="V26" s="294" t="str">
        <f t="shared" si="9"/>
        <v>--</v>
      </c>
      <c r="W26" s="295" t="str">
        <f t="shared" si="10"/>
        <v>--</v>
      </c>
      <c r="X26" s="296" t="str">
        <f t="shared" si="11"/>
        <v>--</v>
      </c>
      <c r="Y26" s="297" t="str">
        <f t="shared" si="12"/>
        <v>--</v>
      </c>
      <c r="Z26" s="298" t="str">
        <f t="shared" si="13"/>
        <v>--</v>
      </c>
      <c r="AA26" s="299" t="str">
        <f t="shared" si="14"/>
        <v>--</v>
      </c>
      <c r="AB26" s="300">
        <f aca="true" t="shared" si="16" ref="AB26:AB41">IF(F26="","","SI")</f>
      </c>
      <c r="AC26" s="16">
        <f t="shared" si="15"/>
      </c>
      <c r="AD26" s="17"/>
    </row>
    <row r="27" spans="1:30" s="5" customFormat="1" ht="16.5" customHeight="1">
      <c r="A27" s="90"/>
      <c r="B27" s="95"/>
      <c r="C27" s="272"/>
      <c r="D27" s="272"/>
      <c r="E27" s="272"/>
      <c r="F27" s="149"/>
      <c r="G27" s="286"/>
      <c r="H27" s="287"/>
      <c r="I27" s="288"/>
      <c r="J27" s="289">
        <f t="shared" si="0"/>
        <v>0</v>
      </c>
      <c r="K27" s="154"/>
      <c r="L27" s="154"/>
      <c r="M27" s="290">
        <f t="shared" si="1"/>
      </c>
      <c r="N27" s="14">
        <f t="shared" si="2"/>
      </c>
      <c r="O27" s="155"/>
      <c r="P27" s="501">
        <f t="shared" si="3"/>
      </c>
      <c r="Q27" s="8">
        <f t="shared" si="4"/>
      </c>
      <c r="R27" s="219">
        <f t="shared" si="5"/>
      </c>
      <c r="S27" s="291">
        <f t="shared" si="6"/>
        <v>20</v>
      </c>
      <c r="T27" s="292" t="str">
        <f t="shared" si="7"/>
        <v>--</v>
      </c>
      <c r="U27" s="293" t="str">
        <f t="shared" si="8"/>
        <v>--</v>
      </c>
      <c r="V27" s="294" t="str">
        <f t="shared" si="9"/>
        <v>--</v>
      </c>
      <c r="W27" s="295" t="str">
        <f t="shared" si="10"/>
        <v>--</v>
      </c>
      <c r="X27" s="296" t="str">
        <f t="shared" si="11"/>
        <v>--</v>
      </c>
      <c r="Y27" s="297" t="str">
        <f t="shared" si="12"/>
        <v>--</v>
      </c>
      <c r="Z27" s="298" t="str">
        <f t="shared" si="13"/>
        <v>--</v>
      </c>
      <c r="AA27" s="299" t="str">
        <f t="shared" si="14"/>
        <v>--</v>
      </c>
      <c r="AB27" s="300">
        <f t="shared" si="16"/>
      </c>
      <c r="AC27" s="16">
        <f t="shared" si="15"/>
      </c>
      <c r="AD27" s="17"/>
    </row>
    <row r="28" spans="1:31" s="5" customFormat="1" ht="16.5" customHeight="1">
      <c r="A28" s="90"/>
      <c r="B28" s="95"/>
      <c r="C28" s="153"/>
      <c r="D28" s="153"/>
      <c r="E28" s="153"/>
      <c r="F28" s="149"/>
      <c r="G28" s="286"/>
      <c r="H28" s="287"/>
      <c r="I28" s="288"/>
      <c r="J28" s="289">
        <f t="shared" si="0"/>
        <v>0</v>
      </c>
      <c r="K28" s="154"/>
      <c r="L28" s="154"/>
      <c r="M28" s="290">
        <f t="shared" si="1"/>
      </c>
      <c r="N28" s="14">
        <f t="shared" si="2"/>
      </c>
      <c r="O28" s="155"/>
      <c r="P28" s="501">
        <f t="shared" si="3"/>
      </c>
      <c r="Q28" s="8">
        <f t="shared" si="4"/>
      </c>
      <c r="R28" s="219">
        <f t="shared" si="5"/>
      </c>
      <c r="S28" s="291">
        <f t="shared" si="6"/>
        <v>20</v>
      </c>
      <c r="T28" s="292" t="str">
        <f t="shared" si="7"/>
        <v>--</v>
      </c>
      <c r="U28" s="293" t="str">
        <f t="shared" si="8"/>
        <v>--</v>
      </c>
      <c r="V28" s="294" t="str">
        <f t="shared" si="9"/>
        <v>--</v>
      </c>
      <c r="W28" s="295" t="str">
        <f t="shared" si="10"/>
        <v>--</v>
      </c>
      <c r="X28" s="296" t="str">
        <f t="shared" si="11"/>
        <v>--</v>
      </c>
      <c r="Y28" s="297" t="str">
        <f t="shared" si="12"/>
        <v>--</v>
      </c>
      <c r="Z28" s="298" t="str">
        <f t="shared" si="13"/>
        <v>--</v>
      </c>
      <c r="AA28" s="299" t="str">
        <f t="shared" si="14"/>
        <v>--</v>
      </c>
      <c r="AB28" s="300">
        <f t="shared" si="16"/>
      </c>
      <c r="AC28" s="16">
        <f t="shared" si="15"/>
      </c>
      <c r="AD28" s="17"/>
      <c r="AE28" s="15"/>
    </row>
    <row r="29" spans="1:30" s="5" customFormat="1" ht="16.5" customHeight="1">
      <c r="A29" s="90"/>
      <c r="B29" s="95"/>
      <c r="C29" s="272"/>
      <c r="D29" s="272"/>
      <c r="E29" s="272"/>
      <c r="F29" s="149"/>
      <c r="G29" s="286"/>
      <c r="H29" s="287"/>
      <c r="I29" s="288"/>
      <c r="J29" s="289">
        <f t="shared" si="0"/>
        <v>0</v>
      </c>
      <c r="K29" s="154"/>
      <c r="L29" s="154"/>
      <c r="M29" s="290">
        <f t="shared" si="1"/>
      </c>
      <c r="N29" s="14">
        <f t="shared" si="2"/>
      </c>
      <c r="O29" s="155"/>
      <c r="P29" s="501">
        <f t="shared" si="3"/>
      </c>
      <c r="Q29" s="8">
        <f t="shared" si="4"/>
      </c>
      <c r="R29" s="219">
        <f t="shared" si="5"/>
      </c>
      <c r="S29" s="291">
        <f t="shared" si="6"/>
        <v>20</v>
      </c>
      <c r="T29" s="292" t="str">
        <f t="shared" si="7"/>
        <v>--</v>
      </c>
      <c r="U29" s="293" t="str">
        <f t="shared" si="8"/>
        <v>--</v>
      </c>
      <c r="V29" s="294" t="str">
        <f t="shared" si="9"/>
        <v>--</v>
      </c>
      <c r="W29" s="295" t="str">
        <f t="shared" si="10"/>
        <v>--</v>
      </c>
      <c r="X29" s="296" t="str">
        <f t="shared" si="11"/>
        <v>--</v>
      </c>
      <c r="Y29" s="297" t="str">
        <f t="shared" si="12"/>
        <v>--</v>
      </c>
      <c r="Z29" s="298" t="str">
        <f t="shared" si="13"/>
        <v>--</v>
      </c>
      <c r="AA29" s="299" t="str">
        <f t="shared" si="14"/>
        <v>--</v>
      </c>
      <c r="AB29" s="300">
        <f t="shared" si="16"/>
      </c>
      <c r="AC29" s="16">
        <f t="shared" si="15"/>
      </c>
      <c r="AD29" s="17"/>
    </row>
    <row r="30" spans="1:30" s="5" customFormat="1" ht="16.5" customHeight="1">
      <c r="A30" s="90"/>
      <c r="B30" s="95"/>
      <c r="C30" s="153"/>
      <c r="D30" s="153"/>
      <c r="E30" s="153"/>
      <c r="F30" s="149"/>
      <c r="G30" s="286"/>
      <c r="H30" s="287"/>
      <c r="I30" s="288"/>
      <c r="J30" s="289">
        <f t="shared" si="0"/>
        <v>0</v>
      </c>
      <c r="K30" s="154"/>
      <c r="L30" s="154"/>
      <c r="M30" s="290">
        <f t="shared" si="1"/>
      </c>
      <c r="N30" s="14">
        <f t="shared" si="2"/>
      </c>
      <c r="O30" s="155"/>
      <c r="P30" s="501">
        <f t="shared" si="3"/>
      </c>
      <c r="Q30" s="8">
        <f t="shared" si="4"/>
      </c>
      <c r="R30" s="219">
        <f t="shared" si="5"/>
      </c>
      <c r="S30" s="291">
        <f t="shared" si="6"/>
        <v>20</v>
      </c>
      <c r="T30" s="292" t="str">
        <f t="shared" si="7"/>
        <v>--</v>
      </c>
      <c r="U30" s="293" t="str">
        <f t="shared" si="8"/>
        <v>--</v>
      </c>
      <c r="V30" s="294" t="str">
        <f t="shared" si="9"/>
        <v>--</v>
      </c>
      <c r="W30" s="295" t="str">
        <f t="shared" si="10"/>
        <v>--</v>
      </c>
      <c r="X30" s="296" t="str">
        <f t="shared" si="11"/>
        <v>--</v>
      </c>
      <c r="Y30" s="297" t="str">
        <f t="shared" si="12"/>
        <v>--</v>
      </c>
      <c r="Z30" s="298" t="str">
        <f t="shared" si="13"/>
        <v>--</v>
      </c>
      <c r="AA30" s="299" t="str">
        <f t="shared" si="14"/>
        <v>--</v>
      </c>
      <c r="AB30" s="300">
        <f t="shared" si="16"/>
      </c>
      <c r="AC30" s="16">
        <f t="shared" si="15"/>
      </c>
      <c r="AD30" s="17"/>
    </row>
    <row r="31" spans="1:30" s="5" customFormat="1" ht="16.5" customHeight="1">
      <c r="A31" s="90"/>
      <c r="B31" s="95"/>
      <c r="C31" s="272"/>
      <c r="D31" s="272"/>
      <c r="E31" s="272"/>
      <c r="F31" s="149"/>
      <c r="G31" s="286"/>
      <c r="H31" s="287"/>
      <c r="I31" s="288"/>
      <c r="J31" s="289">
        <f t="shared" si="0"/>
        <v>0</v>
      </c>
      <c r="K31" s="154"/>
      <c r="L31" s="154"/>
      <c r="M31" s="290">
        <f t="shared" si="1"/>
      </c>
      <c r="N31" s="14">
        <f t="shared" si="2"/>
      </c>
      <c r="O31" s="155"/>
      <c r="P31" s="501">
        <f t="shared" si="3"/>
      </c>
      <c r="Q31" s="8">
        <f t="shared" si="4"/>
      </c>
      <c r="R31" s="219">
        <f t="shared" si="5"/>
      </c>
      <c r="S31" s="291">
        <f t="shared" si="6"/>
        <v>20</v>
      </c>
      <c r="T31" s="292" t="str">
        <f t="shared" si="7"/>
        <v>--</v>
      </c>
      <c r="U31" s="293" t="str">
        <f t="shared" si="8"/>
        <v>--</v>
      </c>
      <c r="V31" s="294" t="str">
        <f t="shared" si="9"/>
        <v>--</v>
      </c>
      <c r="W31" s="295" t="str">
        <f t="shared" si="10"/>
        <v>--</v>
      </c>
      <c r="X31" s="296" t="str">
        <f t="shared" si="11"/>
        <v>--</v>
      </c>
      <c r="Y31" s="297" t="str">
        <f t="shared" si="12"/>
        <v>--</v>
      </c>
      <c r="Z31" s="298" t="str">
        <f t="shared" si="13"/>
        <v>--</v>
      </c>
      <c r="AA31" s="299" t="str">
        <f t="shared" si="14"/>
        <v>--</v>
      </c>
      <c r="AB31" s="300">
        <f t="shared" si="16"/>
      </c>
      <c r="AC31" s="16">
        <f t="shared" si="15"/>
      </c>
      <c r="AD31" s="17"/>
    </row>
    <row r="32" spans="1:30" s="5" customFormat="1" ht="16.5" customHeight="1">
      <c r="A32" s="90"/>
      <c r="B32" s="95"/>
      <c r="C32" s="153"/>
      <c r="D32" s="153"/>
      <c r="E32" s="153"/>
      <c r="F32" s="149"/>
      <c r="G32" s="302"/>
      <c r="H32" s="287"/>
      <c r="I32" s="288"/>
      <c r="J32" s="289">
        <f t="shared" si="0"/>
        <v>0</v>
      </c>
      <c r="K32" s="154"/>
      <c r="L32" s="154"/>
      <c r="M32" s="290">
        <f t="shared" si="1"/>
      </c>
      <c r="N32" s="14">
        <f t="shared" si="2"/>
      </c>
      <c r="O32" s="155"/>
      <c r="P32" s="501">
        <f t="shared" si="3"/>
      </c>
      <c r="Q32" s="8">
        <f t="shared" si="4"/>
      </c>
      <c r="R32" s="219">
        <f t="shared" si="5"/>
      </c>
      <c r="S32" s="291">
        <f t="shared" si="6"/>
        <v>20</v>
      </c>
      <c r="T32" s="292" t="str">
        <f t="shared" si="7"/>
        <v>--</v>
      </c>
      <c r="U32" s="293" t="str">
        <f t="shared" si="8"/>
        <v>--</v>
      </c>
      <c r="V32" s="294" t="str">
        <f t="shared" si="9"/>
        <v>--</v>
      </c>
      <c r="W32" s="295" t="str">
        <f t="shared" si="10"/>
        <v>--</v>
      </c>
      <c r="X32" s="296" t="str">
        <f t="shared" si="11"/>
        <v>--</v>
      </c>
      <c r="Y32" s="297" t="str">
        <f t="shared" si="12"/>
        <v>--</v>
      </c>
      <c r="Z32" s="298" t="str">
        <f t="shared" si="13"/>
        <v>--</v>
      </c>
      <c r="AA32" s="299" t="str">
        <f t="shared" si="14"/>
        <v>--</v>
      </c>
      <c r="AB32" s="300">
        <f t="shared" si="16"/>
      </c>
      <c r="AC32" s="16">
        <f t="shared" si="15"/>
      </c>
      <c r="AD32" s="17"/>
    </row>
    <row r="33" spans="1:30" s="5" customFormat="1" ht="16.5" customHeight="1">
      <c r="A33" s="90"/>
      <c r="B33" s="95"/>
      <c r="C33" s="272"/>
      <c r="D33" s="272"/>
      <c r="E33" s="272"/>
      <c r="F33" s="149"/>
      <c r="G33" s="302"/>
      <c r="H33" s="287"/>
      <c r="I33" s="288"/>
      <c r="J33" s="289">
        <f t="shared" si="0"/>
        <v>0</v>
      </c>
      <c r="K33" s="154"/>
      <c r="L33" s="154"/>
      <c r="M33" s="290">
        <f t="shared" si="1"/>
      </c>
      <c r="N33" s="14">
        <f t="shared" si="2"/>
      </c>
      <c r="O33" s="155"/>
      <c r="P33" s="501">
        <f t="shared" si="3"/>
      </c>
      <c r="Q33" s="8">
        <f t="shared" si="4"/>
      </c>
      <c r="R33" s="219">
        <f t="shared" si="5"/>
      </c>
      <c r="S33" s="291">
        <f t="shared" si="6"/>
        <v>20</v>
      </c>
      <c r="T33" s="292" t="str">
        <f t="shared" si="7"/>
        <v>--</v>
      </c>
      <c r="U33" s="293" t="str">
        <f t="shared" si="8"/>
        <v>--</v>
      </c>
      <c r="V33" s="294" t="str">
        <f t="shared" si="9"/>
        <v>--</v>
      </c>
      <c r="W33" s="295" t="str">
        <f t="shared" si="10"/>
        <v>--</v>
      </c>
      <c r="X33" s="296" t="str">
        <f t="shared" si="11"/>
        <v>--</v>
      </c>
      <c r="Y33" s="297" t="str">
        <f t="shared" si="12"/>
        <v>--</v>
      </c>
      <c r="Z33" s="298" t="str">
        <f t="shared" si="13"/>
        <v>--</v>
      </c>
      <c r="AA33" s="299" t="str">
        <f t="shared" si="14"/>
        <v>--</v>
      </c>
      <c r="AB33" s="300">
        <f t="shared" si="16"/>
      </c>
      <c r="AC33" s="16">
        <f t="shared" si="15"/>
      </c>
      <c r="AD33" s="17"/>
    </row>
    <row r="34" spans="1:30" s="5" customFormat="1" ht="16.5" customHeight="1">
      <c r="A34" s="90"/>
      <c r="B34" s="95"/>
      <c r="C34" s="153"/>
      <c r="D34" s="153"/>
      <c r="E34" s="153"/>
      <c r="F34" s="149"/>
      <c r="G34" s="302"/>
      <c r="H34" s="287"/>
      <c r="I34" s="288"/>
      <c r="J34" s="289">
        <f t="shared" si="0"/>
        <v>0</v>
      </c>
      <c r="K34" s="154"/>
      <c r="L34" s="154"/>
      <c r="M34" s="290">
        <f t="shared" si="1"/>
      </c>
      <c r="N34" s="14">
        <f t="shared" si="2"/>
      </c>
      <c r="O34" s="155"/>
      <c r="P34" s="501">
        <f t="shared" si="3"/>
      </c>
      <c r="Q34" s="8">
        <f t="shared" si="4"/>
      </c>
      <c r="R34" s="219">
        <f t="shared" si="5"/>
      </c>
      <c r="S34" s="291">
        <f t="shared" si="6"/>
        <v>20</v>
      </c>
      <c r="T34" s="292" t="str">
        <f t="shared" si="7"/>
        <v>--</v>
      </c>
      <c r="U34" s="293" t="str">
        <f t="shared" si="8"/>
        <v>--</v>
      </c>
      <c r="V34" s="294" t="str">
        <f t="shared" si="9"/>
        <v>--</v>
      </c>
      <c r="W34" s="295" t="str">
        <f t="shared" si="10"/>
        <v>--</v>
      </c>
      <c r="X34" s="296" t="str">
        <f t="shared" si="11"/>
        <v>--</v>
      </c>
      <c r="Y34" s="297" t="str">
        <f t="shared" si="12"/>
        <v>--</v>
      </c>
      <c r="Z34" s="298" t="str">
        <f t="shared" si="13"/>
        <v>--</v>
      </c>
      <c r="AA34" s="299" t="str">
        <f t="shared" si="14"/>
        <v>--</v>
      </c>
      <c r="AB34" s="300">
        <f t="shared" si="16"/>
      </c>
      <c r="AC34" s="16">
        <f t="shared" si="15"/>
      </c>
      <c r="AD34" s="17"/>
    </row>
    <row r="35" spans="1:30" s="5" customFormat="1" ht="16.5" customHeight="1">
      <c r="A35" s="90"/>
      <c r="B35" s="95"/>
      <c r="C35" s="272"/>
      <c r="D35" s="272"/>
      <c r="E35" s="272"/>
      <c r="F35" s="149"/>
      <c r="G35" s="302"/>
      <c r="H35" s="287"/>
      <c r="I35" s="288"/>
      <c r="J35" s="289">
        <f t="shared" si="0"/>
        <v>0</v>
      </c>
      <c r="K35" s="154"/>
      <c r="L35" s="154"/>
      <c r="M35" s="290">
        <f t="shared" si="1"/>
      </c>
      <c r="N35" s="14">
        <f t="shared" si="2"/>
      </c>
      <c r="O35" s="155"/>
      <c r="P35" s="501">
        <f t="shared" si="3"/>
      </c>
      <c r="Q35" s="8">
        <f t="shared" si="4"/>
      </c>
      <c r="R35" s="219">
        <f t="shared" si="5"/>
      </c>
      <c r="S35" s="291">
        <f t="shared" si="6"/>
        <v>20</v>
      </c>
      <c r="T35" s="292" t="str">
        <f t="shared" si="7"/>
        <v>--</v>
      </c>
      <c r="U35" s="293" t="str">
        <f t="shared" si="8"/>
        <v>--</v>
      </c>
      <c r="V35" s="294" t="str">
        <f t="shared" si="9"/>
        <v>--</v>
      </c>
      <c r="W35" s="295" t="str">
        <f t="shared" si="10"/>
        <v>--</v>
      </c>
      <c r="X35" s="296" t="str">
        <f t="shared" si="11"/>
        <v>--</v>
      </c>
      <c r="Y35" s="297" t="str">
        <f t="shared" si="12"/>
        <v>--</v>
      </c>
      <c r="Z35" s="298" t="str">
        <f t="shared" si="13"/>
        <v>--</v>
      </c>
      <c r="AA35" s="299" t="str">
        <f t="shared" si="14"/>
        <v>--</v>
      </c>
      <c r="AB35" s="300">
        <f t="shared" si="16"/>
      </c>
      <c r="AC35" s="16">
        <f t="shared" si="15"/>
      </c>
      <c r="AD35" s="17"/>
    </row>
    <row r="36" spans="1:30" s="5" customFormat="1" ht="16.5" customHeight="1">
      <c r="A36" s="90"/>
      <c r="B36" s="95"/>
      <c r="C36" s="153"/>
      <c r="D36" s="153"/>
      <c r="E36" s="153"/>
      <c r="F36" s="149"/>
      <c r="G36" s="302"/>
      <c r="H36" s="287"/>
      <c r="I36" s="288"/>
      <c r="J36" s="289">
        <f t="shared" si="0"/>
        <v>0</v>
      </c>
      <c r="K36" s="154"/>
      <c r="L36" s="154"/>
      <c r="M36" s="290">
        <f t="shared" si="1"/>
      </c>
      <c r="N36" s="14">
        <f t="shared" si="2"/>
      </c>
      <c r="O36" s="155"/>
      <c r="P36" s="501">
        <f t="shared" si="3"/>
      </c>
      <c r="Q36" s="8">
        <f t="shared" si="4"/>
      </c>
      <c r="R36" s="219">
        <f t="shared" si="5"/>
      </c>
      <c r="S36" s="291">
        <f t="shared" si="6"/>
        <v>20</v>
      </c>
      <c r="T36" s="292" t="str">
        <f t="shared" si="7"/>
        <v>--</v>
      </c>
      <c r="U36" s="293" t="str">
        <f t="shared" si="8"/>
        <v>--</v>
      </c>
      <c r="V36" s="294" t="str">
        <f t="shared" si="9"/>
        <v>--</v>
      </c>
      <c r="W36" s="295" t="str">
        <f t="shared" si="10"/>
        <v>--</v>
      </c>
      <c r="X36" s="296" t="str">
        <f t="shared" si="11"/>
        <v>--</v>
      </c>
      <c r="Y36" s="297" t="str">
        <f t="shared" si="12"/>
        <v>--</v>
      </c>
      <c r="Z36" s="298" t="str">
        <f t="shared" si="13"/>
        <v>--</v>
      </c>
      <c r="AA36" s="299" t="str">
        <f t="shared" si="14"/>
        <v>--</v>
      </c>
      <c r="AB36" s="300">
        <f t="shared" si="16"/>
      </c>
      <c r="AC36" s="16">
        <f t="shared" si="15"/>
      </c>
      <c r="AD36" s="17"/>
    </row>
    <row r="37" spans="1:30" s="5" customFormat="1" ht="16.5" customHeight="1">
      <c r="A37" s="90"/>
      <c r="B37" s="95"/>
      <c r="C37" s="272"/>
      <c r="D37" s="272"/>
      <c r="E37" s="272"/>
      <c r="F37" s="149"/>
      <c r="G37" s="302"/>
      <c r="H37" s="287"/>
      <c r="I37" s="288"/>
      <c r="J37" s="289">
        <f t="shared" si="0"/>
        <v>0</v>
      </c>
      <c r="K37" s="154"/>
      <c r="L37" s="154"/>
      <c r="M37" s="290">
        <f t="shared" si="1"/>
      </c>
      <c r="N37" s="14">
        <f t="shared" si="2"/>
      </c>
      <c r="O37" s="155"/>
      <c r="P37" s="501">
        <f t="shared" si="3"/>
      </c>
      <c r="Q37" s="8">
        <f t="shared" si="4"/>
      </c>
      <c r="R37" s="219">
        <f t="shared" si="5"/>
      </c>
      <c r="S37" s="291">
        <f t="shared" si="6"/>
        <v>20</v>
      </c>
      <c r="T37" s="292" t="str">
        <f t="shared" si="7"/>
        <v>--</v>
      </c>
      <c r="U37" s="293" t="str">
        <f t="shared" si="8"/>
        <v>--</v>
      </c>
      <c r="V37" s="294" t="str">
        <f t="shared" si="9"/>
        <v>--</v>
      </c>
      <c r="W37" s="295" t="str">
        <f t="shared" si="10"/>
        <v>--</v>
      </c>
      <c r="X37" s="296" t="str">
        <f t="shared" si="11"/>
        <v>--</v>
      </c>
      <c r="Y37" s="297" t="str">
        <f t="shared" si="12"/>
        <v>--</v>
      </c>
      <c r="Z37" s="298" t="str">
        <f t="shared" si="13"/>
        <v>--</v>
      </c>
      <c r="AA37" s="299" t="str">
        <f t="shared" si="14"/>
        <v>--</v>
      </c>
      <c r="AB37" s="300">
        <f t="shared" si="16"/>
      </c>
      <c r="AC37" s="16">
        <f t="shared" si="15"/>
      </c>
      <c r="AD37" s="17"/>
    </row>
    <row r="38" spans="1:30" s="5" customFormat="1" ht="16.5" customHeight="1">
      <c r="A38" s="90"/>
      <c r="B38" s="95"/>
      <c r="C38" s="153"/>
      <c r="D38" s="153"/>
      <c r="E38" s="153"/>
      <c r="F38" s="149"/>
      <c r="G38" s="302"/>
      <c r="H38" s="287"/>
      <c r="I38" s="288"/>
      <c r="J38" s="289">
        <f t="shared" si="0"/>
        <v>0</v>
      </c>
      <c r="K38" s="154"/>
      <c r="L38" s="154"/>
      <c r="M38" s="290">
        <f t="shared" si="1"/>
      </c>
      <c r="N38" s="14">
        <f t="shared" si="2"/>
      </c>
      <c r="O38" s="155"/>
      <c r="P38" s="501">
        <f t="shared" si="3"/>
      </c>
      <c r="Q38" s="8">
        <f t="shared" si="4"/>
      </c>
      <c r="R38" s="219">
        <f t="shared" si="5"/>
      </c>
      <c r="S38" s="291">
        <f t="shared" si="6"/>
        <v>20</v>
      </c>
      <c r="T38" s="292" t="str">
        <f t="shared" si="7"/>
        <v>--</v>
      </c>
      <c r="U38" s="293" t="str">
        <f t="shared" si="8"/>
        <v>--</v>
      </c>
      <c r="V38" s="294" t="str">
        <f t="shared" si="9"/>
        <v>--</v>
      </c>
      <c r="W38" s="295" t="str">
        <f t="shared" si="10"/>
        <v>--</v>
      </c>
      <c r="X38" s="296" t="str">
        <f t="shared" si="11"/>
        <v>--</v>
      </c>
      <c r="Y38" s="297" t="str">
        <f t="shared" si="12"/>
        <v>--</v>
      </c>
      <c r="Z38" s="298" t="str">
        <f t="shared" si="13"/>
        <v>--</v>
      </c>
      <c r="AA38" s="299" t="str">
        <f t="shared" si="14"/>
        <v>--</v>
      </c>
      <c r="AB38" s="300">
        <f t="shared" si="16"/>
      </c>
      <c r="AC38" s="16">
        <f t="shared" si="15"/>
      </c>
      <c r="AD38" s="17"/>
    </row>
    <row r="39" spans="1:30" s="5" customFormat="1" ht="16.5" customHeight="1">
      <c r="A39" s="90"/>
      <c r="B39" s="95"/>
      <c r="C39" s="272"/>
      <c r="D39" s="272"/>
      <c r="E39" s="272"/>
      <c r="F39" s="149"/>
      <c r="G39" s="302"/>
      <c r="H39" s="287"/>
      <c r="I39" s="288"/>
      <c r="J39" s="289">
        <f t="shared" si="0"/>
        <v>0</v>
      </c>
      <c r="K39" s="154"/>
      <c r="L39" s="154"/>
      <c r="M39" s="290">
        <f t="shared" si="1"/>
      </c>
      <c r="N39" s="14">
        <f t="shared" si="2"/>
      </c>
      <c r="O39" s="155"/>
      <c r="P39" s="501">
        <f t="shared" si="3"/>
      </c>
      <c r="Q39" s="8">
        <f t="shared" si="4"/>
      </c>
      <c r="R39" s="219">
        <f t="shared" si="5"/>
      </c>
      <c r="S39" s="291">
        <f t="shared" si="6"/>
        <v>20</v>
      </c>
      <c r="T39" s="292" t="str">
        <f t="shared" si="7"/>
        <v>--</v>
      </c>
      <c r="U39" s="293" t="str">
        <f t="shared" si="8"/>
        <v>--</v>
      </c>
      <c r="V39" s="294" t="str">
        <f t="shared" si="9"/>
        <v>--</v>
      </c>
      <c r="W39" s="295" t="str">
        <f t="shared" si="10"/>
        <v>--</v>
      </c>
      <c r="X39" s="296" t="str">
        <f t="shared" si="11"/>
        <v>--</v>
      </c>
      <c r="Y39" s="297" t="str">
        <f t="shared" si="12"/>
        <v>--</v>
      </c>
      <c r="Z39" s="298" t="str">
        <f t="shared" si="13"/>
        <v>--</v>
      </c>
      <c r="AA39" s="299" t="str">
        <f t="shared" si="14"/>
        <v>--</v>
      </c>
      <c r="AB39" s="300">
        <f t="shared" si="16"/>
      </c>
      <c r="AC39" s="16">
        <f t="shared" si="15"/>
      </c>
      <c r="AD39" s="17"/>
    </row>
    <row r="40" spans="1:30" s="5" customFormat="1" ht="16.5" customHeight="1">
      <c r="A40" s="90"/>
      <c r="B40" s="95"/>
      <c r="C40" s="153"/>
      <c r="D40" s="153"/>
      <c r="E40" s="153"/>
      <c r="F40" s="149"/>
      <c r="G40" s="302"/>
      <c r="H40" s="287"/>
      <c r="I40" s="288"/>
      <c r="J40" s="289">
        <f t="shared" si="0"/>
        <v>0</v>
      </c>
      <c r="K40" s="154"/>
      <c r="L40" s="154"/>
      <c r="M40" s="290">
        <f t="shared" si="1"/>
      </c>
      <c r="N40" s="14">
        <f t="shared" si="2"/>
      </c>
      <c r="O40" s="155"/>
      <c r="P40" s="501">
        <f t="shared" si="3"/>
      </c>
      <c r="Q40" s="8">
        <f t="shared" si="4"/>
      </c>
      <c r="R40" s="219">
        <f t="shared" si="5"/>
      </c>
      <c r="S40" s="291">
        <f t="shared" si="6"/>
        <v>20</v>
      </c>
      <c r="T40" s="292" t="str">
        <f t="shared" si="7"/>
        <v>--</v>
      </c>
      <c r="U40" s="293" t="str">
        <f t="shared" si="8"/>
        <v>--</v>
      </c>
      <c r="V40" s="294" t="str">
        <f t="shared" si="9"/>
        <v>--</v>
      </c>
      <c r="W40" s="295" t="str">
        <f t="shared" si="10"/>
        <v>--</v>
      </c>
      <c r="X40" s="296" t="str">
        <f t="shared" si="11"/>
        <v>--</v>
      </c>
      <c r="Y40" s="297" t="str">
        <f t="shared" si="12"/>
        <v>--</v>
      </c>
      <c r="Z40" s="298" t="str">
        <f t="shared" si="13"/>
        <v>--</v>
      </c>
      <c r="AA40" s="299" t="str">
        <f t="shared" si="14"/>
        <v>--</v>
      </c>
      <c r="AB40" s="300">
        <f t="shared" si="16"/>
      </c>
      <c r="AC40" s="16">
        <f t="shared" si="15"/>
      </c>
      <c r="AD40" s="17"/>
    </row>
    <row r="41" spans="1:30" s="5" customFormat="1" ht="16.5" customHeight="1">
      <c r="A41" s="90"/>
      <c r="B41" s="95"/>
      <c r="C41" s="272"/>
      <c r="D41" s="272"/>
      <c r="E41" s="272"/>
      <c r="F41" s="149"/>
      <c r="G41" s="302"/>
      <c r="H41" s="287"/>
      <c r="I41" s="288"/>
      <c r="J41" s="289">
        <f t="shared" si="0"/>
        <v>0</v>
      </c>
      <c r="K41" s="154"/>
      <c r="L41" s="154"/>
      <c r="M41" s="290">
        <f t="shared" si="1"/>
      </c>
      <c r="N41" s="14">
        <f t="shared" si="2"/>
      </c>
      <c r="O41" s="155"/>
      <c r="P41" s="501">
        <f t="shared" si="3"/>
      </c>
      <c r="Q41" s="8">
        <f t="shared" si="4"/>
      </c>
      <c r="R41" s="219">
        <f t="shared" si="5"/>
      </c>
      <c r="S41" s="291">
        <f t="shared" si="6"/>
        <v>20</v>
      </c>
      <c r="T41" s="292" t="str">
        <f t="shared" si="7"/>
        <v>--</v>
      </c>
      <c r="U41" s="293" t="str">
        <f t="shared" si="8"/>
        <v>--</v>
      </c>
      <c r="V41" s="294" t="str">
        <f t="shared" si="9"/>
        <v>--</v>
      </c>
      <c r="W41" s="295" t="str">
        <f t="shared" si="10"/>
        <v>--</v>
      </c>
      <c r="X41" s="296" t="str">
        <f t="shared" si="11"/>
        <v>--</v>
      </c>
      <c r="Y41" s="297" t="str">
        <f t="shared" si="12"/>
        <v>--</v>
      </c>
      <c r="Z41" s="298" t="str">
        <f t="shared" si="13"/>
        <v>--</v>
      </c>
      <c r="AA41" s="299" t="str">
        <f t="shared" si="14"/>
        <v>--</v>
      </c>
      <c r="AB41" s="300">
        <f t="shared" si="16"/>
      </c>
      <c r="AC41" s="16">
        <f t="shared" si="15"/>
      </c>
      <c r="AD41" s="17"/>
    </row>
    <row r="42" spans="1:30" s="5" customFormat="1" ht="16.5" customHeight="1" thickBot="1">
      <c r="A42" s="90"/>
      <c r="B42" s="95"/>
      <c r="C42" s="153"/>
      <c r="D42" s="153"/>
      <c r="E42" s="153"/>
      <c r="F42" s="303"/>
      <c r="G42" s="304"/>
      <c r="H42" s="303"/>
      <c r="I42" s="305"/>
      <c r="J42" s="131"/>
      <c r="K42" s="156"/>
      <c r="L42" s="306"/>
      <c r="M42" s="307"/>
      <c r="N42" s="308"/>
      <c r="O42" s="159"/>
      <c r="P42" s="190"/>
      <c r="Q42" s="157"/>
      <c r="R42" s="159"/>
      <c r="S42" s="309"/>
      <c r="T42" s="310"/>
      <c r="U42" s="311"/>
      <c r="V42" s="312"/>
      <c r="W42" s="313"/>
      <c r="X42" s="314"/>
      <c r="Y42" s="315"/>
      <c r="Z42" s="316"/>
      <c r="AA42" s="317"/>
      <c r="AB42" s="318"/>
      <c r="AC42" s="319"/>
      <c r="AD42" s="17"/>
    </row>
    <row r="43" spans="1:30" s="5" customFormat="1" ht="16.5" customHeight="1" thickBot="1" thickTop="1">
      <c r="A43" s="90"/>
      <c r="B43" s="95"/>
      <c r="C43" s="441" t="s">
        <v>329</v>
      </c>
      <c r="D43" s="844" t="s">
        <v>327</v>
      </c>
      <c r="E43" s="127"/>
      <c r="F43" s="128"/>
      <c r="G43" s="15"/>
      <c r="H43" s="15"/>
      <c r="I43" s="15"/>
      <c r="J43" s="15"/>
      <c r="K43" s="15"/>
      <c r="L43" s="99"/>
      <c r="M43" s="15"/>
      <c r="N43" s="15"/>
      <c r="O43" s="15"/>
      <c r="P43" s="15"/>
      <c r="Q43" s="15"/>
      <c r="R43" s="15"/>
      <c r="S43" s="15"/>
      <c r="T43" s="320">
        <f aca="true" t="shared" si="17" ref="T43:AA43">SUM(T20:T42)</f>
        <v>3483.2000000000007</v>
      </c>
      <c r="U43" s="321">
        <f t="shared" si="17"/>
        <v>0</v>
      </c>
      <c r="V43" s="322">
        <f t="shared" si="17"/>
        <v>1680.0000000000002</v>
      </c>
      <c r="W43" s="323">
        <f t="shared" si="17"/>
        <v>6501.600000000001</v>
      </c>
      <c r="X43" s="324">
        <f t="shared" si="17"/>
        <v>0</v>
      </c>
      <c r="Y43" s="325">
        <f t="shared" si="17"/>
        <v>0</v>
      </c>
      <c r="Z43" s="326">
        <f t="shared" si="17"/>
        <v>0</v>
      </c>
      <c r="AA43" s="327">
        <f t="shared" si="17"/>
        <v>0</v>
      </c>
      <c r="AB43" s="90"/>
      <c r="AC43" s="328">
        <f>ROUND(SUM(AC20:AC42),2)</f>
        <v>11664.8</v>
      </c>
      <c r="AD43" s="17"/>
    </row>
    <row r="44" spans="1:30" s="5" customFormat="1" ht="16.5" customHeight="1" thickBot="1" thickTop="1">
      <c r="A44" s="90"/>
      <c r="B44" s="101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3"/>
    </row>
    <row r="45" spans="1:31" ht="16.5" customHeight="1" thickTop="1">
      <c r="A45" s="2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</row>
    <row r="46" spans="1:31" ht="16.5" customHeight="1">
      <c r="A46" s="2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</row>
    <row r="47" spans="1:31" ht="16.5" customHeight="1">
      <c r="A47" s="2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</row>
    <row r="48" spans="1:31" ht="16.5" customHeight="1">
      <c r="A48" s="2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</row>
    <row r="49" spans="6:31" ht="16.5" customHeight="1"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</row>
    <row r="50" spans="6:31" ht="16.5" customHeight="1"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</row>
    <row r="51" spans="6:31" ht="16.5" customHeight="1"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</row>
    <row r="52" spans="6:31" ht="16.5" customHeight="1"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</row>
    <row r="53" spans="6:31" ht="16.5" customHeight="1"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</row>
    <row r="54" spans="6:31" ht="16.5" customHeight="1"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</row>
    <row r="55" spans="6:31" ht="16.5" customHeight="1"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</row>
    <row r="56" spans="6:31" ht="16.5" customHeight="1"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</row>
    <row r="57" spans="6:31" ht="16.5" customHeight="1"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</row>
    <row r="58" spans="6:31" ht="16.5" customHeight="1"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</row>
    <row r="59" spans="6:31" ht="16.5" customHeight="1"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</row>
    <row r="60" spans="6:31" ht="16.5" customHeight="1"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</row>
    <row r="61" spans="6:31" ht="16.5" customHeight="1"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</row>
    <row r="62" spans="6:31" ht="16.5" customHeight="1"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</row>
    <row r="63" spans="6:31" ht="16.5" customHeight="1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</row>
    <row r="64" spans="6:31" ht="16.5" customHeight="1"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</row>
    <row r="65" spans="6:31" ht="16.5" customHeight="1"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</row>
    <row r="66" spans="6:31" ht="16.5" customHeight="1"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</row>
    <row r="67" spans="6:31" ht="16.5" customHeight="1"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</row>
    <row r="68" spans="6:31" ht="16.5" customHeight="1"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</row>
    <row r="69" spans="6:31" ht="16.5" customHeight="1"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</row>
    <row r="70" spans="6:31" ht="16.5" customHeight="1"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</row>
    <row r="71" spans="6:31" ht="16.5" customHeight="1"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</row>
    <row r="72" spans="6:31" ht="16.5" customHeight="1"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</row>
    <row r="73" spans="6:31" ht="16.5" customHeight="1"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</row>
    <row r="74" spans="6:31" ht="16.5" customHeight="1"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</row>
    <row r="75" spans="6:31" ht="16.5" customHeight="1"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</row>
    <row r="76" spans="6:31" ht="16.5" customHeight="1"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</row>
    <row r="77" spans="6:31" ht="16.5" customHeight="1"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</row>
    <row r="78" spans="6:31" ht="16.5" customHeight="1"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</row>
    <row r="79" spans="6:31" ht="16.5" customHeight="1"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</row>
    <row r="80" spans="6:31" ht="16.5" customHeight="1"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</row>
    <row r="81" spans="6:31" ht="16.5" customHeight="1"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</row>
    <row r="82" spans="6:31" ht="16.5" customHeight="1"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</row>
    <row r="83" spans="6:31" ht="16.5" customHeight="1"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</row>
    <row r="84" spans="6:31" ht="16.5" customHeight="1"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</row>
    <row r="85" spans="6:31" ht="16.5" customHeight="1"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</row>
    <row r="86" spans="6:31" ht="16.5" customHeight="1"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</row>
    <row r="87" spans="6:31" ht="16.5" customHeight="1"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</row>
    <row r="88" spans="6:31" ht="16.5" customHeight="1"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</row>
    <row r="89" spans="6:31" ht="16.5" customHeight="1"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</row>
    <row r="90" spans="6:31" ht="16.5" customHeight="1"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</row>
    <row r="91" spans="6:31" ht="16.5" customHeight="1"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</row>
    <row r="92" spans="6:31" ht="16.5" customHeight="1"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</row>
    <row r="93" spans="6:31" ht="16.5" customHeight="1"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</row>
    <row r="94" spans="6:31" ht="16.5" customHeight="1"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</row>
    <row r="95" spans="6:31" ht="16.5" customHeight="1"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</row>
    <row r="96" spans="6:31" ht="16.5" customHeight="1"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</row>
    <row r="97" spans="6:31" ht="16.5" customHeight="1"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</row>
    <row r="98" spans="6:31" ht="16.5" customHeight="1"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</row>
    <row r="99" spans="6:31" ht="16.5" customHeight="1"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</row>
    <row r="100" spans="6:31" ht="16.5" customHeight="1"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</row>
    <row r="101" spans="6:31" ht="16.5" customHeight="1"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</row>
    <row r="102" spans="6:31" ht="16.5" customHeight="1"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</row>
    <row r="103" spans="6:31" ht="16.5" customHeight="1"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</row>
    <row r="104" spans="6:31" ht="16.5" customHeight="1"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</row>
    <row r="105" spans="6:31" ht="16.5" customHeight="1"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</row>
    <row r="106" spans="6:31" ht="16.5" customHeight="1"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</row>
    <row r="107" spans="6:31" ht="16.5" customHeight="1"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</row>
    <row r="108" spans="6:31" ht="16.5" customHeight="1"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</row>
    <row r="109" spans="6:31" ht="16.5" customHeight="1"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</row>
    <row r="110" spans="6:31" ht="16.5" customHeight="1"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</row>
    <row r="111" spans="6:31" ht="16.5" customHeight="1"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</row>
    <row r="112" spans="6:31" ht="16.5" customHeight="1"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</row>
    <row r="113" spans="6:31" ht="16.5" customHeight="1"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</row>
    <row r="114" spans="6:31" ht="16.5" customHeight="1"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</row>
    <row r="115" spans="6:31" ht="16.5" customHeight="1"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3"/>
      <c r="AD115" s="173"/>
      <c r="AE115" s="173"/>
    </row>
    <row r="116" spans="6:31" ht="16.5" customHeight="1"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  <c r="AC116" s="173"/>
      <c r="AD116" s="173"/>
      <c r="AE116" s="173"/>
    </row>
    <row r="117" spans="6:31" ht="16.5" customHeight="1"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</row>
    <row r="118" spans="6:31" ht="16.5" customHeight="1"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  <c r="AC118" s="173"/>
      <c r="AD118" s="173"/>
      <c r="AE118" s="173"/>
    </row>
    <row r="119" spans="6:31" ht="16.5" customHeight="1"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</row>
    <row r="120" spans="6:31" ht="16.5" customHeight="1"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</row>
    <row r="121" spans="6:31" ht="16.5" customHeight="1"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</row>
    <row r="122" spans="6:31" ht="16.5" customHeight="1"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</row>
    <row r="123" spans="6:31" ht="16.5" customHeight="1"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</row>
    <row r="124" spans="6:31" ht="16.5" customHeight="1"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</row>
    <row r="125" spans="6:31" ht="16.5" customHeight="1"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  <c r="AC125" s="173"/>
      <c r="AD125" s="173"/>
      <c r="AE125" s="173"/>
    </row>
    <row r="126" spans="6:31" ht="16.5" customHeight="1"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</row>
    <row r="127" spans="6:31" ht="16.5" customHeight="1"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</row>
    <row r="128" spans="6:31" ht="16.5" customHeight="1"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3"/>
      <c r="AE128" s="173"/>
    </row>
    <row r="129" spans="6:31" ht="16.5" customHeight="1"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  <c r="AC129" s="173"/>
      <c r="AD129" s="173"/>
      <c r="AE129" s="173"/>
    </row>
    <row r="130" spans="6:31" ht="16.5" customHeight="1"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</row>
    <row r="131" spans="6:31" ht="16.5" customHeight="1"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</row>
    <row r="132" spans="6:31" ht="16.5" customHeight="1"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</row>
    <row r="133" spans="6:31" ht="16.5" customHeight="1"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</row>
    <row r="134" spans="6:31" ht="16.5" customHeight="1"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</row>
    <row r="135" spans="6:31" ht="16.5" customHeight="1"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  <c r="AD135" s="173"/>
      <c r="AE135" s="173"/>
    </row>
    <row r="136" spans="6:31" ht="16.5" customHeight="1"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  <c r="AC136" s="173"/>
      <c r="AD136" s="173"/>
      <c r="AE136" s="173"/>
    </row>
    <row r="137" spans="6:31" ht="16.5" customHeight="1"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  <c r="AC137" s="173"/>
      <c r="AD137" s="173"/>
      <c r="AE137" s="173"/>
    </row>
    <row r="138" spans="6:31" ht="16.5" customHeight="1"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  <c r="AC138" s="173"/>
      <c r="AD138" s="173"/>
      <c r="AE138" s="173"/>
    </row>
    <row r="139" spans="6:31" ht="16.5" customHeight="1"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/>
      <c r="AC139" s="173"/>
      <c r="AD139" s="173"/>
      <c r="AE139" s="173"/>
    </row>
    <row r="140" spans="6:31" ht="16.5" customHeight="1"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  <c r="AC140" s="173"/>
      <c r="AD140" s="173"/>
      <c r="AE140" s="173"/>
    </row>
    <row r="141" spans="6:31" ht="16.5" customHeight="1"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173"/>
      <c r="AD141" s="173"/>
      <c r="AE141" s="173"/>
    </row>
    <row r="142" spans="6:31" ht="16.5" customHeight="1"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3"/>
      <c r="AE142" s="173"/>
    </row>
    <row r="143" spans="6:31" ht="16.5" customHeight="1"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  <c r="AC143" s="173"/>
      <c r="AD143" s="173"/>
      <c r="AE143" s="173"/>
    </row>
    <row r="144" spans="6:31" ht="16.5" customHeight="1"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3"/>
      <c r="AC144" s="173"/>
      <c r="AD144" s="173"/>
      <c r="AE144" s="173"/>
    </row>
    <row r="145" spans="6:31" ht="16.5" customHeight="1"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  <c r="AA145" s="173"/>
      <c r="AB145" s="173"/>
      <c r="AC145" s="173"/>
      <c r="AD145" s="173"/>
      <c r="AE145" s="173"/>
    </row>
    <row r="146" spans="6:31" ht="16.5" customHeight="1"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3"/>
    </row>
    <row r="147" spans="6:31" ht="16.5" customHeight="1"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3"/>
    </row>
    <row r="148" spans="6:31" ht="16.5" customHeight="1"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</row>
    <row r="149" spans="6:31" ht="16.5" customHeight="1"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  <c r="AA149" s="173"/>
      <c r="AB149" s="173"/>
      <c r="AC149" s="173"/>
      <c r="AD149" s="173"/>
      <c r="AE149" s="173"/>
    </row>
    <row r="150" spans="6:31" ht="16.5" customHeight="1"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  <c r="AA150" s="173"/>
      <c r="AB150" s="173"/>
      <c r="AC150" s="173"/>
      <c r="AD150" s="173"/>
      <c r="AE150" s="173"/>
    </row>
    <row r="151" spans="6:31" ht="16.5" customHeight="1"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  <c r="AC151" s="173"/>
      <c r="AD151" s="173"/>
      <c r="AE151" s="173"/>
    </row>
    <row r="152" spans="6:31" ht="16.5" customHeight="1"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  <c r="AC152" s="173"/>
      <c r="AD152" s="173"/>
      <c r="AE152" s="173"/>
    </row>
    <row r="153" ht="16.5" customHeight="1">
      <c r="AE153" s="173"/>
    </row>
    <row r="154" ht="16.5" customHeight="1">
      <c r="AE154" s="173"/>
    </row>
    <row r="155" ht="16.5" customHeight="1">
      <c r="AE155" s="173"/>
    </row>
    <row r="156" ht="16.5" customHeight="1">
      <c r="AE156" s="173"/>
    </row>
    <row r="157" ht="16.5" customHeight="1"/>
    <row r="158" ht="16.5" customHeight="1"/>
    <row r="159" ht="16.5" customHeight="1"/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&amp;L&amp;"Times New Roman,Normal"&amp;8&amp;F-&amp;A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Y159"/>
  <sheetViews>
    <sheetView zoomScale="70" zoomScaleNormal="70" zoomScalePageLayoutView="0" workbookViewId="0" topLeftCell="B13">
      <selection activeCell="G35" sqref="G35"/>
    </sheetView>
  </sheetViews>
  <sheetFormatPr defaultColWidth="11.421875" defaultRowHeight="16.5" customHeight="1"/>
  <cols>
    <col min="1" max="2" width="4.140625" style="0" customWidth="1"/>
    <col min="3" max="3" width="5.421875" style="0" customWidth="1"/>
    <col min="4" max="5" width="13.57421875" style="0" customWidth="1"/>
    <col min="6" max="6" width="30.7109375" style="0" customWidth="1"/>
    <col min="7" max="7" width="40.7109375" style="0" customWidth="1"/>
    <col min="8" max="8" width="9.7109375" style="0" customWidth="1"/>
    <col min="9" max="9" width="5.7109375" style="0" hidden="1" customWidth="1"/>
    <col min="10" max="11" width="15.7109375" style="0" customWidth="1"/>
    <col min="12" max="14" width="9.7109375" style="0" customWidth="1"/>
    <col min="15" max="15" width="6.421875" style="0" customWidth="1"/>
    <col min="16" max="16" width="4.00390625" style="0" hidden="1" customWidth="1"/>
    <col min="17" max="17" width="12.8515625" style="0" hidden="1" customWidth="1"/>
    <col min="18" max="19" width="6.00390625" style="0" hidden="1" customWidth="1"/>
    <col min="20" max="20" width="11.71093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8" customFormat="1" ht="26.25">
      <c r="W1" s="144"/>
    </row>
    <row r="2" spans="1:23" s="18" customFormat="1" ht="26.25">
      <c r="A2" s="91"/>
      <c r="B2" s="19" t="str">
        <f>+'TOT-0111'!B2</f>
        <v>ANEXO II al Memorándum D.T.E.E. N°  1088 / 2012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="5" customFormat="1" ht="17.25" customHeight="1">
      <c r="A3" s="90"/>
    </row>
    <row r="4" spans="1:4" s="25" customFormat="1" ht="11.25">
      <c r="A4" s="23" t="s">
        <v>1</v>
      </c>
      <c r="B4" s="124"/>
      <c r="C4" s="124"/>
      <c r="D4" s="124"/>
    </row>
    <row r="5" spans="1:4" s="25" customFormat="1" ht="11.25">
      <c r="A5" s="23" t="s">
        <v>2</v>
      </c>
      <c r="B5" s="124"/>
      <c r="C5" s="124"/>
      <c r="D5" s="124"/>
    </row>
    <row r="6" s="5" customFormat="1" ht="13.5" thickBot="1"/>
    <row r="7" spans="2:23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</row>
    <row r="8" spans="2:23" s="29" customFormat="1" ht="20.25">
      <c r="B8" s="79"/>
      <c r="C8" s="30"/>
      <c r="D8" s="30"/>
      <c r="E8" s="30"/>
      <c r="F8" s="12" t="s">
        <v>67</v>
      </c>
      <c r="N8" s="105"/>
      <c r="O8" s="105"/>
      <c r="P8" s="96"/>
      <c r="Q8" s="30"/>
      <c r="R8" s="30"/>
      <c r="S8" s="30"/>
      <c r="T8" s="30"/>
      <c r="U8" s="30"/>
      <c r="V8" s="30"/>
      <c r="W8" s="80"/>
    </row>
    <row r="9" spans="2:23" s="5" customFormat="1" ht="12.75">
      <c r="B9" s="50"/>
      <c r="C9" s="4"/>
      <c r="D9" s="4"/>
      <c r="E9" s="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/>
      <c r="R9" s="4"/>
      <c r="S9" s="4"/>
      <c r="T9" s="4"/>
      <c r="U9" s="4"/>
      <c r="V9" s="4"/>
      <c r="W9" s="6"/>
    </row>
    <row r="10" spans="2:23" s="29" customFormat="1" ht="20.25">
      <c r="B10" s="79"/>
      <c r="C10" s="30"/>
      <c r="D10" s="30"/>
      <c r="E10" s="30"/>
      <c r="F10" s="113" t="s">
        <v>203</v>
      </c>
      <c r="G10" s="330"/>
      <c r="H10" s="105"/>
      <c r="I10" s="108"/>
      <c r="K10" s="108"/>
      <c r="L10" s="108"/>
      <c r="M10" s="108"/>
      <c r="N10" s="108"/>
      <c r="O10" s="108"/>
      <c r="P10" s="108"/>
      <c r="Q10" s="30"/>
      <c r="R10" s="30"/>
      <c r="S10" s="30"/>
      <c r="T10" s="30"/>
      <c r="U10" s="30"/>
      <c r="V10" s="30"/>
      <c r="W10" s="80"/>
    </row>
    <row r="11" spans="2:23" s="5" customFormat="1" ht="13.5">
      <c r="B11" s="50"/>
      <c r="C11" s="4"/>
      <c r="D11" s="4"/>
      <c r="E11" s="4"/>
      <c r="F11" s="331"/>
      <c r="G11" s="331"/>
      <c r="H11" s="90"/>
      <c r="I11" s="97"/>
      <c r="J11" s="52"/>
      <c r="K11" s="97"/>
      <c r="L11" s="97"/>
      <c r="M11" s="97"/>
      <c r="N11" s="97"/>
      <c r="O11" s="97"/>
      <c r="P11" s="97"/>
      <c r="Q11" s="4"/>
      <c r="R11" s="4"/>
      <c r="S11" s="4"/>
      <c r="T11" s="4"/>
      <c r="U11" s="4"/>
      <c r="V11" s="4"/>
      <c r="W11" s="6"/>
    </row>
    <row r="12" spans="2:23" s="29" customFormat="1" ht="20.25">
      <c r="B12" s="79"/>
      <c r="C12" s="30"/>
      <c r="D12" s="30"/>
      <c r="E12" s="30"/>
      <c r="F12" s="113" t="s">
        <v>77</v>
      </c>
      <c r="G12" s="330"/>
      <c r="H12" s="105"/>
      <c r="I12" s="108"/>
      <c r="K12" s="108"/>
      <c r="L12" s="108"/>
      <c r="M12" s="108"/>
      <c r="N12" s="108"/>
      <c r="O12" s="108"/>
      <c r="P12" s="108"/>
      <c r="Q12" s="30"/>
      <c r="R12" s="30"/>
      <c r="S12" s="30"/>
      <c r="T12" s="30"/>
      <c r="U12" s="30"/>
      <c r="V12" s="30"/>
      <c r="W12" s="80"/>
    </row>
    <row r="13" spans="2:23" s="5" customFormat="1" ht="13.5">
      <c r="B13" s="50"/>
      <c r="C13" s="4"/>
      <c r="D13" s="4"/>
      <c r="E13" s="4"/>
      <c r="F13" s="331"/>
      <c r="G13" s="331"/>
      <c r="H13" s="90"/>
      <c r="I13" s="97"/>
      <c r="J13" s="52"/>
      <c r="K13" s="97"/>
      <c r="L13" s="97"/>
      <c r="M13" s="97"/>
      <c r="N13" s="97"/>
      <c r="O13" s="97"/>
      <c r="P13" s="97"/>
      <c r="Q13" s="4"/>
      <c r="R13" s="4"/>
      <c r="S13" s="4"/>
      <c r="T13" s="4"/>
      <c r="U13" s="4"/>
      <c r="V13" s="4"/>
      <c r="W13" s="6"/>
    </row>
    <row r="14" spans="2:23" s="5" customFormat="1" ht="19.5">
      <c r="B14" s="37" t="str">
        <f>'TOT-0111'!B14</f>
        <v>Desde el 01 al 31 de enero de 2011</v>
      </c>
      <c r="C14" s="40"/>
      <c r="D14" s="40"/>
      <c r="E14" s="40"/>
      <c r="F14" s="40"/>
      <c r="G14" s="40"/>
      <c r="H14" s="40"/>
      <c r="I14" s="332"/>
      <c r="J14" s="332"/>
      <c r="K14" s="332"/>
      <c r="L14" s="332"/>
      <c r="M14" s="332"/>
      <c r="N14" s="332"/>
      <c r="O14" s="332"/>
      <c r="P14" s="332"/>
      <c r="Q14" s="40"/>
      <c r="R14" s="40"/>
      <c r="S14" s="40"/>
      <c r="T14" s="40"/>
      <c r="U14" s="40"/>
      <c r="V14" s="40"/>
      <c r="W14" s="333"/>
    </row>
    <row r="15" spans="2:23" s="5" customFormat="1" ht="14.25" thickBot="1">
      <c r="B15" s="334"/>
      <c r="C15" s="335"/>
      <c r="D15" s="335"/>
      <c r="E15" s="335"/>
      <c r="F15" s="335"/>
      <c r="G15" s="335"/>
      <c r="H15" s="335"/>
      <c r="I15" s="336"/>
      <c r="J15" s="336"/>
      <c r="K15" s="336"/>
      <c r="L15" s="336"/>
      <c r="M15" s="336"/>
      <c r="N15" s="336"/>
      <c r="O15" s="336"/>
      <c r="P15" s="336"/>
      <c r="Q15" s="335"/>
      <c r="R15" s="335"/>
      <c r="S15" s="335"/>
      <c r="T15" s="335"/>
      <c r="U15" s="335"/>
      <c r="V15" s="335"/>
      <c r="W15" s="337"/>
    </row>
    <row r="16" spans="2:23" s="5" customFormat="1" ht="15" thickBot="1" thickTop="1">
      <c r="B16" s="50"/>
      <c r="C16" s="4"/>
      <c r="D16" s="4"/>
      <c r="E16" s="4"/>
      <c r="F16" s="338"/>
      <c r="G16" s="338"/>
      <c r="H16" s="117" t="s">
        <v>78</v>
      </c>
      <c r="I16" s="4"/>
      <c r="J16" s="5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6"/>
    </row>
    <row r="17" spans="2:23" s="5" customFormat="1" ht="16.5" customHeight="1" thickBot="1" thickTop="1">
      <c r="B17" s="50"/>
      <c r="C17" s="4"/>
      <c r="D17" s="4"/>
      <c r="E17" s="4"/>
      <c r="F17" s="339" t="s">
        <v>79</v>
      </c>
      <c r="G17" s="340">
        <v>111.585</v>
      </c>
      <c r="H17" s="341">
        <v>200</v>
      </c>
      <c r="V17" s="115"/>
      <c r="W17" s="6"/>
    </row>
    <row r="18" spans="2:23" s="5" customFormat="1" ht="16.5" customHeight="1" thickBot="1" thickTop="1">
      <c r="B18" s="50"/>
      <c r="C18" s="4"/>
      <c r="D18" s="4"/>
      <c r="E18" s="4"/>
      <c r="F18" s="342" t="s">
        <v>80</v>
      </c>
      <c r="G18" s="343">
        <v>100.415</v>
      </c>
      <c r="H18" s="341">
        <v>100</v>
      </c>
      <c r="O18" s="4"/>
      <c r="P18" s="4"/>
      <c r="Q18" s="4"/>
      <c r="R18" s="4"/>
      <c r="S18" s="4"/>
      <c r="T18" s="4"/>
      <c r="U18" s="4"/>
      <c r="V18" s="4"/>
      <c r="W18" s="6"/>
    </row>
    <row r="19" spans="2:23" s="5" customFormat="1" ht="16.5" customHeight="1" thickBot="1" thickTop="1">
      <c r="B19" s="50"/>
      <c r="C19" s="4"/>
      <c r="D19" s="4"/>
      <c r="E19" s="4"/>
      <c r="F19" s="344" t="s">
        <v>81</v>
      </c>
      <c r="G19" s="343">
        <v>89.269</v>
      </c>
      <c r="H19" s="341">
        <v>40</v>
      </c>
      <c r="K19" s="200"/>
      <c r="L19" s="201"/>
      <c r="M19" s="4"/>
      <c r="O19" s="4"/>
      <c r="Q19" s="4"/>
      <c r="R19" s="4"/>
      <c r="S19" s="4"/>
      <c r="T19" s="4"/>
      <c r="U19" s="4"/>
      <c r="V19" s="4"/>
      <c r="W19" s="6"/>
    </row>
    <row r="20" spans="2:23" s="5" customFormat="1" ht="16.5" customHeight="1" thickBot="1" thickTop="1">
      <c r="B20" s="50"/>
      <c r="C20" s="824">
        <v>3</v>
      </c>
      <c r="D20" s="824">
        <v>4</v>
      </c>
      <c r="E20" s="824">
        <v>5</v>
      </c>
      <c r="F20" s="824">
        <v>6</v>
      </c>
      <c r="G20" s="824">
        <v>7</v>
      </c>
      <c r="H20" s="824">
        <v>8</v>
      </c>
      <c r="I20" s="824">
        <v>9</v>
      </c>
      <c r="J20" s="824">
        <v>10</v>
      </c>
      <c r="K20" s="824">
        <v>11</v>
      </c>
      <c r="L20" s="824">
        <v>12</v>
      </c>
      <c r="M20" s="824">
        <v>13</v>
      </c>
      <c r="N20" s="824">
        <v>14</v>
      </c>
      <c r="O20" s="824">
        <v>15</v>
      </c>
      <c r="P20" s="824">
        <v>16</v>
      </c>
      <c r="Q20" s="824">
        <v>17</v>
      </c>
      <c r="R20" s="824">
        <v>18</v>
      </c>
      <c r="S20" s="824">
        <v>19</v>
      </c>
      <c r="T20" s="824">
        <v>20</v>
      </c>
      <c r="U20" s="824">
        <v>21</v>
      </c>
      <c r="V20" s="824">
        <v>22</v>
      </c>
      <c r="W20" s="6"/>
    </row>
    <row r="21" spans="2:23" s="5" customFormat="1" ht="33.75" customHeight="1" thickBot="1" thickTop="1">
      <c r="B21" s="50"/>
      <c r="C21" s="123" t="s">
        <v>12</v>
      </c>
      <c r="D21" s="84" t="s">
        <v>212</v>
      </c>
      <c r="E21" s="84" t="s">
        <v>213</v>
      </c>
      <c r="F21" s="86" t="s">
        <v>26</v>
      </c>
      <c r="G21" s="345" t="s">
        <v>27</v>
      </c>
      <c r="H21" s="346" t="s">
        <v>13</v>
      </c>
      <c r="I21" s="129" t="s">
        <v>15</v>
      </c>
      <c r="J21" s="85" t="s">
        <v>16</v>
      </c>
      <c r="K21" s="345" t="s">
        <v>17</v>
      </c>
      <c r="L21" s="347" t="s">
        <v>35</v>
      </c>
      <c r="M21" s="347" t="s">
        <v>30</v>
      </c>
      <c r="N21" s="88" t="s">
        <v>18</v>
      </c>
      <c r="O21" s="177" t="s">
        <v>31</v>
      </c>
      <c r="P21" s="135" t="s">
        <v>36</v>
      </c>
      <c r="Q21" s="348" t="s">
        <v>68</v>
      </c>
      <c r="R21" s="178" t="s">
        <v>34</v>
      </c>
      <c r="S21" s="349"/>
      <c r="T21" s="134" t="s">
        <v>21</v>
      </c>
      <c r="U21" s="132" t="s">
        <v>72</v>
      </c>
      <c r="V21" s="121" t="s">
        <v>23</v>
      </c>
      <c r="W21" s="6"/>
    </row>
    <row r="22" spans="2:23" s="5" customFormat="1" ht="16.5" customHeight="1" thickTop="1">
      <c r="B22" s="50"/>
      <c r="C22" s="258"/>
      <c r="D22" s="258"/>
      <c r="E22" s="258"/>
      <c r="F22" s="350"/>
      <c r="G22" s="350"/>
      <c r="H22" s="350"/>
      <c r="I22" s="216"/>
      <c r="J22" s="350"/>
      <c r="K22" s="350"/>
      <c r="L22" s="350"/>
      <c r="M22" s="350"/>
      <c r="N22" s="350"/>
      <c r="O22" s="350"/>
      <c r="P22" s="351"/>
      <c r="Q22" s="352"/>
      <c r="R22" s="353"/>
      <c r="S22" s="354"/>
      <c r="T22" s="355"/>
      <c r="U22" s="350"/>
      <c r="V22" s="356"/>
      <c r="W22" s="6"/>
    </row>
    <row r="23" spans="2:23" s="5" customFormat="1" ht="16.5" customHeight="1">
      <c r="B23" s="50"/>
      <c r="C23" s="272"/>
      <c r="D23" s="272"/>
      <c r="E23" s="272"/>
      <c r="F23" s="357"/>
      <c r="G23" s="357"/>
      <c r="H23" s="357"/>
      <c r="I23" s="358"/>
      <c r="J23" s="357"/>
      <c r="K23" s="357"/>
      <c r="L23" s="357"/>
      <c r="M23" s="357"/>
      <c r="N23" s="357"/>
      <c r="O23" s="357"/>
      <c r="P23" s="359"/>
      <c r="Q23" s="360"/>
      <c r="R23" s="189"/>
      <c r="S23" s="361"/>
      <c r="T23" s="362"/>
      <c r="U23" s="357"/>
      <c r="V23" s="363"/>
      <c r="W23" s="6"/>
    </row>
    <row r="24" spans="2:23" s="5" customFormat="1" ht="16.5" customHeight="1">
      <c r="B24" s="50"/>
      <c r="C24" s="272">
        <v>15</v>
      </c>
      <c r="D24" s="272">
        <v>230325</v>
      </c>
      <c r="E24" s="153">
        <v>2730</v>
      </c>
      <c r="F24" s="364" t="s">
        <v>288</v>
      </c>
      <c r="G24" s="364" t="s">
        <v>289</v>
      </c>
      <c r="H24" s="365">
        <v>220</v>
      </c>
      <c r="I24" s="130">
        <f aca="true" t="shared" si="0" ref="I24:I43">IF(H24=500,$G$17,IF(H24=220,$G$18,$G$19))</f>
        <v>100.415</v>
      </c>
      <c r="J24" s="366">
        <v>40549.72638888889</v>
      </c>
      <c r="K24" s="151">
        <v>40550.13680555556</v>
      </c>
      <c r="L24" s="367">
        <f aca="true" t="shared" si="1" ref="L24:L43">IF(F24="","",(K24-J24)*24)</f>
        <v>9.849999999976717</v>
      </c>
      <c r="M24" s="368">
        <f aca="true" t="shared" si="2" ref="M24:M43">IF(F24="","",ROUND((K24-J24)*24*60,0))</f>
        <v>591</v>
      </c>
      <c r="N24" s="218" t="s">
        <v>275</v>
      </c>
      <c r="O24" s="219" t="str">
        <f aca="true" t="shared" si="3" ref="O24:O43">IF(F24="","",IF(N24="P","--","NO"))</f>
        <v>--</v>
      </c>
      <c r="P24" s="660">
        <f aca="true" t="shared" si="4" ref="P24:P43">IF(H24=500,$H$17,IF(H24=220,$H$18,$H$19))</f>
        <v>100</v>
      </c>
      <c r="Q24" s="797">
        <f aca="true" t="shared" si="5" ref="Q24:Q43">IF(N24="P",I24*P24*ROUND(M24/60,2)*0.1,"--")</f>
        <v>9890.8775</v>
      </c>
      <c r="R24" s="189" t="str">
        <f aca="true" t="shared" si="6" ref="R24:R43">IF(AND(N24="F",O24="NO"),I24*P24,"--")</f>
        <v>--</v>
      </c>
      <c r="S24" s="361" t="str">
        <f aca="true" t="shared" si="7" ref="S24:S43">IF(N24="F",I24*P24*ROUND(M24/60,2),"--")</f>
        <v>--</v>
      </c>
      <c r="T24" s="362" t="str">
        <f aca="true" t="shared" si="8" ref="T24:T43">IF(N24="RF",I24*P24*ROUND(M24/60,2),"--")</f>
        <v>--</v>
      </c>
      <c r="U24" s="219" t="s">
        <v>194</v>
      </c>
      <c r="V24" s="369">
        <v>0</v>
      </c>
      <c r="W24" s="6"/>
    </row>
    <row r="25" spans="2:23" s="5" customFormat="1" ht="16.5" customHeight="1">
      <c r="B25" s="50"/>
      <c r="C25" s="272">
        <v>16</v>
      </c>
      <c r="D25" s="272">
        <v>230328</v>
      </c>
      <c r="E25" s="272">
        <v>4782</v>
      </c>
      <c r="F25" s="364" t="s">
        <v>331</v>
      </c>
      <c r="G25" s="364" t="s">
        <v>332</v>
      </c>
      <c r="H25" s="842">
        <v>500</v>
      </c>
      <c r="I25" s="130">
        <f t="shared" si="0"/>
        <v>111.585</v>
      </c>
      <c r="J25" s="366">
        <v>40551.06319444445</v>
      </c>
      <c r="K25" s="151">
        <v>40551.47986111111</v>
      </c>
      <c r="L25" s="367">
        <f t="shared" si="1"/>
        <v>9.999999999941792</v>
      </c>
      <c r="M25" s="368">
        <f t="shared" si="2"/>
        <v>600</v>
      </c>
      <c r="N25" s="218" t="s">
        <v>275</v>
      </c>
      <c r="O25" s="219" t="str">
        <f t="shared" si="3"/>
        <v>--</v>
      </c>
      <c r="P25" s="660">
        <f t="shared" si="4"/>
        <v>200</v>
      </c>
      <c r="Q25" s="797">
        <f t="shared" si="5"/>
        <v>22317</v>
      </c>
      <c r="R25" s="189" t="str">
        <f t="shared" si="6"/>
        <v>--</v>
      </c>
      <c r="S25" s="361" t="str">
        <f t="shared" si="7"/>
        <v>--</v>
      </c>
      <c r="T25" s="362" t="str">
        <f t="shared" si="8"/>
        <v>--</v>
      </c>
      <c r="U25" s="219" t="s">
        <v>194</v>
      </c>
      <c r="V25" s="369">
        <v>0</v>
      </c>
      <c r="W25" s="6"/>
    </row>
    <row r="26" spans="2:23" s="5" customFormat="1" ht="16.5" customHeight="1">
      <c r="B26" s="50"/>
      <c r="C26" s="272">
        <v>17</v>
      </c>
      <c r="D26" s="272">
        <v>230329</v>
      </c>
      <c r="E26" s="153">
        <v>3267</v>
      </c>
      <c r="F26" s="364" t="s">
        <v>282</v>
      </c>
      <c r="G26" s="364" t="s">
        <v>290</v>
      </c>
      <c r="H26" s="365">
        <v>132</v>
      </c>
      <c r="I26" s="130">
        <f t="shared" si="0"/>
        <v>89.269</v>
      </c>
      <c r="J26" s="366">
        <v>40551.356944444444</v>
      </c>
      <c r="K26" s="151">
        <v>40551.70972222222</v>
      </c>
      <c r="L26" s="367">
        <f t="shared" si="1"/>
        <v>8.466666666674428</v>
      </c>
      <c r="M26" s="368">
        <f t="shared" si="2"/>
        <v>508</v>
      </c>
      <c r="N26" s="218" t="s">
        <v>275</v>
      </c>
      <c r="O26" s="219" t="str">
        <f t="shared" si="3"/>
        <v>--</v>
      </c>
      <c r="P26" s="660">
        <f t="shared" si="4"/>
        <v>40</v>
      </c>
      <c r="Q26" s="797">
        <f t="shared" si="5"/>
        <v>3024.433720000001</v>
      </c>
      <c r="R26" s="189" t="str">
        <f t="shared" si="6"/>
        <v>--</v>
      </c>
      <c r="S26" s="361" t="str">
        <f t="shared" si="7"/>
        <v>--</v>
      </c>
      <c r="T26" s="362" t="str">
        <f t="shared" si="8"/>
        <v>--</v>
      </c>
      <c r="U26" s="219" t="s">
        <v>194</v>
      </c>
      <c r="V26" s="369">
        <v>0</v>
      </c>
      <c r="W26" s="6"/>
    </row>
    <row r="27" spans="2:23" s="5" customFormat="1" ht="16.5" customHeight="1">
      <c r="B27" s="50"/>
      <c r="C27" s="272">
        <v>18</v>
      </c>
      <c r="D27" s="272">
        <v>230330</v>
      </c>
      <c r="E27" s="272">
        <v>3664</v>
      </c>
      <c r="F27" s="364" t="s">
        <v>291</v>
      </c>
      <c r="G27" s="364" t="s">
        <v>292</v>
      </c>
      <c r="H27" s="365">
        <v>132</v>
      </c>
      <c r="I27" s="130">
        <f t="shared" si="0"/>
        <v>89.269</v>
      </c>
      <c r="J27" s="366">
        <v>40552.26180555556</v>
      </c>
      <c r="K27" s="151">
        <v>40552.43194444444</v>
      </c>
      <c r="L27" s="367">
        <f t="shared" si="1"/>
        <v>4.0833333331975155</v>
      </c>
      <c r="M27" s="368">
        <f t="shared" si="2"/>
        <v>245</v>
      </c>
      <c r="N27" s="218" t="s">
        <v>275</v>
      </c>
      <c r="O27" s="219" t="str">
        <f t="shared" si="3"/>
        <v>--</v>
      </c>
      <c r="P27" s="660">
        <f t="shared" si="4"/>
        <v>40</v>
      </c>
      <c r="Q27" s="797">
        <f t="shared" si="5"/>
        <v>1456.8700800000001</v>
      </c>
      <c r="R27" s="189" t="str">
        <f t="shared" si="6"/>
        <v>--</v>
      </c>
      <c r="S27" s="361" t="str">
        <f t="shared" si="7"/>
        <v>--</v>
      </c>
      <c r="T27" s="362" t="str">
        <f t="shared" si="8"/>
        <v>--</v>
      </c>
      <c r="U27" s="219" t="s">
        <v>194</v>
      </c>
      <c r="V27" s="369">
        <v>0</v>
      </c>
      <c r="W27" s="6"/>
    </row>
    <row r="28" spans="2:23" s="5" customFormat="1" ht="16.5" customHeight="1">
      <c r="B28" s="50"/>
      <c r="C28" s="272">
        <v>19</v>
      </c>
      <c r="D28" s="272">
        <v>230331</v>
      </c>
      <c r="E28" s="153">
        <v>2746</v>
      </c>
      <c r="F28" s="364" t="s">
        <v>293</v>
      </c>
      <c r="G28" s="364" t="s">
        <v>294</v>
      </c>
      <c r="H28" s="365">
        <v>132</v>
      </c>
      <c r="I28" s="130">
        <f t="shared" si="0"/>
        <v>89.269</v>
      </c>
      <c r="J28" s="366">
        <v>40552.28333333333</v>
      </c>
      <c r="K28" s="151">
        <v>40552.46041666667</v>
      </c>
      <c r="L28" s="367">
        <f t="shared" si="1"/>
        <v>4.250000000058208</v>
      </c>
      <c r="M28" s="368">
        <f t="shared" si="2"/>
        <v>255</v>
      </c>
      <c r="N28" s="218" t="s">
        <v>275</v>
      </c>
      <c r="O28" s="219" t="str">
        <f t="shared" si="3"/>
        <v>--</v>
      </c>
      <c r="P28" s="660">
        <f t="shared" si="4"/>
        <v>40</v>
      </c>
      <c r="Q28" s="797">
        <f t="shared" si="5"/>
        <v>1517.5730000000003</v>
      </c>
      <c r="R28" s="189" t="str">
        <f t="shared" si="6"/>
        <v>--</v>
      </c>
      <c r="S28" s="361" t="str">
        <f t="shared" si="7"/>
        <v>--</v>
      </c>
      <c r="T28" s="362" t="str">
        <f t="shared" si="8"/>
        <v>--</v>
      </c>
      <c r="U28" s="219" t="s">
        <v>194</v>
      </c>
      <c r="V28" s="369">
        <v>0</v>
      </c>
      <c r="W28" s="6"/>
    </row>
    <row r="29" spans="2:23" s="5" customFormat="1" ht="16.5" customHeight="1">
      <c r="B29" s="50"/>
      <c r="C29" s="272">
        <v>20</v>
      </c>
      <c r="D29" s="272">
        <v>230332</v>
      </c>
      <c r="E29" s="272">
        <v>3266</v>
      </c>
      <c r="F29" s="364" t="s">
        <v>282</v>
      </c>
      <c r="G29" s="364" t="s">
        <v>295</v>
      </c>
      <c r="H29" s="365">
        <v>132</v>
      </c>
      <c r="I29" s="130">
        <f t="shared" si="0"/>
        <v>89.269</v>
      </c>
      <c r="J29" s="366">
        <v>40552.33125</v>
      </c>
      <c r="K29" s="151">
        <v>40552.82916666667</v>
      </c>
      <c r="L29" s="367">
        <f t="shared" si="1"/>
        <v>11.950000000011642</v>
      </c>
      <c r="M29" s="368">
        <f t="shared" si="2"/>
        <v>717</v>
      </c>
      <c r="N29" s="218" t="s">
        <v>275</v>
      </c>
      <c r="O29" s="219" t="str">
        <f t="shared" si="3"/>
        <v>--</v>
      </c>
      <c r="P29" s="660">
        <f t="shared" si="4"/>
        <v>40</v>
      </c>
      <c r="Q29" s="797">
        <f t="shared" si="5"/>
        <v>4267.0582</v>
      </c>
      <c r="R29" s="189" t="str">
        <f t="shared" si="6"/>
        <v>--</v>
      </c>
      <c r="S29" s="361" t="str">
        <f t="shared" si="7"/>
        <v>--</v>
      </c>
      <c r="T29" s="362" t="str">
        <f t="shared" si="8"/>
        <v>--</v>
      </c>
      <c r="U29" s="219" t="s">
        <v>194</v>
      </c>
      <c r="V29" s="369">
        <v>0</v>
      </c>
      <c r="W29" s="6"/>
    </row>
    <row r="30" spans="2:23" s="5" customFormat="1" ht="16.5" customHeight="1">
      <c r="B30" s="50"/>
      <c r="C30" s="272">
        <v>21</v>
      </c>
      <c r="D30" s="272">
        <v>230334</v>
      </c>
      <c r="E30" s="153">
        <v>4667</v>
      </c>
      <c r="F30" s="364" t="s">
        <v>296</v>
      </c>
      <c r="G30" s="364" t="s">
        <v>297</v>
      </c>
      <c r="H30" s="365">
        <v>132</v>
      </c>
      <c r="I30" s="130">
        <f t="shared" si="0"/>
        <v>89.269</v>
      </c>
      <c r="J30" s="366">
        <v>40552.36111111111</v>
      </c>
      <c r="K30" s="151">
        <v>40552.69652777778</v>
      </c>
      <c r="L30" s="367">
        <f t="shared" si="1"/>
        <v>8.050000000046566</v>
      </c>
      <c r="M30" s="368">
        <f t="shared" si="2"/>
        <v>483</v>
      </c>
      <c r="N30" s="218" t="s">
        <v>275</v>
      </c>
      <c r="O30" s="219" t="str">
        <f t="shared" si="3"/>
        <v>--</v>
      </c>
      <c r="P30" s="660">
        <f t="shared" si="4"/>
        <v>40</v>
      </c>
      <c r="Q30" s="797">
        <f t="shared" si="5"/>
        <v>2874.461800000001</v>
      </c>
      <c r="R30" s="189" t="str">
        <f t="shared" si="6"/>
        <v>--</v>
      </c>
      <c r="S30" s="361" t="str">
        <f t="shared" si="7"/>
        <v>--</v>
      </c>
      <c r="T30" s="362" t="str">
        <f t="shared" si="8"/>
        <v>--</v>
      </c>
      <c r="U30" s="219" t="s">
        <v>194</v>
      </c>
      <c r="V30" s="369">
        <f aca="true" t="shared" si="9" ref="V30:V43">IF(F30="","",SUM(Q30:T30)*IF(U30="SI",1,2))</f>
        <v>2874.461800000001</v>
      </c>
      <c r="W30" s="6"/>
    </row>
    <row r="31" spans="2:23" s="5" customFormat="1" ht="16.5" customHeight="1">
      <c r="B31" s="50"/>
      <c r="C31" s="272">
        <v>22</v>
      </c>
      <c r="D31" s="272">
        <v>230335</v>
      </c>
      <c r="E31" s="272">
        <v>4758</v>
      </c>
      <c r="F31" s="364" t="s">
        <v>331</v>
      </c>
      <c r="G31" s="364" t="s">
        <v>333</v>
      </c>
      <c r="H31" s="842">
        <v>500</v>
      </c>
      <c r="I31" s="130">
        <f t="shared" si="0"/>
        <v>111.585</v>
      </c>
      <c r="J31" s="366">
        <v>40552.694444444445</v>
      </c>
      <c r="K31" s="151">
        <v>40553.11111111111</v>
      </c>
      <c r="L31" s="367">
        <f t="shared" si="1"/>
        <v>9.999999999941792</v>
      </c>
      <c r="M31" s="368">
        <f t="shared" si="2"/>
        <v>600</v>
      </c>
      <c r="N31" s="218" t="s">
        <v>275</v>
      </c>
      <c r="O31" s="219" t="str">
        <f t="shared" si="3"/>
        <v>--</v>
      </c>
      <c r="P31" s="660">
        <f t="shared" si="4"/>
        <v>200</v>
      </c>
      <c r="Q31" s="797">
        <f t="shared" si="5"/>
        <v>22317</v>
      </c>
      <c r="R31" s="189" t="str">
        <f t="shared" si="6"/>
        <v>--</v>
      </c>
      <c r="S31" s="361" t="str">
        <f t="shared" si="7"/>
        <v>--</v>
      </c>
      <c r="T31" s="362" t="str">
        <f t="shared" si="8"/>
        <v>--</v>
      </c>
      <c r="U31" s="219" t="s">
        <v>194</v>
      </c>
      <c r="V31" s="369">
        <v>0</v>
      </c>
      <c r="W31" s="6"/>
    </row>
    <row r="32" spans="2:23" s="5" customFormat="1" ht="16.5" customHeight="1">
      <c r="B32" s="50"/>
      <c r="C32" s="272">
        <v>23</v>
      </c>
      <c r="D32" s="272">
        <v>230336</v>
      </c>
      <c r="E32" s="153">
        <v>143</v>
      </c>
      <c r="F32" s="364" t="s">
        <v>298</v>
      </c>
      <c r="G32" s="364" t="s">
        <v>299</v>
      </c>
      <c r="H32" s="365">
        <v>132</v>
      </c>
      <c r="I32" s="130">
        <f t="shared" si="0"/>
        <v>89.269</v>
      </c>
      <c r="J32" s="366">
        <v>40552.717361111114</v>
      </c>
      <c r="K32" s="151">
        <v>40552.825</v>
      </c>
      <c r="L32" s="367">
        <f t="shared" si="1"/>
        <v>2.5833333331975155</v>
      </c>
      <c r="M32" s="368">
        <f t="shared" si="2"/>
        <v>155</v>
      </c>
      <c r="N32" s="218" t="s">
        <v>281</v>
      </c>
      <c r="O32" s="219" t="str">
        <f t="shared" si="3"/>
        <v>NO</v>
      </c>
      <c r="P32" s="660">
        <f t="shared" si="4"/>
        <v>40</v>
      </c>
      <c r="Q32" s="797" t="str">
        <f t="shared" si="5"/>
        <v>--</v>
      </c>
      <c r="R32" s="189">
        <f t="shared" si="6"/>
        <v>3570.76</v>
      </c>
      <c r="S32" s="361">
        <f t="shared" si="7"/>
        <v>9212.560800000001</v>
      </c>
      <c r="T32" s="362" t="str">
        <f t="shared" si="8"/>
        <v>--</v>
      </c>
      <c r="U32" s="219" t="s">
        <v>194</v>
      </c>
      <c r="V32" s="369">
        <f t="shared" si="9"/>
        <v>12783.320800000001</v>
      </c>
      <c r="W32" s="6"/>
    </row>
    <row r="33" spans="2:23" s="5" customFormat="1" ht="16.5" customHeight="1">
      <c r="B33" s="50"/>
      <c r="C33" s="272">
        <v>24</v>
      </c>
      <c r="D33" s="272">
        <v>230462</v>
      </c>
      <c r="E33" s="272">
        <v>2794</v>
      </c>
      <c r="F33" s="364" t="s">
        <v>296</v>
      </c>
      <c r="G33" s="364" t="s">
        <v>300</v>
      </c>
      <c r="H33" s="365">
        <v>132</v>
      </c>
      <c r="I33" s="130">
        <f t="shared" si="0"/>
        <v>89.269</v>
      </c>
      <c r="J33" s="366">
        <v>40554.282638888886</v>
      </c>
      <c r="K33" s="151">
        <v>40554.336805555555</v>
      </c>
      <c r="L33" s="367">
        <f t="shared" si="1"/>
        <v>1.3000000000465661</v>
      </c>
      <c r="M33" s="368">
        <f t="shared" si="2"/>
        <v>78</v>
      </c>
      <c r="N33" s="218" t="s">
        <v>275</v>
      </c>
      <c r="O33" s="219" t="str">
        <f t="shared" si="3"/>
        <v>--</v>
      </c>
      <c r="P33" s="660">
        <f t="shared" si="4"/>
        <v>40</v>
      </c>
      <c r="Q33" s="797">
        <f t="shared" si="5"/>
        <v>464.19880000000006</v>
      </c>
      <c r="R33" s="189" t="str">
        <f t="shared" si="6"/>
        <v>--</v>
      </c>
      <c r="S33" s="361" t="str">
        <f t="shared" si="7"/>
        <v>--</v>
      </c>
      <c r="T33" s="362" t="str">
        <f t="shared" si="8"/>
        <v>--</v>
      </c>
      <c r="U33" s="219" t="s">
        <v>194</v>
      </c>
      <c r="V33" s="369">
        <f t="shared" si="9"/>
        <v>464.19880000000006</v>
      </c>
      <c r="W33" s="6"/>
    </row>
    <row r="34" spans="2:23" s="5" customFormat="1" ht="16.5" customHeight="1">
      <c r="B34" s="50"/>
      <c r="C34" s="272">
        <v>25</v>
      </c>
      <c r="D34" s="272">
        <v>230465</v>
      </c>
      <c r="E34" s="153">
        <v>4919</v>
      </c>
      <c r="F34" s="364" t="s">
        <v>288</v>
      </c>
      <c r="G34" s="364" t="s">
        <v>334</v>
      </c>
      <c r="H34" s="842">
        <v>132</v>
      </c>
      <c r="I34" s="130">
        <f t="shared" si="0"/>
        <v>89.269</v>
      </c>
      <c r="J34" s="366">
        <v>40555.31527777778</v>
      </c>
      <c r="K34" s="151">
        <v>40555.55972222222</v>
      </c>
      <c r="L34" s="367">
        <f t="shared" si="1"/>
        <v>5.866666666581295</v>
      </c>
      <c r="M34" s="368">
        <f t="shared" si="2"/>
        <v>352</v>
      </c>
      <c r="N34" s="218" t="s">
        <v>275</v>
      </c>
      <c r="O34" s="219" t="str">
        <f t="shared" si="3"/>
        <v>--</v>
      </c>
      <c r="P34" s="660">
        <f t="shared" si="4"/>
        <v>40</v>
      </c>
      <c r="Q34" s="797">
        <f t="shared" si="5"/>
        <v>2096.03612</v>
      </c>
      <c r="R34" s="189" t="str">
        <f t="shared" si="6"/>
        <v>--</v>
      </c>
      <c r="S34" s="361" t="str">
        <f t="shared" si="7"/>
        <v>--</v>
      </c>
      <c r="T34" s="362" t="str">
        <f t="shared" si="8"/>
        <v>--</v>
      </c>
      <c r="U34" s="219" t="s">
        <v>194</v>
      </c>
      <c r="V34" s="369">
        <v>0</v>
      </c>
      <c r="W34" s="6"/>
    </row>
    <row r="35" spans="2:23" s="5" customFormat="1" ht="16.5" customHeight="1">
      <c r="B35" s="50"/>
      <c r="C35" s="272">
        <v>26</v>
      </c>
      <c r="D35" s="272">
        <v>230472</v>
      </c>
      <c r="E35" s="272">
        <v>134</v>
      </c>
      <c r="F35" s="364" t="s">
        <v>293</v>
      </c>
      <c r="G35" s="364" t="s">
        <v>301</v>
      </c>
      <c r="H35" s="365">
        <v>132</v>
      </c>
      <c r="I35" s="130">
        <f t="shared" si="0"/>
        <v>89.269</v>
      </c>
      <c r="J35" s="366">
        <v>40559.37013888889</v>
      </c>
      <c r="K35" s="151">
        <v>40559.38125</v>
      </c>
      <c r="L35" s="367">
        <f t="shared" si="1"/>
        <v>0.26666666666278616</v>
      </c>
      <c r="M35" s="368">
        <f t="shared" si="2"/>
        <v>16</v>
      </c>
      <c r="N35" s="218" t="s">
        <v>275</v>
      </c>
      <c r="O35" s="219" t="str">
        <f t="shared" si="3"/>
        <v>--</v>
      </c>
      <c r="P35" s="660">
        <f t="shared" si="4"/>
        <v>40</v>
      </c>
      <c r="Q35" s="797">
        <f t="shared" si="5"/>
        <v>96.41052000000002</v>
      </c>
      <c r="R35" s="189" t="str">
        <f t="shared" si="6"/>
        <v>--</v>
      </c>
      <c r="S35" s="361" t="str">
        <f t="shared" si="7"/>
        <v>--</v>
      </c>
      <c r="T35" s="362" t="str">
        <f t="shared" si="8"/>
        <v>--</v>
      </c>
      <c r="U35" s="219" t="s">
        <v>194</v>
      </c>
      <c r="V35" s="369">
        <v>0</v>
      </c>
      <c r="W35" s="6"/>
    </row>
    <row r="36" spans="2:23" s="5" customFormat="1" ht="16.5" customHeight="1">
      <c r="B36" s="50"/>
      <c r="C36" s="272">
        <v>27</v>
      </c>
      <c r="D36" s="272">
        <v>230717</v>
      </c>
      <c r="E36" s="153">
        <v>2601</v>
      </c>
      <c r="F36" s="364" t="s">
        <v>302</v>
      </c>
      <c r="G36" s="364" t="s">
        <v>303</v>
      </c>
      <c r="H36" s="365">
        <v>500</v>
      </c>
      <c r="I36" s="130">
        <f t="shared" si="0"/>
        <v>111.585</v>
      </c>
      <c r="J36" s="366">
        <v>40562.638194444444</v>
      </c>
      <c r="K36" s="151">
        <v>40562.75208333333</v>
      </c>
      <c r="L36" s="367">
        <f t="shared" si="1"/>
        <v>2.733333333337214</v>
      </c>
      <c r="M36" s="368">
        <f t="shared" si="2"/>
        <v>164</v>
      </c>
      <c r="N36" s="218" t="s">
        <v>275</v>
      </c>
      <c r="O36" s="219" t="str">
        <f t="shared" si="3"/>
        <v>--</v>
      </c>
      <c r="P36" s="660">
        <f t="shared" si="4"/>
        <v>200</v>
      </c>
      <c r="Q36" s="797">
        <f t="shared" si="5"/>
        <v>6092.541</v>
      </c>
      <c r="R36" s="189" t="str">
        <f t="shared" si="6"/>
        <v>--</v>
      </c>
      <c r="S36" s="361" t="str">
        <f t="shared" si="7"/>
        <v>--</v>
      </c>
      <c r="T36" s="362" t="str">
        <f t="shared" si="8"/>
        <v>--</v>
      </c>
      <c r="U36" s="219" t="s">
        <v>194</v>
      </c>
      <c r="V36" s="369">
        <f t="shared" si="9"/>
        <v>6092.541</v>
      </c>
      <c r="W36" s="6"/>
    </row>
    <row r="37" spans="2:23" s="5" customFormat="1" ht="16.5" customHeight="1">
      <c r="B37" s="50"/>
      <c r="C37" s="272">
        <v>28</v>
      </c>
      <c r="D37" s="272">
        <v>230718</v>
      </c>
      <c r="E37" s="272">
        <v>112</v>
      </c>
      <c r="F37" s="364" t="s">
        <v>304</v>
      </c>
      <c r="G37" s="364" t="s">
        <v>305</v>
      </c>
      <c r="H37" s="365">
        <v>132</v>
      </c>
      <c r="I37" s="130">
        <f t="shared" si="0"/>
        <v>89.269</v>
      </c>
      <c r="J37" s="366">
        <v>40563.25763888889</v>
      </c>
      <c r="K37" s="151">
        <v>40563.34027777778</v>
      </c>
      <c r="L37" s="367">
        <f t="shared" si="1"/>
        <v>1.9833333333372138</v>
      </c>
      <c r="M37" s="368">
        <f t="shared" si="2"/>
        <v>119</v>
      </c>
      <c r="N37" s="218" t="s">
        <v>275</v>
      </c>
      <c r="O37" s="219" t="str">
        <f t="shared" si="3"/>
        <v>--</v>
      </c>
      <c r="P37" s="660">
        <f t="shared" si="4"/>
        <v>40</v>
      </c>
      <c r="Q37" s="797">
        <f t="shared" si="5"/>
        <v>707.01048</v>
      </c>
      <c r="R37" s="189" t="str">
        <f t="shared" si="6"/>
        <v>--</v>
      </c>
      <c r="S37" s="361" t="str">
        <f t="shared" si="7"/>
        <v>--</v>
      </c>
      <c r="T37" s="362" t="str">
        <f t="shared" si="8"/>
        <v>--</v>
      </c>
      <c r="U37" s="219" t="s">
        <v>194</v>
      </c>
      <c r="V37" s="369">
        <f t="shared" si="9"/>
        <v>707.01048</v>
      </c>
      <c r="W37" s="6"/>
    </row>
    <row r="38" spans="2:23" s="5" customFormat="1" ht="16.5" customHeight="1">
      <c r="B38" s="50"/>
      <c r="C38" s="272">
        <v>29</v>
      </c>
      <c r="D38" s="272">
        <v>230720</v>
      </c>
      <c r="E38" s="153">
        <v>2601</v>
      </c>
      <c r="F38" s="364" t="s">
        <v>302</v>
      </c>
      <c r="G38" s="364" t="s">
        <v>303</v>
      </c>
      <c r="H38" s="365">
        <v>500</v>
      </c>
      <c r="I38" s="130">
        <f t="shared" si="0"/>
        <v>111.585</v>
      </c>
      <c r="J38" s="366">
        <v>40563.30763888889</v>
      </c>
      <c r="K38" s="151">
        <v>40563.74444444444</v>
      </c>
      <c r="L38" s="367">
        <f t="shared" si="1"/>
        <v>10.483333333279006</v>
      </c>
      <c r="M38" s="368">
        <f t="shared" si="2"/>
        <v>629</v>
      </c>
      <c r="N38" s="218" t="s">
        <v>275</v>
      </c>
      <c r="O38" s="219" t="str">
        <f t="shared" si="3"/>
        <v>--</v>
      </c>
      <c r="P38" s="660">
        <f t="shared" si="4"/>
        <v>200</v>
      </c>
      <c r="Q38" s="797">
        <f t="shared" si="5"/>
        <v>23388.216</v>
      </c>
      <c r="R38" s="189" t="str">
        <f t="shared" si="6"/>
        <v>--</v>
      </c>
      <c r="S38" s="361" t="str">
        <f t="shared" si="7"/>
        <v>--</v>
      </c>
      <c r="T38" s="362" t="str">
        <f t="shared" si="8"/>
        <v>--</v>
      </c>
      <c r="U38" s="219" t="s">
        <v>194</v>
      </c>
      <c r="V38" s="369">
        <f t="shared" si="9"/>
        <v>23388.216</v>
      </c>
      <c r="W38" s="6"/>
    </row>
    <row r="39" spans="2:23" s="5" customFormat="1" ht="16.5" customHeight="1">
      <c r="B39" s="50"/>
      <c r="C39" s="272">
        <v>30</v>
      </c>
      <c r="D39" s="272">
        <v>230724</v>
      </c>
      <c r="E39" s="272">
        <v>2601</v>
      </c>
      <c r="F39" s="364" t="s">
        <v>302</v>
      </c>
      <c r="G39" s="364" t="s">
        <v>303</v>
      </c>
      <c r="H39" s="365">
        <v>500</v>
      </c>
      <c r="I39" s="130">
        <f t="shared" si="0"/>
        <v>111.585</v>
      </c>
      <c r="J39" s="366">
        <v>40564.35277777778</v>
      </c>
      <c r="K39" s="151">
        <v>40564.71944444445</v>
      </c>
      <c r="L39" s="367">
        <f t="shared" si="1"/>
        <v>8.800000000046566</v>
      </c>
      <c r="M39" s="368">
        <f t="shared" si="2"/>
        <v>528</v>
      </c>
      <c r="N39" s="218" t="s">
        <v>275</v>
      </c>
      <c r="O39" s="219" t="str">
        <f t="shared" si="3"/>
        <v>--</v>
      </c>
      <c r="P39" s="660">
        <f t="shared" si="4"/>
        <v>200</v>
      </c>
      <c r="Q39" s="797">
        <f t="shared" si="5"/>
        <v>19638.960000000003</v>
      </c>
      <c r="R39" s="189" t="str">
        <f t="shared" si="6"/>
        <v>--</v>
      </c>
      <c r="S39" s="361" t="str">
        <f t="shared" si="7"/>
        <v>--</v>
      </c>
      <c r="T39" s="362" t="str">
        <f t="shared" si="8"/>
        <v>--</v>
      </c>
      <c r="U39" s="219" t="s">
        <v>194</v>
      </c>
      <c r="V39" s="369">
        <f t="shared" si="9"/>
        <v>19638.960000000003</v>
      </c>
      <c r="W39" s="6"/>
    </row>
    <row r="40" spans="2:23" s="5" customFormat="1" ht="16.5" customHeight="1">
      <c r="B40" s="50"/>
      <c r="C40" s="272">
        <v>31</v>
      </c>
      <c r="D40" s="272">
        <v>230910</v>
      </c>
      <c r="E40" s="153">
        <v>95</v>
      </c>
      <c r="F40" s="364" t="s">
        <v>306</v>
      </c>
      <c r="G40" s="364" t="s">
        <v>307</v>
      </c>
      <c r="H40" s="365">
        <v>132</v>
      </c>
      <c r="I40" s="130">
        <f t="shared" si="0"/>
        <v>89.269</v>
      </c>
      <c r="J40" s="366">
        <v>40567.63402777778</v>
      </c>
      <c r="K40" s="151">
        <v>40567.79513888889</v>
      </c>
      <c r="L40" s="367">
        <f t="shared" si="1"/>
        <v>3.8666666666977108</v>
      </c>
      <c r="M40" s="368">
        <f t="shared" si="2"/>
        <v>232</v>
      </c>
      <c r="N40" s="218" t="s">
        <v>281</v>
      </c>
      <c r="O40" s="219" t="str">
        <f t="shared" si="3"/>
        <v>NO</v>
      </c>
      <c r="P40" s="660">
        <f t="shared" si="4"/>
        <v>40</v>
      </c>
      <c r="Q40" s="797" t="str">
        <f t="shared" si="5"/>
        <v>--</v>
      </c>
      <c r="R40" s="189">
        <f t="shared" si="6"/>
        <v>3570.76</v>
      </c>
      <c r="S40" s="361">
        <f t="shared" si="7"/>
        <v>13818.8412</v>
      </c>
      <c r="T40" s="362" t="str">
        <f t="shared" si="8"/>
        <v>--</v>
      </c>
      <c r="U40" s="219" t="s">
        <v>194</v>
      </c>
      <c r="V40" s="369">
        <f t="shared" si="9"/>
        <v>17389.6012</v>
      </c>
      <c r="W40" s="6"/>
    </row>
    <row r="41" spans="2:23" s="5" customFormat="1" ht="16.5" customHeight="1">
      <c r="B41" s="50"/>
      <c r="C41" s="272">
        <v>32</v>
      </c>
      <c r="D41" s="272">
        <v>230912</v>
      </c>
      <c r="E41" s="272">
        <v>4758</v>
      </c>
      <c r="F41" s="364" t="s">
        <v>331</v>
      </c>
      <c r="G41" s="364" t="s">
        <v>333</v>
      </c>
      <c r="H41" s="842">
        <v>500</v>
      </c>
      <c r="I41" s="130">
        <f t="shared" si="0"/>
        <v>111.585</v>
      </c>
      <c r="J41" s="366">
        <v>40571.37430555555</v>
      </c>
      <c r="K41" s="151">
        <v>40571.53888888889</v>
      </c>
      <c r="L41" s="367">
        <f t="shared" si="1"/>
        <v>3.950000000128057</v>
      </c>
      <c r="M41" s="368">
        <f t="shared" si="2"/>
        <v>237</v>
      </c>
      <c r="N41" s="218" t="s">
        <v>275</v>
      </c>
      <c r="O41" s="219" t="str">
        <f t="shared" si="3"/>
        <v>--</v>
      </c>
      <c r="P41" s="660">
        <f t="shared" si="4"/>
        <v>200</v>
      </c>
      <c r="Q41" s="797">
        <f t="shared" si="5"/>
        <v>8815.215000000002</v>
      </c>
      <c r="R41" s="189" t="str">
        <f t="shared" si="6"/>
        <v>--</v>
      </c>
      <c r="S41" s="361" t="str">
        <f t="shared" si="7"/>
        <v>--</v>
      </c>
      <c r="T41" s="362" t="str">
        <f t="shared" si="8"/>
        <v>--</v>
      </c>
      <c r="U41" s="219" t="s">
        <v>194</v>
      </c>
      <c r="V41" s="369">
        <f t="shared" si="9"/>
        <v>8815.215000000002</v>
      </c>
      <c r="W41" s="6"/>
    </row>
    <row r="42" spans="2:23" s="5" customFormat="1" ht="16.5" customHeight="1">
      <c r="B42" s="50"/>
      <c r="C42" s="272">
        <v>33</v>
      </c>
      <c r="D42" s="272">
        <v>230913</v>
      </c>
      <c r="E42" s="153">
        <v>4824</v>
      </c>
      <c r="F42" s="364" t="s">
        <v>335</v>
      </c>
      <c r="G42" s="364" t="s">
        <v>336</v>
      </c>
      <c r="H42" s="842">
        <v>500</v>
      </c>
      <c r="I42" s="130">
        <f t="shared" si="0"/>
        <v>111.585</v>
      </c>
      <c r="J42" s="366">
        <v>40572.31041666667</v>
      </c>
      <c r="K42" s="151">
        <v>40572.71319444444</v>
      </c>
      <c r="L42" s="367">
        <f t="shared" si="1"/>
        <v>9.666666666569654</v>
      </c>
      <c r="M42" s="368">
        <f t="shared" si="2"/>
        <v>580</v>
      </c>
      <c r="N42" s="218" t="s">
        <v>275</v>
      </c>
      <c r="O42" s="219" t="str">
        <f t="shared" si="3"/>
        <v>--</v>
      </c>
      <c r="P42" s="660">
        <f t="shared" si="4"/>
        <v>200</v>
      </c>
      <c r="Q42" s="797">
        <f t="shared" si="5"/>
        <v>21580.539</v>
      </c>
      <c r="R42" s="189" t="str">
        <f t="shared" si="6"/>
        <v>--</v>
      </c>
      <c r="S42" s="361" t="str">
        <f t="shared" si="7"/>
        <v>--</v>
      </c>
      <c r="T42" s="362" t="str">
        <f t="shared" si="8"/>
        <v>--</v>
      </c>
      <c r="U42" s="219" t="s">
        <v>194</v>
      </c>
      <c r="V42" s="369">
        <v>0</v>
      </c>
      <c r="W42" s="6"/>
    </row>
    <row r="43" spans="2:23" s="5" customFormat="1" ht="16.5" customHeight="1">
      <c r="B43" s="50"/>
      <c r="C43" s="272"/>
      <c r="D43" s="272"/>
      <c r="E43" s="272"/>
      <c r="F43" s="364"/>
      <c r="G43" s="364"/>
      <c r="H43" s="365"/>
      <c r="I43" s="130">
        <f t="shared" si="0"/>
        <v>89.269</v>
      </c>
      <c r="J43" s="366"/>
      <c r="K43" s="151"/>
      <c r="L43" s="367">
        <f t="shared" si="1"/>
      </c>
      <c r="M43" s="368">
        <f t="shared" si="2"/>
      </c>
      <c r="N43" s="218"/>
      <c r="O43" s="219">
        <f t="shared" si="3"/>
      </c>
      <c r="P43" s="660">
        <f t="shared" si="4"/>
        <v>40</v>
      </c>
      <c r="Q43" s="797" t="str">
        <f t="shared" si="5"/>
        <v>--</v>
      </c>
      <c r="R43" s="189" t="str">
        <f t="shared" si="6"/>
        <v>--</v>
      </c>
      <c r="S43" s="361" t="str">
        <f t="shared" si="7"/>
        <v>--</v>
      </c>
      <c r="T43" s="362" t="str">
        <f t="shared" si="8"/>
        <v>--</v>
      </c>
      <c r="U43" s="219">
        <f>IF(F43="","","SI")</f>
      </c>
      <c r="V43" s="369">
        <f t="shared" si="9"/>
      </c>
      <c r="W43" s="6"/>
    </row>
    <row r="44" spans="2:23" s="5" customFormat="1" ht="16.5" customHeight="1" thickBot="1">
      <c r="B44" s="50"/>
      <c r="C44" s="226"/>
      <c r="D44" s="226"/>
      <c r="E44" s="226"/>
      <c r="F44" s="226"/>
      <c r="G44" s="226"/>
      <c r="H44" s="226"/>
      <c r="I44" s="131"/>
      <c r="J44" s="370"/>
      <c r="K44" s="370"/>
      <c r="L44" s="371"/>
      <c r="M44" s="371"/>
      <c r="N44" s="370"/>
      <c r="O44" s="152"/>
      <c r="P44" s="372"/>
      <c r="Q44" s="373"/>
      <c r="R44" s="374"/>
      <c r="S44" s="375"/>
      <c r="T44" s="158"/>
      <c r="U44" s="152"/>
      <c r="V44" s="376"/>
      <c r="W44" s="6"/>
    </row>
    <row r="45" spans="2:23" s="5" customFormat="1" ht="16.5" customHeight="1" thickBot="1" thickTop="1">
      <c r="B45" s="50"/>
      <c r="C45" s="127" t="s">
        <v>24</v>
      </c>
      <c r="D45" s="73" t="s">
        <v>327</v>
      </c>
      <c r="E45" s="127"/>
      <c r="F45" s="128"/>
      <c r="G45"/>
      <c r="H45" s="4"/>
      <c r="I45" s="4"/>
      <c r="J45" s="4"/>
      <c r="K45" s="4"/>
      <c r="L45" s="4"/>
      <c r="M45" s="4"/>
      <c r="N45" s="4"/>
      <c r="O45" s="4"/>
      <c r="P45" s="4"/>
      <c r="Q45" s="377">
        <f>SUM(Q22:Q44)</f>
        <v>150544.40122</v>
      </c>
      <c r="R45" s="378">
        <f>SUM(R22:R44)</f>
        <v>7141.52</v>
      </c>
      <c r="S45" s="379">
        <f>SUM(S22:S44)</f>
        <v>23031.402000000002</v>
      </c>
      <c r="T45" s="380">
        <f>SUM(T22:T44)</f>
        <v>0</v>
      </c>
      <c r="U45" s="381"/>
      <c r="V45" s="100">
        <f>ROUND(SUM(V22:V44),2)</f>
        <v>92153.53</v>
      </c>
      <c r="W45" s="6"/>
    </row>
    <row r="46" spans="2:23" s="5" customFormat="1" ht="16.5" customHeight="1" thickBot="1" thickTop="1"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6"/>
    </row>
    <row r="47" spans="23:25" ht="16.5" customHeight="1" thickTop="1">
      <c r="W47" s="173"/>
      <c r="X47" s="173"/>
      <c r="Y47" s="173"/>
    </row>
    <row r="48" spans="23:25" ht="16.5" customHeight="1">
      <c r="W48" s="173"/>
      <c r="X48" s="173"/>
      <c r="Y48" s="173"/>
    </row>
    <row r="49" spans="23:25" ht="16.5" customHeight="1">
      <c r="W49" s="173"/>
      <c r="X49" s="173"/>
      <c r="Y49" s="173"/>
    </row>
    <row r="50" spans="23:25" ht="16.5" customHeight="1">
      <c r="W50" s="173"/>
      <c r="X50" s="173"/>
      <c r="Y50" s="173"/>
    </row>
    <row r="51" spans="23:25" ht="16.5" customHeight="1">
      <c r="W51" s="173"/>
      <c r="X51" s="173"/>
      <c r="Y51" s="173"/>
    </row>
    <row r="52" spans="6:25" ht="16.5" customHeight="1"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</row>
    <row r="53" spans="6:25" ht="16.5" customHeight="1"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</row>
    <row r="54" spans="6:25" ht="16.5" customHeight="1"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</row>
    <row r="55" spans="6:25" ht="16.5" customHeight="1"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</row>
    <row r="56" spans="6:25" ht="16.5" customHeight="1"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</row>
    <row r="57" spans="6:25" ht="16.5" customHeight="1"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</row>
    <row r="58" spans="6:25" ht="16.5" customHeight="1"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</row>
    <row r="59" spans="6:25" ht="16.5" customHeight="1"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</row>
    <row r="60" spans="6:25" ht="16.5" customHeight="1"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</row>
    <row r="61" spans="6:25" ht="16.5" customHeight="1"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</row>
    <row r="62" spans="6:25" ht="16.5" customHeight="1"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</row>
    <row r="63" spans="6:25" ht="16.5" customHeight="1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</row>
    <row r="64" spans="6:25" ht="16.5" customHeight="1"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</row>
    <row r="65" spans="6:25" ht="16.5" customHeight="1"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</row>
    <row r="66" spans="6:25" ht="16.5" customHeight="1"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</row>
    <row r="67" spans="6:25" ht="16.5" customHeight="1"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</row>
    <row r="68" spans="6:25" ht="16.5" customHeight="1"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</row>
    <row r="69" spans="6:25" ht="16.5" customHeight="1"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</row>
    <row r="70" spans="6:25" ht="16.5" customHeight="1"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</row>
    <row r="71" spans="6:25" ht="16.5" customHeight="1"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</row>
    <row r="72" spans="6:25" ht="16.5" customHeight="1"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</row>
    <row r="73" spans="6:25" ht="16.5" customHeight="1"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</row>
    <row r="74" spans="6:25" ht="16.5" customHeight="1"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</row>
    <row r="75" spans="6:25" ht="16.5" customHeight="1"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</row>
    <row r="76" spans="6:25" ht="16.5" customHeight="1"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</row>
    <row r="77" spans="6:25" ht="16.5" customHeight="1"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</row>
    <row r="78" spans="6:25" ht="16.5" customHeight="1"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</row>
    <row r="79" spans="6:25" ht="16.5" customHeight="1"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</row>
    <row r="80" spans="6:25" ht="16.5" customHeight="1"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</row>
    <row r="81" spans="6:25" ht="16.5" customHeight="1"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</row>
    <row r="82" spans="6:25" ht="16.5" customHeight="1"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</row>
    <row r="83" spans="6:25" ht="16.5" customHeight="1"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</row>
    <row r="84" spans="6:25" ht="16.5" customHeight="1"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</row>
    <row r="85" spans="6:25" ht="16.5" customHeight="1"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</row>
    <row r="86" spans="6:25" ht="16.5" customHeight="1"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</row>
    <row r="87" spans="6:25" ht="16.5" customHeight="1"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</row>
    <row r="88" spans="6:25" ht="16.5" customHeight="1"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</row>
    <row r="89" spans="6:25" ht="16.5" customHeight="1"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</row>
    <row r="90" spans="6:25" ht="16.5" customHeight="1"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</row>
    <row r="91" spans="6:25" ht="16.5" customHeight="1"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</row>
    <row r="92" spans="6:25" ht="16.5" customHeight="1"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</row>
    <row r="93" spans="6:25" ht="16.5" customHeight="1"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</row>
    <row r="94" spans="6:25" ht="16.5" customHeight="1"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</row>
    <row r="95" spans="6:25" ht="16.5" customHeight="1"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</row>
    <row r="96" spans="6:25" ht="16.5" customHeight="1"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</row>
    <row r="97" spans="6:25" ht="16.5" customHeight="1"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</row>
    <row r="98" spans="6:25" ht="16.5" customHeight="1"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</row>
    <row r="99" spans="6:25" ht="16.5" customHeight="1"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</row>
    <row r="100" spans="6:25" ht="16.5" customHeight="1"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</row>
    <row r="101" spans="6:25" ht="16.5" customHeight="1"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</row>
    <row r="102" spans="6:25" ht="16.5" customHeight="1"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</row>
    <row r="103" spans="6:25" ht="16.5" customHeight="1"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</row>
    <row r="104" spans="6:25" ht="16.5" customHeight="1"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</row>
    <row r="105" spans="6:25" ht="16.5" customHeight="1"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</row>
    <row r="106" spans="6:25" ht="16.5" customHeight="1"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</row>
    <row r="107" spans="6:25" ht="16.5" customHeight="1"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</row>
    <row r="108" spans="6:25" ht="16.5" customHeight="1"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</row>
    <row r="109" spans="6:25" ht="16.5" customHeight="1"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</row>
    <row r="110" spans="6:25" ht="16.5" customHeight="1"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</row>
    <row r="111" spans="6:25" ht="16.5" customHeight="1"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</row>
    <row r="112" spans="6:25" ht="16.5" customHeight="1"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</row>
    <row r="113" spans="6:25" ht="16.5" customHeight="1"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</row>
    <row r="114" spans="6:25" ht="16.5" customHeight="1"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</row>
    <row r="115" spans="6:25" ht="16.5" customHeight="1"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</row>
    <row r="116" spans="6:25" ht="16.5" customHeight="1"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</row>
    <row r="117" spans="6:25" ht="16.5" customHeight="1"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</row>
    <row r="118" spans="6:25" ht="16.5" customHeight="1"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</row>
    <row r="119" spans="6:25" ht="16.5" customHeight="1"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</row>
    <row r="120" spans="6:25" ht="16.5" customHeight="1"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</row>
    <row r="121" spans="6:25" ht="16.5" customHeight="1"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</row>
    <row r="122" spans="6:25" ht="16.5" customHeight="1"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</row>
    <row r="123" spans="6:25" ht="16.5" customHeight="1"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</row>
    <row r="124" spans="6:25" ht="16.5" customHeight="1"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</row>
    <row r="125" spans="6:25" ht="16.5" customHeight="1"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</row>
    <row r="126" spans="6:25" ht="16.5" customHeight="1"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</row>
    <row r="127" spans="6:25" ht="16.5" customHeight="1"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</row>
    <row r="128" spans="6:25" ht="16.5" customHeight="1"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</row>
    <row r="129" spans="6:25" ht="16.5" customHeight="1"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</row>
    <row r="130" spans="6:25" ht="16.5" customHeight="1"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</row>
    <row r="131" spans="6:25" ht="16.5" customHeight="1"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</row>
    <row r="132" spans="6:25" ht="16.5" customHeight="1"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</row>
    <row r="133" spans="6:25" ht="16.5" customHeight="1"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</row>
    <row r="134" spans="6:25" ht="16.5" customHeight="1"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</row>
    <row r="135" spans="6:25" ht="16.5" customHeight="1"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</row>
    <row r="136" spans="6:25" ht="16.5" customHeight="1"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</row>
    <row r="137" spans="6:25" ht="16.5" customHeight="1"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</row>
    <row r="138" spans="6:25" ht="16.5" customHeight="1"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</row>
    <row r="139" spans="6:25" ht="16.5" customHeight="1"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</row>
    <row r="140" spans="6:25" ht="16.5" customHeight="1"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</row>
    <row r="141" spans="6:25" ht="16.5" customHeight="1"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</row>
    <row r="142" spans="6:25" ht="16.5" customHeight="1"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</row>
    <row r="143" spans="6:25" ht="16.5" customHeight="1"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</row>
    <row r="144" spans="6:25" ht="16.5" customHeight="1"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</row>
    <row r="145" spans="6:25" ht="16.5" customHeight="1"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</row>
    <row r="146" spans="6:25" ht="16.5" customHeight="1"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</row>
    <row r="147" spans="6:25" ht="16.5" customHeight="1"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</row>
    <row r="148" spans="6:25" ht="16.5" customHeight="1"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</row>
    <row r="149" spans="6:25" ht="16.5" customHeight="1"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</row>
    <row r="150" spans="6:25" ht="16.5" customHeight="1"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</row>
    <row r="151" spans="6:25" ht="16.5" customHeight="1"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</row>
    <row r="152" spans="6:25" ht="16.5" customHeight="1"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</row>
    <row r="153" spans="6:25" ht="16.5" customHeight="1"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</row>
    <row r="154" spans="6:25" ht="16.5" customHeight="1"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</row>
    <row r="155" spans="6:25" ht="16.5" customHeight="1"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</row>
    <row r="156" spans="6:25" ht="16.5" customHeight="1"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</row>
    <row r="157" spans="6:25" ht="16.5" customHeight="1"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  <c r="V157" s="173"/>
      <c r="W157" s="173"/>
      <c r="X157" s="173"/>
      <c r="Y157" s="173"/>
    </row>
    <row r="158" spans="6:25" ht="16.5" customHeight="1"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</row>
    <row r="159" spans="6:25" ht="16.5" customHeight="1"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0" r:id="rId4"/>
  <headerFooter alignWithMargins="0">
    <oddFooter>&amp;L&amp;"Times New Roman,Normal"&amp;8&amp;F-&amp;A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Y159"/>
  <sheetViews>
    <sheetView zoomScale="70" zoomScaleNormal="70" zoomScalePageLayoutView="0" workbookViewId="0" topLeftCell="F7">
      <selection activeCell="G35" sqref="G35"/>
    </sheetView>
  </sheetViews>
  <sheetFormatPr defaultColWidth="11.421875" defaultRowHeight="16.5" customHeight="1"/>
  <cols>
    <col min="1" max="2" width="4.140625" style="0" customWidth="1"/>
    <col min="3" max="3" width="5.421875" style="0" customWidth="1"/>
    <col min="4" max="5" width="13.57421875" style="0" customWidth="1"/>
    <col min="6" max="6" width="35.140625" style="0" customWidth="1"/>
    <col min="7" max="7" width="40.7109375" style="0" customWidth="1"/>
    <col min="8" max="8" width="9.7109375" style="0" customWidth="1"/>
    <col min="9" max="9" width="5.7109375" style="0" hidden="1" customWidth="1"/>
    <col min="10" max="10" width="17.140625" style="0" customWidth="1"/>
    <col min="11" max="11" width="15.7109375" style="0" customWidth="1"/>
    <col min="12" max="14" width="9.7109375" style="0" customWidth="1"/>
    <col min="15" max="15" width="6.421875" style="0" customWidth="1"/>
    <col min="16" max="16" width="4.00390625" style="0" hidden="1" customWidth="1"/>
    <col min="17" max="17" width="12.8515625" style="0" hidden="1" customWidth="1"/>
    <col min="18" max="19" width="6.00390625" style="0" hidden="1" customWidth="1"/>
    <col min="20" max="20" width="11.7109375" style="0" hidden="1" customWidth="1"/>
    <col min="21" max="21" width="9.7109375" style="0" customWidth="1"/>
    <col min="22" max="22" width="17.00390625" style="0" customWidth="1"/>
    <col min="23" max="23" width="4.140625" style="0" customWidth="1"/>
  </cols>
  <sheetData>
    <row r="1" s="18" customFormat="1" ht="26.25">
      <c r="W1" s="144"/>
    </row>
    <row r="2" spans="1:23" s="18" customFormat="1" ht="26.25">
      <c r="A2" s="91"/>
      <c r="B2" s="19" t="str">
        <f>+'TOT-0111'!B2</f>
        <v>ANEXO II al Memorándum D.T.E.E. N°  1088 / 2012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="5" customFormat="1" ht="17.25" customHeight="1">
      <c r="A3" s="90"/>
    </row>
    <row r="4" spans="1:4" s="25" customFormat="1" ht="11.25">
      <c r="A4" s="23" t="s">
        <v>1</v>
      </c>
      <c r="B4" s="124"/>
      <c r="C4" s="124"/>
      <c r="D4" s="124"/>
    </row>
    <row r="5" spans="1:4" s="25" customFormat="1" ht="11.25">
      <c r="A5" s="23" t="s">
        <v>2</v>
      </c>
      <c r="B5" s="124"/>
      <c r="C5" s="124"/>
      <c r="D5" s="124"/>
    </row>
    <row r="6" s="5" customFormat="1" ht="13.5" thickBot="1"/>
    <row r="7" spans="2:23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</row>
    <row r="8" spans="2:23" s="29" customFormat="1" ht="20.25">
      <c r="B8" s="79"/>
      <c r="C8" s="30"/>
      <c r="D8" s="30"/>
      <c r="E8" s="30"/>
      <c r="F8" s="12" t="s">
        <v>67</v>
      </c>
      <c r="N8" s="105"/>
      <c r="O8" s="105"/>
      <c r="P8" s="96"/>
      <c r="Q8" s="30"/>
      <c r="R8" s="30"/>
      <c r="S8" s="30"/>
      <c r="T8" s="30"/>
      <c r="U8" s="30"/>
      <c r="V8" s="30"/>
      <c r="W8" s="80"/>
    </row>
    <row r="9" spans="2:23" s="5" customFormat="1" ht="12.75">
      <c r="B9" s="50"/>
      <c r="C9" s="4"/>
      <c r="D9" s="4"/>
      <c r="E9" s="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/>
      <c r="R9" s="4"/>
      <c r="S9" s="4"/>
      <c r="T9" s="4"/>
      <c r="U9" s="4"/>
      <c r="V9" s="4"/>
      <c r="W9" s="6"/>
    </row>
    <row r="10" spans="2:23" s="29" customFormat="1" ht="20.25">
      <c r="B10" s="79"/>
      <c r="C10" s="30"/>
      <c r="D10" s="30"/>
      <c r="E10" s="30"/>
      <c r="F10" s="113" t="s">
        <v>203</v>
      </c>
      <c r="G10" s="330"/>
      <c r="H10" s="105"/>
      <c r="I10" s="108"/>
      <c r="K10" s="108"/>
      <c r="L10" s="108"/>
      <c r="M10" s="108"/>
      <c r="N10" s="108"/>
      <c r="O10" s="108"/>
      <c r="P10" s="108"/>
      <c r="Q10" s="30"/>
      <c r="R10" s="30"/>
      <c r="S10" s="30"/>
      <c r="T10" s="30"/>
      <c r="U10" s="30"/>
      <c r="V10" s="30"/>
      <c r="W10" s="80"/>
    </row>
    <row r="11" spans="2:23" s="5" customFormat="1" ht="13.5">
      <c r="B11" s="50"/>
      <c r="C11" s="4"/>
      <c r="D11" s="4"/>
      <c r="E11" s="4"/>
      <c r="F11" s="331"/>
      <c r="G11" s="331"/>
      <c r="H11" s="90"/>
      <c r="I11" s="97"/>
      <c r="J11" s="52"/>
      <c r="K11" s="97"/>
      <c r="L11" s="97"/>
      <c r="M11" s="97"/>
      <c r="N11" s="97"/>
      <c r="O11" s="97"/>
      <c r="P11" s="97"/>
      <c r="Q11" s="4"/>
      <c r="R11" s="4"/>
      <c r="S11" s="4"/>
      <c r="T11" s="4"/>
      <c r="U11" s="4"/>
      <c r="V11" s="4"/>
      <c r="W11" s="6"/>
    </row>
    <row r="12" spans="2:23" s="29" customFormat="1" ht="20.25">
      <c r="B12" s="79"/>
      <c r="C12" s="30"/>
      <c r="D12" s="30"/>
      <c r="E12" s="30"/>
      <c r="F12" s="113" t="s">
        <v>77</v>
      </c>
      <c r="G12" s="330"/>
      <c r="H12" s="105"/>
      <c r="I12" s="108"/>
      <c r="K12" s="108"/>
      <c r="L12" s="108"/>
      <c r="M12" s="108"/>
      <c r="N12" s="108"/>
      <c r="O12" s="108"/>
      <c r="P12" s="108"/>
      <c r="Q12" s="30"/>
      <c r="R12" s="30"/>
      <c r="S12" s="30"/>
      <c r="T12" s="30"/>
      <c r="U12" s="30"/>
      <c r="V12" s="30"/>
      <c r="W12" s="80"/>
    </row>
    <row r="13" spans="2:23" s="5" customFormat="1" ht="13.5">
      <c r="B13" s="50"/>
      <c r="C13" s="4"/>
      <c r="D13" s="4"/>
      <c r="E13" s="4"/>
      <c r="F13" s="331"/>
      <c r="G13" s="331"/>
      <c r="H13" s="90"/>
      <c r="I13" s="97"/>
      <c r="J13" s="52"/>
      <c r="K13" s="97"/>
      <c r="L13" s="97"/>
      <c r="M13" s="97"/>
      <c r="N13" s="97"/>
      <c r="O13" s="97"/>
      <c r="P13" s="97"/>
      <c r="Q13" s="4"/>
      <c r="R13" s="4"/>
      <c r="S13" s="4"/>
      <c r="T13" s="4"/>
      <c r="U13" s="4"/>
      <c r="V13" s="4"/>
      <c r="W13" s="6"/>
    </row>
    <row r="14" spans="2:23" s="5" customFormat="1" ht="19.5">
      <c r="B14" s="37" t="str">
        <f>'TOT-0111'!B14</f>
        <v>Desde el 01 al 31 de enero de 2011</v>
      </c>
      <c r="C14" s="40"/>
      <c r="D14" s="40"/>
      <c r="E14" s="40"/>
      <c r="F14" s="40"/>
      <c r="G14" s="40"/>
      <c r="H14" s="40"/>
      <c r="I14" s="332"/>
      <c r="J14" s="332"/>
      <c r="K14" s="332"/>
      <c r="L14" s="332"/>
      <c r="M14" s="332"/>
      <c r="N14" s="332"/>
      <c r="O14" s="332"/>
      <c r="P14" s="332"/>
      <c r="Q14" s="40"/>
      <c r="R14" s="40"/>
      <c r="S14" s="40"/>
      <c r="T14" s="40"/>
      <c r="U14" s="40"/>
      <c r="V14" s="40"/>
      <c r="W14" s="333"/>
    </row>
    <row r="15" spans="2:23" s="5" customFormat="1" ht="14.25" thickBot="1">
      <c r="B15" s="334"/>
      <c r="C15" s="335"/>
      <c r="D15" s="335"/>
      <c r="E15" s="335"/>
      <c r="F15" s="335"/>
      <c r="G15" s="335"/>
      <c r="H15" s="335"/>
      <c r="I15" s="336"/>
      <c r="J15" s="336"/>
      <c r="K15" s="336"/>
      <c r="L15" s="336"/>
      <c r="M15" s="336"/>
      <c r="N15" s="336"/>
      <c r="O15" s="336"/>
      <c r="P15" s="336"/>
      <c r="Q15" s="335"/>
      <c r="R15" s="335"/>
      <c r="S15" s="335"/>
      <c r="T15" s="335"/>
      <c r="U15" s="335"/>
      <c r="V15" s="335"/>
      <c r="W15" s="337"/>
    </row>
    <row r="16" spans="2:23" s="5" customFormat="1" ht="15" thickBot="1" thickTop="1">
      <c r="B16" s="50"/>
      <c r="C16" s="4"/>
      <c r="D16" s="4"/>
      <c r="E16" s="4"/>
      <c r="F16" s="338"/>
      <c r="G16" s="338"/>
      <c r="H16" s="117" t="s">
        <v>78</v>
      </c>
      <c r="I16" s="4"/>
      <c r="J16" s="5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6"/>
    </row>
    <row r="17" spans="2:23" s="5" customFormat="1" ht="16.5" customHeight="1" thickBot="1" thickTop="1">
      <c r="B17" s="50"/>
      <c r="C17" s="4"/>
      <c r="D17" s="4"/>
      <c r="E17" s="4"/>
      <c r="F17" s="339" t="s">
        <v>79</v>
      </c>
      <c r="G17" s="340">
        <v>111.585</v>
      </c>
      <c r="H17" s="341">
        <v>200</v>
      </c>
      <c r="V17" s="115"/>
      <c r="W17" s="6"/>
    </row>
    <row r="18" spans="2:23" s="5" customFormat="1" ht="16.5" customHeight="1" thickBot="1" thickTop="1">
      <c r="B18" s="50"/>
      <c r="C18" s="4"/>
      <c r="D18" s="4"/>
      <c r="E18" s="4"/>
      <c r="F18" s="342" t="s">
        <v>80</v>
      </c>
      <c r="G18" s="343">
        <v>100.415</v>
      </c>
      <c r="H18" s="341">
        <v>100</v>
      </c>
      <c r="O18" s="4"/>
      <c r="P18" s="4"/>
      <c r="Q18" s="4"/>
      <c r="R18" s="4"/>
      <c r="S18" s="4"/>
      <c r="T18" s="4"/>
      <c r="U18" s="4"/>
      <c r="V18" s="4"/>
      <c r="W18" s="6"/>
    </row>
    <row r="19" spans="2:23" s="5" customFormat="1" ht="16.5" customHeight="1" thickBot="1" thickTop="1">
      <c r="B19" s="50"/>
      <c r="C19" s="4"/>
      <c r="D19" s="4"/>
      <c r="E19" s="4"/>
      <c r="F19" s="344" t="s">
        <v>81</v>
      </c>
      <c r="G19" s="343">
        <v>89.269</v>
      </c>
      <c r="H19" s="341">
        <v>40</v>
      </c>
      <c r="K19" s="200"/>
      <c r="L19" s="201"/>
      <c r="M19" s="4"/>
      <c r="O19" s="4"/>
      <c r="Q19" s="4"/>
      <c r="R19" s="4"/>
      <c r="S19" s="4"/>
      <c r="T19" s="4"/>
      <c r="U19" s="4"/>
      <c r="V19" s="4"/>
      <c r="W19" s="6"/>
    </row>
    <row r="20" spans="2:23" s="5" customFormat="1" ht="16.5" customHeight="1" thickBot="1" thickTop="1">
      <c r="B20" s="50"/>
      <c r="C20" s="824">
        <v>3</v>
      </c>
      <c r="D20" s="824">
        <v>4</v>
      </c>
      <c r="E20" s="824">
        <v>5</v>
      </c>
      <c r="F20" s="824">
        <v>6</v>
      </c>
      <c r="G20" s="824">
        <v>7</v>
      </c>
      <c r="H20" s="824">
        <v>8</v>
      </c>
      <c r="I20" s="824">
        <v>9</v>
      </c>
      <c r="J20" s="824">
        <v>10</v>
      </c>
      <c r="K20" s="824">
        <v>11</v>
      </c>
      <c r="L20" s="824">
        <v>12</v>
      </c>
      <c r="M20" s="824">
        <v>13</v>
      </c>
      <c r="N20" s="824">
        <v>14</v>
      </c>
      <c r="O20" s="824">
        <v>15</v>
      </c>
      <c r="P20" s="824">
        <v>16</v>
      </c>
      <c r="Q20" s="824">
        <v>17</v>
      </c>
      <c r="R20" s="824">
        <v>18</v>
      </c>
      <c r="S20" s="824">
        <v>19</v>
      </c>
      <c r="T20" s="824">
        <v>20</v>
      </c>
      <c r="U20" s="824">
        <v>21</v>
      </c>
      <c r="V20" s="824">
        <v>22</v>
      </c>
      <c r="W20" s="6"/>
    </row>
    <row r="21" spans="2:23" s="5" customFormat="1" ht="33.75" customHeight="1" thickBot="1" thickTop="1">
      <c r="B21" s="50"/>
      <c r="C21" s="123" t="s">
        <v>12</v>
      </c>
      <c r="D21" s="84" t="s">
        <v>212</v>
      </c>
      <c r="E21" s="84" t="s">
        <v>213</v>
      </c>
      <c r="F21" s="86" t="s">
        <v>26</v>
      </c>
      <c r="G21" s="345" t="s">
        <v>27</v>
      </c>
      <c r="H21" s="346" t="s">
        <v>13</v>
      </c>
      <c r="I21" s="129" t="s">
        <v>15</v>
      </c>
      <c r="J21" s="85" t="s">
        <v>16</v>
      </c>
      <c r="K21" s="345" t="s">
        <v>17</v>
      </c>
      <c r="L21" s="347" t="s">
        <v>35</v>
      </c>
      <c r="M21" s="347" t="s">
        <v>30</v>
      </c>
      <c r="N21" s="88" t="s">
        <v>18</v>
      </c>
      <c r="O21" s="177" t="s">
        <v>31</v>
      </c>
      <c r="P21" s="135" t="s">
        <v>36</v>
      </c>
      <c r="Q21" s="348" t="s">
        <v>68</v>
      </c>
      <c r="R21" s="178" t="s">
        <v>34</v>
      </c>
      <c r="S21" s="349"/>
      <c r="T21" s="134" t="s">
        <v>21</v>
      </c>
      <c r="U21" s="132" t="s">
        <v>72</v>
      </c>
      <c r="V21" s="121" t="s">
        <v>23</v>
      </c>
      <c r="W21" s="6"/>
    </row>
    <row r="22" spans="2:23" s="5" customFormat="1" ht="16.5" customHeight="1" thickTop="1">
      <c r="B22" s="50"/>
      <c r="C22" s="258"/>
      <c r="D22" s="258"/>
      <c r="E22" s="258"/>
      <c r="F22" s="350"/>
      <c r="G22" s="350"/>
      <c r="H22" s="350"/>
      <c r="I22" s="216"/>
      <c r="J22" s="350"/>
      <c r="K22" s="350"/>
      <c r="L22" s="350"/>
      <c r="M22" s="350"/>
      <c r="N22" s="350"/>
      <c r="O22" s="350"/>
      <c r="P22" s="351"/>
      <c r="Q22" s="352"/>
      <c r="R22" s="353"/>
      <c r="S22" s="354"/>
      <c r="T22" s="355"/>
      <c r="U22" s="350"/>
      <c r="V22" s="356">
        <f>'SA-01 (1)'!V45</f>
        <v>92153.53</v>
      </c>
      <c r="W22" s="6"/>
    </row>
    <row r="23" spans="2:23" s="5" customFormat="1" ht="16.5" customHeight="1">
      <c r="B23" s="50"/>
      <c r="C23" s="272"/>
      <c r="D23" s="272"/>
      <c r="E23" s="272"/>
      <c r="F23" s="357"/>
      <c r="G23" s="357"/>
      <c r="H23" s="357"/>
      <c r="I23" s="358"/>
      <c r="J23" s="357"/>
      <c r="K23" s="357"/>
      <c r="L23" s="357"/>
      <c r="M23" s="357"/>
      <c r="N23" s="357"/>
      <c r="O23" s="357"/>
      <c r="P23" s="359"/>
      <c r="Q23" s="360"/>
      <c r="R23" s="189"/>
      <c r="S23" s="361"/>
      <c r="T23" s="362"/>
      <c r="U23" s="357"/>
      <c r="V23" s="363"/>
      <c r="W23" s="6"/>
    </row>
    <row r="24" spans="2:23" s="5" customFormat="1" ht="16.5" customHeight="1">
      <c r="B24" s="50"/>
      <c r="C24" s="272">
        <v>34</v>
      </c>
      <c r="D24" s="272">
        <v>230915</v>
      </c>
      <c r="E24" s="153">
        <v>93</v>
      </c>
      <c r="F24" s="364" t="s">
        <v>308</v>
      </c>
      <c r="G24" s="364" t="s">
        <v>309</v>
      </c>
      <c r="H24" s="365">
        <v>132</v>
      </c>
      <c r="I24" s="130">
        <f aca="true" t="shared" si="0" ref="I24:I43">IF(H24=500,$G$17,IF(H24=220,$G$18,$G$19))</f>
        <v>89.269</v>
      </c>
      <c r="J24" s="366">
        <v>40572.33611111111</v>
      </c>
      <c r="K24" s="151">
        <v>40572.768055555556</v>
      </c>
      <c r="L24" s="367">
        <f aca="true" t="shared" si="1" ref="L24:L43">IF(F24="","",(K24-J24)*24)</f>
        <v>10.366666666755918</v>
      </c>
      <c r="M24" s="368">
        <f aca="true" t="shared" si="2" ref="M24:M43">IF(F24="","",ROUND((K24-J24)*24*60,0))</f>
        <v>622</v>
      </c>
      <c r="N24" s="218" t="s">
        <v>275</v>
      </c>
      <c r="O24" s="219" t="str">
        <f aca="true" t="shared" si="3" ref="O24:O43">IF(F24="","",IF(N24="P","--","NO"))</f>
        <v>--</v>
      </c>
      <c r="P24" s="660">
        <f aca="true" t="shared" si="4" ref="P24:P43">IF(H24=500,$H$17,IF(H24=220,$H$18,$H$19))</f>
        <v>40</v>
      </c>
      <c r="Q24" s="797">
        <f aca="true" t="shared" si="5" ref="Q24:Q43">IF(N24="P",I24*P24*ROUND(M24/60,2)*0.1,"--")</f>
        <v>3702.87812</v>
      </c>
      <c r="R24" s="189" t="str">
        <f aca="true" t="shared" si="6" ref="R24:R43">IF(AND(N24="F",O24="NO"),I24*P24,"--")</f>
        <v>--</v>
      </c>
      <c r="S24" s="361" t="str">
        <f aca="true" t="shared" si="7" ref="S24:S43">IF(N24="F",I24*P24*ROUND(M24/60,2),"--")</f>
        <v>--</v>
      </c>
      <c r="T24" s="362" t="str">
        <f aca="true" t="shared" si="8" ref="T24:T43">IF(N24="RF",I24*P24*ROUND(M24/60,2),"--")</f>
        <v>--</v>
      </c>
      <c r="U24" s="219" t="s">
        <v>194</v>
      </c>
      <c r="V24" s="369">
        <v>0</v>
      </c>
      <c r="W24" s="6"/>
    </row>
    <row r="25" spans="2:23" s="5" customFormat="1" ht="16.5" customHeight="1">
      <c r="B25" s="50"/>
      <c r="C25" s="272">
        <v>35</v>
      </c>
      <c r="D25" s="272">
        <v>230916</v>
      </c>
      <c r="E25" s="272">
        <v>117</v>
      </c>
      <c r="F25" s="364" t="s">
        <v>310</v>
      </c>
      <c r="G25" s="364" t="s">
        <v>311</v>
      </c>
      <c r="H25" s="365">
        <v>132</v>
      </c>
      <c r="I25" s="130">
        <f t="shared" si="0"/>
        <v>89.269</v>
      </c>
      <c r="J25" s="366">
        <v>40573.29652777778</v>
      </c>
      <c r="K25" s="151">
        <v>40573.56736111111</v>
      </c>
      <c r="L25" s="367">
        <f t="shared" si="1"/>
        <v>6.500000000058208</v>
      </c>
      <c r="M25" s="368">
        <f t="shared" si="2"/>
        <v>390</v>
      </c>
      <c r="N25" s="218" t="s">
        <v>275</v>
      </c>
      <c r="O25" s="219" t="str">
        <f t="shared" si="3"/>
        <v>--</v>
      </c>
      <c r="P25" s="660">
        <f t="shared" si="4"/>
        <v>40</v>
      </c>
      <c r="Q25" s="797">
        <f t="shared" si="5"/>
        <v>2320.994</v>
      </c>
      <c r="R25" s="189" t="str">
        <f t="shared" si="6"/>
        <v>--</v>
      </c>
      <c r="S25" s="361" t="str">
        <f t="shared" si="7"/>
        <v>--</v>
      </c>
      <c r="T25" s="362" t="str">
        <f t="shared" si="8"/>
        <v>--</v>
      </c>
      <c r="U25" s="219" t="s">
        <v>194</v>
      </c>
      <c r="V25" s="369">
        <v>0</v>
      </c>
      <c r="W25" s="6"/>
    </row>
    <row r="26" spans="2:23" s="5" customFormat="1" ht="16.5" customHeight="1">
      <c r="B26" s="50"/>
      <c r="C26" s="272">
        <v>36</v>
      </c>
      <c r="D26" s="272">
        <v>230917</v>
      </c>
      <c r="E26" s="153">
        <v>4823</v>
      </c>
      <c r="F26" s="364" t="s">
        <v>335</v>
      </c>
      <c r="G26" s="364" t="s">
        <v>337</v>
      </c>
      <c r="H26" s="842">
        <v>500</v>
      </c>
      <c r="I26" s="130">
        <f t="shared" si="0"/>
        <v>111.585</v>
      </c>
      <c r="J26" s="366">
        <v>40573.333333333336</v>
      </c>
      <c r="K26" s="151">
        <v>40573.75</v>
      </c>
      <c r="L26" s="367">
        <f t="shared" si="1"/>
        <v>9.999999999941792</v>
      </c>
      <c r="M26" s="368">
        <f t="shared" si="2"/>
        <v>600</v>
      </c>
      <c r="N26" s="218" t="s">
        <v>275</v>
      </c>
      <c r="O26" s="219" t="str">
        <f t="shared" si="3"/>
        <v>--</v>
      </c>
      <c r="P26" s="660">
        <f t="shared" si="4"/>
        <v>200</v>
      </c>
      <c r="Q26" s="797">
        <f t="shared" si="5"/>
        <v>22317</v>
      </c>
      <c r="R26" s="189" t="str">
        <f t="shared" si="6"/>
        <v>--</v>
      </c>
      <c r="S26" s="361" t="str">
        <f t="shared" si="7"/>
        <v>--</v>
      </c>
      <c r="T26" s="362" t="str">
        <f t="shared" si="8"/>
        <v>--</v>
      </c>
      <c r="U26" s="219" t="s">
        <v>194</v>
      </c>
      <c r="V26" s="369">
        <v>0</v>
      </c>
      <c r="W26" s="6"/>
    </row>
    <row r="27" spans="2:23" s="5" customFormat="1" ht="16.5" customHeight="1">
      <c r="B27" s="50"/>
      <c r="C27" s="272">
        <v>37</v>
      </c>
      <c r="D27" s="272">
        <v>230920</v>
      </c>
      <c r="E27" s="272">
        <v>4822</v>
      </c>
      <c r="F27" s="364" t="s">
        <v>335</v>
      </c>
      <c r="G27" s="364" t="s">
        <v>338</v>
      </c>
      <c r="H27" s="842">
        <v>500</v>
      </c>
      <c r="I27" s="130">
        <f t="shared" si="0"/>
        <v>111.585</v>
      </c>
      <c r="J27" s="366">
        <v>40574.37569444445</v>
      </c>
      <c r="K27" s="151">
        <v>40574.74791666667</v>
      </c>
      <c r="L27" s="367">
        <f t="shared" si="1"/>
        <v>8.933333333290648</v>
      </c>
      <c r="M27" s="368">
        <f t="shared" si="2"/>
        <v>536</v>
      </c>
      <c r="N27" s="218" t="s">
        <v>275</v>
      </c>
      <c r="O27" s="219" t="str">
        <f t="shared" si="3"/>
        <v>--</v>
      </c>
      <c r="P27" s="660">
        <f t="shared" si="4"/>
        <v>200</v>
      </c>
      <c r="Q27" s="797">
        <f t="shared" si="5"/>
        <v>19929.081000000002</v>
      </c>
      <c r="R27" s="189" t="str">
        <f t="shared" si="6"/>
        <v>--</v>
      </c>
      <c r="S27" s="361" t="str">
        <f t="shared" si="7"/>
        <v>--</v>
      </c>
      <c r="T27" s="362" t="str">
        <f t="shared" si="8"/>
        <v>--</v>
      </c>
      <c r="U27" s="219" t="s">
        <v>194</v>
      </c>
      <c r="V27" s="369">
        <v>0</v>
      </c>
      <c r="W27" s="6"/>
    </row>
    <row r="28" spans="2:23" s="5" customFormat="1" ht="16.5" customHeight="1">
      <c r="B28" s="50"/>
      <c r="C28" s="272"/>
      <c r="D28" s="272"/>
      <c r="E28" s="153"/>
      <c r="F28" s="364"/>
      <c r="G28" s="364"/>
      <c r="H28" s="365"/>
      <c r="I28" s="130">
        <f t="shared" si="0"/>
        <v>89.269</v>
      </c>
      <c r="J28" s="366"/>
      <c r="K28" s="151"/>
      <c r="L28" s="367">
        <f t="shared" si="1"/>
      </c>
      <c r="M28" s="368">
        <f t="shared" si="2"/>
      </c>
      <c r="N28" s="218"/>
      <c r="O28" s="219">
        <f t="shared" si="3"/>
      </c>
      <c r="P28" s="660">
        <f t="shared" si="4"/>
        <v>40</v>
      </c>
      <c r="Q28" s="797" t="str">
        <f t="shared" si="5"/>
        <v>--</v>
      </c>
      <c r="R28" s="189" t="str">
        <f t="shared" si="6"/>
        <v>--</v>
      </c>
      <c r="S28" s="361" t="str">
        <f t="shared" si="7"/>
        <v>--</v>
      </c>
      <c r="T28" s="362" t="str">
        <f t="shared" si="8"/>
        <v>--</v>
      </c>
      <c r="U28" s="219">
        <f aca="true" t="shared" si="9" ref="U28:U43">IF(F28="","","SI")</f>
      </c>
      <c r="V28" s="369">
        <f aca="true" t="shared" si="10" ref="V28:V43">IF(F28="","",SUM(Q28:T28)*IF(U28="SI",1,2))</f>
      </c>
      <c r="W28" s="6"/>
    </row>
    <row r="29" spans="2:23" s="5" customFormat="1" ht="16.5" customHeight="1">
      <c r="B29" s="50"/>
      <c r="C29" s="272"/>
      <c r="D29" s="272"/>
      <c r="E29" s="272"/>
      <c r="F29" s="364"/>
      <c r="G29" s="364"/>
      <c r="H29" s="365"/>
      <c r="I29" s="130">
        <f t="shared" si="0"/>
        <v>89.269</v>
      </c>
      <c r="J29" s="366"/>
      <c r="K29" s="151"/>
      <c r="L29" s="367">
        <f t="shared" si="1"/>
      </c>
      <c r="M29" s="368">
        <f t="shared" si="2"/>
      </c>
      <c r="N29" s="218"/>
      <c r="O29" s="219">
        <f t="shared" si="3"/>
      </c>
      <c r="P29" s="660">
        <f t="shared" si="4"/>
        <v>40</v>
      </c>
      <c r="Q29" s="797" t="str">
        <f t="shared" si="5"/>
        <v>--</v>
      </c>
      <c r="R29" s="189" t="str">
        <f t="shared" si="6"/>
        <v>--</v>
      </c>
      <c r="S29" s="361" t="str">
        <f t="shared" si="7"/>
        <v>--</v>
      </c>
      <c r="T29" s="362" t="str">
        <f t="shared" si="8"/>
        <v>--</v>
      </c>
      <c r="U29" s="219">
        <f t="shared" si="9"/>
      </c>
      <c r="V29" s="369">
        <f t="shared" si="10"/>
      </c>
      <c r="W29" s="6"/>
    </row>
    <row r="30" spans="2:23" s="5" customFormat="1" ht="16.5" customHeight="1">
      <c r="B30" s="50"/>
      <c r="C30" s="272"/>
      <c r="D30" s="272"/>
      <c r="E30" s="153"/>
      <c r="F30" s="364"/>
      <c r="G30" s="364"/>
      <c r="H30" s="365"/>
      <c r="I30" s="130">
        <f t="shared" si="0"/>
        <v>89.269</v>
      </c>
      <c r="J30" s="366"/>
      <c r="K30" s="151"/>
      <c r="L30" s="367">
        <f t="shared" si="1"/>
      </c>
      <c r="M30" s="368">
        <f t="shared" si="2"/>
      </c>
      <c r="N30" s="218"/>
      <c r="O30" s="219">
        <f t="shared" si="3"/>
      </c>
      <c r="P30" s="660">
        <f t="shared" si="4"/>
        <v>40</v>
      </c>
      <c r="Q30" s="797" t="str">
        <f t="shared" si="5"/>
        <v>--</v>
      </c>
      <c r="R30" s="189" t="str">
        <f t="shared" si="6"/>
        <v>--</v>
      </c>
      <c r="S30" s="361" t="str">
        <f t="shared" si="7"/>
        <v>--</v>
      </c>
      <c r="T30" s="362" t="str">
        <f t="shared" si="8"/>
        <v>--</v>
      </c>
      <c r="U30" s="219">
        <f t="shared" si="9"/>
      </c>
      <c r="V30" s="369">
        <f t="shared" si="10"/>
      </c>
      <c r="W30" s="6"/>
    </row>
    <row r="31" spans="2:23" s="5" customFormat="1" ht="16.5" customHeight="1">
      <c r="B31" s="50"/>
      <c r="C31" s="272"/>
      <c r="D31" s="272"/>
      <c r="E31" s="272"/>
      <c r="F31" s="364"/>
      <c r="G31" s="364"/>
      <c r="H31" s="365"/>
      <c r="I31" s="130">
        <f t="shared" si="0"/>
        <v>89.269</v>
      </c>
      <c r="J31" s="366"/>
      <c r="K31" s="151"/>
      <c r="L31" s="367">
        <f t="shared" si="1"/>
      </c>
      <c r="M31" s="368">
        <f t="shared" si="2"/>
      </c>
      <c r="N31" s="218"/>
      <c r="O31" s="219">
        <f t="shared" si="3"/>
      </c>
      <c r="P31" s="660">
        <f t="shared" si="4"/>
        <v>40</v>
      </c>
      <c r="Q31" s="797" t="str">
        <f t="shared" si="5"/>
        <v>--</v>
      </c>
      <c r="R31" s="189" t="str">
        <f t="shared" si="6"/>
        <v>--</v>
      </c>
      <c r="S31" s="361" t="str">
        <f t="shared" si="7"/>
        <v>--</v>
      </c>
      <c r="T31" s="362" t="str">
        <f t="shared" si="8"/>
        <v>--</v>
      </c>
      <c r="U31" s="219">
        <f t="shared" si="9"/>
      </c>
      <c r="V31" s="369">
        <f t="shared" si="10"/>
      </c>
      <c r="W31" s="6"/>
    </row>
    <row r="32" spans="2:23" s="5" customFormat="1" ht="16.5" customHeight="1">
      <c r="B32" s="50"/>
      <c r="C32" s="272"/>
      <c r="D32" s="272"/>
      <c r="E32" s="153"/>
      <c r="F32" s="364"/>
      <c r="G32" s="364"/>
      <c r="H32" s="365"/>
      <c r="I32" s="130">
        <f t="shared" si="0"/>
        <v>89.269</v>
      </c>
      <c r="J32" s="366"/>
      <c r="K32" s="151"/>
      <c r="L32" s="367">
        <f t="shared" si="1"/>
      </c>
      <c r="M32" s="368">
        <f t="shared" si="2"/>
      </c>
      <c r="N32" s="218"/>
      <c r="O32" s="219">
        <f t="shared" si="3"/>
      </c>
      <c r="P32" s="660">
        <f t="shared" si="4"/>
        <v>40</v>
      </c>
      <c r="Q32" s="797" t="str">
        <f t="shared" si="5"/>
        <v>--</v>
      </c>
      <c r="R32" s="189" t="str">
        <f t="shared" si="6"/>
        <v>--</v>
      </c>
      <c r="S32" s="361" t="str">
        <f t="shared" si="7"/>
        <v>--</v>
      </c>
      <c r="T32" s="362" t="str">
        <f t="shared" si="8"/>
        <v>--</v>
      </c>
      <c r="U32" s="219">
        <f t="shared" si="9"/>
      </c>
      <c r="V32" s="369">
        <f t="shared" si="10"/>
      </c>
      <c r="W32" s="6"/>
    </row>
    <row r="33" spans="2:23" s="5" customFormat="1" ht="16.5" customHeight="1">
      <c r="B33" s="50"/>
      <c r="C33" s="272"/>
      <c r="D33" s="272"/>
      <c r="E33" s="272"/>
      <c r="F33" s="364"/>
      <c r="G33" s="364"/>
      <c r="H33" s="365"/>
      <c r="I33" s="130">
        <f t="shared" si="0"/>
        <v>89.269</v>
      </c>
      <c r="J33" s="366"/>
      <c r="K33" s="151"/>
      <c r="L33" s="367">
        <f t="shared" si="1"/>
      </c>
      <c r="M33" s="368">
        <f t="shared" si="2"/>
      </c>
      <c r="N33" s="218"/>
      <c r="O33" s="219">
        <f t="shared" si="3"/>
      </c>
      <c r="P33" s="660">
        <f t="shared" si="4"/>
        <v>40</v>
      </c>
      <c r="Q33" s="797" t="str">
        <f t="shared" si="5"/>
        <v>--</v>
      </c>
      <c r="R33" s="189" t="str">
        <f t="shared" si="6"/>
        <v>--</v>
      </c>
      <c r="S33" s="361" t="str">
        <f t="shared" si="7"/>
        <v>--</v>
      </c>
      <c r="T33" s="362" t="str">
        <f t="shared" si="8"/>
        <v>--</v>
      </c>
      <c r="U33" s="219">
        <f t="shared" si="9"/>
      </c>
      <c r="V33" s="369">
        <f t="shared" si="10"/>
      </c>
      <c r="W33" s="6"/>
    </row>
    <row r="34" spans="2:23" s="5" customFormat="1" ht="16.5" customHeight="1">
      <c r="B34" s="50"/>
      <c r="C34" s="272"/>
      <c r="D34" s="272"/>
      <c r="E34" s="153"/>
      <c r="F34" s="364"/>
      <c r="G34" s="364"/>
      <c r="H34" s="365"/>
      <c r="I34" s="130">
        <f t="shared" si="0"/>
        <v>89.269</v>
      </c>
      <c r="J34" s="366"/>
      <c r="K34" s="151"/>
      <c r="L34" s="367">
        <f t="shared" si="1"/>
      </c>
      <c r="M34" s="368">
        <f t="shared" si="2"/>
      </c>
      <c r="N34" s="218"/>
      <c r="O34" s="219">
        <f t="shared" si="3"/>
      </c>
      <c r="P34" s="660">
        <f t="shared" si="4"/>
        <v>40</v>
      </c>
      <c r="Q34" s="797" t="str">
        <f t="shared" si="5"/>
        <v>--</v>
      </c>
      <c r="R34" s="189" t="str">
        <f t="shared" si="6"/>
        <v>--</v>
      </c>
      <c r="S34" s="361" t="str">
        <f t="shared" si="7"/>
        <v>--</v>
      </c>
      <c r="T34" s="362" t="str">
        <f t="shared" si="8"/>
        <v>--</v>
      </c>
      <c r="U34" s="219">
        <f t="shared" si="9"/>
      </c>
      <c r="V34" s="369">
        <f t="shared" si="10"/>
      </c>
      <c r="W34" s="6"/>
    </row>
    <row r="35" spans="2:23" s="5" customFormat="1" ht="16.5" customHeight="1">
      <c r="B35" s="50"/>
      <c r="C35" s="272"/>
      <c r="D35" s="272"/>
      <c r="E35" s="272"/>
      <c r="F35" s="364"/>
      <c r="G35" s="364"/>
      <c r="H35" s="365"/>
      <c r="I35" s="130">
        <f t="shared" si="0"/>
        <v>89.269</v>
      </c>
      <c r="J35" s="366"/>
      <c r="K35" s="151"/>
      <c r="L35" s="367">
        <f t="shared" si="1"/>
      </c>
      <c r="M35" s="368">
        <f t="shared" si="2"/>
      </c>
      <c r="N35" s="218"/>
      <c r="O35" s="219">
        <f t="shared" si="3"/>
      </c>
      <c r="P35" s="660">
        <f t="shared" si="4"/>
        <v>40</v>
      </c>
      <c r="Q35" s="797" t="str">
        <f t="shared" si="5"/>
        <v>--</v>
      </c>
      <c r="R35" s="189" t="str">
        <f t="shared" si="6"/>
        <v>--</v>
      </c>
      <c r="S35" s="361" t="str">
        <f t="shared" si="7"/>
        <v>--</v>
      </c>
      <c r="T35" s="362" t="str">
        <f t="shared" si="8"/>
        <v>--</v>
      </c>
      <c r="U35" s="219">
        <f t="shared" si="9"/>
      </c>
      <c r="V35" s="369">
        <f t="shared" si="10"/>
      </c>
      <c r="W35" s="6"/>
    </row>
    <row r="36" spans="2:23" s="5" customFormat="1" ht="16.5" customHeight="1">
      <c r="B36" s="50"/>
      <c r="C36" s="272"/>
      <c r="D36" s="272"/>
      <c r="E36" s="153"/>
      <c r="F36" s="364"/>
      <c r="G36" s="364"/>
      <c r="H36" s="365"/>
      <c r="I36" s="130">
        <f t="shared" si="0"/>
        <v>89.269</v>
      </c>
      <c r="J36" s="366"/>
      <c r="K36" s="151"/>
      <c r="L36" s="367">
        <f t="shared" si="1"/>
      </c>
      <c r="M36" s="368">
        <f t="shared" si="2"/>
      </c>
      <c r="N36" s="218"/>
      <c r="O36" s="219">
        <f t="shared" si="3"/>
      </c>
      <c r="P36" s="660">
        <f t="shared" si="4"/>
        <v>40</v>
      </c>
      <c r="Q36" s="797" t="str">
        <f t="shared" si="5"/>
        <v>--</v>
      </c>
      <c r="R36" s="189" t="str">
        <f t="shared" si="6"/>
        <v>--</v>
      </c>
      <c r="S36" s="361" t="str">
        <f t="shared" si="7"/>
        <v>--</v>
      </c>
      <c r="T36" s="362" t="str">
        <f t="shared" si="8"/>
        <v>--</v>
      </c>
      <c r="U36" s="219">
        <f t="shared" si="9"/>
      </c>
      <c r="V36" s="369">
        <f t="shared" si="10"/>
      </c>
      <c r="W36" s="6"/>
    </row>
    <row r="37" spans="2:23" s="5" customFormat="1" ht="16.5" customHeight="1">
      <c r="B37" s="50"/>
      <c r="C37" s="272"/>
      <c r="D37" s="272"/>
      <c r="E37" s="272"/>
      <c r="F37" s="364"/>
      <c r="G37" s="364"/>
      <c r="H37" s="365"/>
      <c r="I37" s="130">
        <f t="shared" si="0"/>
        <v>89.269</v>
      </c>
      <c r="J37" s="366"/>
      <c r="K37" s="151"/>
      <c r="L37" s="367">
        <f t="shared" si="1"/>
      </c>
      <c r="M37" s="368">
        <f t="shared" si="2"/>
      </c>
      <c r="N37" s="218"/>
      <c r="O37" s="219">
        <f t="shared" si="3"/>
      </c>
      <c r="P37" s="660">
        <f t="shared" si="4"/>
        <v>40</v>
      </c>
      <c r="Q37" s="797" t="str">
        <f t="shared" si="5"/>
        <v>--</v>
      </c>
      <c r="R37" s="189" t="str">
        <f t="shared" si="6"/>
        <v>--</v>
      </c>
      <c r="S37" s="361" t="str">
        <f t="shared" si="7"/>
        <v>--</v>
      </c>
      <c r="T37" s="362" t="str">
        <f t="shared" si="8"/>
        <v>--</v>
      </c>
      <c r="U37" s="219">
        <f t="shared" si="9"/>
      </c>
      <c r="V37" s="369">
        <f t="shared" si="10"/>
      </c>
      <c r="W37" s="6"/>
    </row>
    <row r="38" spans="2:23" s="5" customFormat="1" ht="16.5" customHeight="1">
      <c r="B38" s="50"/>
      <c r="C38" s="272"/>
      <c r="D38" s="272"/>
      <c r="E38" s="153"/>
      <c r="F38" s="364"/>
      <c r="G38" s="364"/>
      <c r="H38" s="365"/>
      <c r="I38" s="130">
        <f t="shared" si="0"/>
        <v>89.269</v>
      </c>
      <c r="J38" s="366"/>
      <c r="K38" s="151"/>
      <c r="L38" s="367">
        <f t="shared" si="1"/>
      </c>
      <c r="M38" s="368">
        <f t="shared" si="2"/>
      </c>
      <c r="N38" s="218"/>
      <c r="O38" s="219">
        <f t="shared" si="3"/>
      </c>
      <c r="P38" s="660">
        <f t="shared" si="4"/>
        <v>40</v>
      </c>
      <c r="Q38" s="797" t="str">
        <f t="shared" si="5"/>
        <v>--</v>
      </c>
      <c r="R38" s="189" t="str">
        <f t="shared" si="6"/>
        <v>--</v>
      </c>
      <c r="S38" s="361" t="str">
        <f t="shared" si="7"/>
        <v>--</v>
      </c>
      <c r="T38" s="362" t="str">
        <f t="shared" si="8"/>
        <v>--</v>
      </c>
      <c r="U38" s="219">
        <f t="shared" si="9"/>
      </c>
      <c r="V38" s="369">
        <f t="shared" si="10"/>
      </c>
      <c r="W38" s="6"/>
    </row>
    <row r="39" spans="2:23" s="5" customFormat="1" ht="16.5" customHeight="1">
      <c r="B39" s="50"/>
      <c r="C39" s="272"/>
      <c r="D39" s="272"/>
      <c r="E39" s="272"/>
      <c r="F39" s="364"/>
      <c r="G39" s="364"/>
      <c r="H39" s="365"/>
      <c r="I39" s="130">
        <f t="shared" si="0"/>
        <v>89.269</v>
      </c>
      <c r="J39" s="366"/>
      <c r="K39" s="151"/>
      <c r="L39" s="367">
        <f t="shared" si="1"/>
      </c>
      <c r="M39" s="368">
        <f t="shared" si="2"/>
      </c>
      <c r="N39" s="218"/>
      <c r="O39" s="219">
        <f t="shared" si="3"/>
      </c>
      <c r="P39" s="660">
        <f t="shared" si="4"/>
        <v>40</v>
      </c>
      <c r="Q39" s="797" t="str">
        <f t="shared" si="5"/>
        <v>--</v>
      </c>
      <c r="R39" s="189" t="str">
        <f t="shared" si="6"/>
        <v>--</v>
      </c>
      <c r="S39" s="361" t="str">
        <f t="shared" si="7"/>
        <v>--</v>
      </c>
      <c r="T39" s="362" t="str">
        <f t="shared" si="8"/>
        <v>--</v>
      </c>
      <c r="U39" s="219">
        <f t="shared" si="9"/>
      </c>
      <c r="V39" s="369">
        <f t="shared" si="10"/>
      </c>
      <c r="W39" s="6"/>
    </row>
    <row r="40" spans="2:23" s="5" customFormat="1" ht="16.5" customHeight="1">
      <c r="B40" s="50"/>
      <c r="C40" s="272"/>
      <c r="D40" s="272"/>
      <c r="E40" s="153"/>
      <c r="F40" s="364"/>
      <c r="G40" s="364"/>
      <c r="H40" s="365"/>
      <c r="I40" s="130">
        <f t="shared" si="0"/>
        <v>89.269</v>
      </c>
      <c r="J40" s="366"/>
      <c r="K40" s="151"/>
      <c r="L40" s="367">
        <f t="shared" si="1"/>
      </c>
      <c r="M40" s="368">
        <f t="shared" si="2"/>
      </c>
      <c r="N40" s="218"/>
      <c r="O40" s="219">
        <f t="shared" si="3"/>
      </c>
      <c r="P40" s="660">
        <f t="shared" si="4"/>
        <v>40</v>
      </c>
      <c r="Q40" s="797" t="str">
        <f t="shared" si="5"/>
        <v>--</v>
      </c>
      <c r="R40" s="189" t="str">
        <f t="shared" si="6"/>
        <v>--</v>
      </c>
      <c r="S40" s="361" t="str">
        <f t="shared" si="7"/>
        <v>--</v>
      </c>
      <c r="T40" s="362" t="str">
        <f t="shared" si="8"/>
        <v>--</v>
      </c>
      <c r="U40" s="219">
        <f t="shared" si="9"/>
      </c>
      <c r="V40" s="369">
        <f t="shared" si="10"/>
      </c>
      <c r="W40" s="6"/>
    </row>
    <row r="41" spans="2:23" s="5" customFormat="1" ht="16.5" customHeight="1">
      <c r="B41" s="50"/>
      <c r="C41" s="272"/>
      <c r="D41" s="272"/>
      <c r="E41" s="272"/>
      <c r="F41" s="364"/>
      <c r="G41" s="364"/>
      <c r="H41" s="365"/>
      <c r="I41" s="130">
        <f t="shared" si="0"/>
        <v>89.269</v>
      </c>
      <c r="J41" s="366"/>
      <c r="K41" s="151"/>
      <c r="L41" s="367">
        <f t="shared" si="1"/>
      </c>
      <c r="M41" s="368">
        <f t="shared" si="2"/>
      </c>
      <c r="N41" s="218"/>
      <c r="O41" s="219">
        <f t="shared" si="3"/>
      </c>
      <c r="P41" s="660">
        <f t="shared" si="4"/>
        <v>40</v>
      </c>
      <c r="Q41" s="797" t="str">
        <f t="shared" si="5"/>
        <v>--</v>
      </c>
      <c r="R41" s="189" t="str">
        <f t="shared" si="6"/>
        <v>--</v>
      </c>
      <c r="S41" s="361" t="str">
        <f t="shared" si="7"/>
        <v>--</v>
      </c>
      <c r="T41" s="362" t="str">
        <f t="shared" si="8"/>
        <v>--</v>
      </c>
      <c r="U41" s="219">
        <f t="shared" si="9"/>
      </c>
      <c r="V41" s="369">
        <f t="shared" si="10"/>
      </c>
      <c r="W41" s="6"/>
    </row>
    <row r="42" spans="2:23" s="5" customFormat="1" ht="16.5" customHeight="1">
      <c r="B42" s="50"/>
      <c r="C42" s="272"/>
      <c r="D42" s="272"/>
      <c r="E42" s="153"/>
      <c r="F42" s="364"/>
      <c r="G42" s="364"/>
      <c r="H42" s="365"/>
      <c r="I42" s="130">
        <f t="shared" si="0"/>
        <v>89.269</v>
      </c>
      <c r="J42" s="366"/>
      <c r="K42" s="151"/>
      <c r="L42" s="367">
        <f t="shared" si="1"/>
      </c>
      <c r="M42" s="368">
        <f t="shared" si="2"/>
      </c>
      <c r="N42" s="218"/>
      <c r="O42" s="219">
        <f t="shared" si="3"/>
      </c>
      <c r="P42" s="660">
        <f t="shared" si="4"/>
        <v>40</v>
      </c>
      <c r="Q42" s="797" t="str">
        <f t="shared" si="5"/>
        <v>--</v>
      </c>
      <c r="R42" s="189" t="str">
        <f t="shared" si="6"/>
        <v>--</v>
      </c>
      <c r="S42" s="361" t="str">
        <f t="shared" si="7"/>
        <v>--</v>
      </c>
      <c r="T42" s="362" t="str">
        <f t="shared" si="8"/>
        <v>--</v>
      </c>
      <c r="U42" s="219">
        <f t="shared" si="9"/>
      </c>
      <c r="V42" s="369">
        <f t="shared" si="10"/>
      </c>
      <c r="W42" s="6"/>
    </row>
    <row r="43" spans="2:23" s="5" customFormat="1" ht="16.5" customHeight="1">
      <c r="B43" s="50"/>
      <c r="C43" s="272"/>
      <c r="D43" s="272"/>
      <c r="E43" s="272"/>
      <c r="F43" s="364"/>
      <c r="G43" s="364"/>
      <c r="H43" s="365"/>
      <c r="I43" s="130">
        <f t="shared" si="0"/>
        <v>89.269</v>
      </c>
      <c r="J43" s="366"/>
      <c r="K43" s="151"/>
      <c r="L43" s="367">
        <f t="shared" si="1"/>
      </c>
      <c r="M43" s="368">
        <f t="shared" si="2"/>
      </c>
      <c r="N43" s="218"/>
      <c r="O43" s="219">
        <f t="shared" si="3"/>
      </c>
      <c r="P43" s="660">
        <f t="shared" si="4"/>
        <v>40</v>
      </c>
      <c r="Q43" s="797" t="str">
        <f t="shared" si="5"/>
        <v>--</v>
      </c>
      <c r="R43" s="189" t="str">
        <f t="shared" si="6"/>
        <v>--</v>
      </c>
      <c r="S43" s="361" t="str">
        <f t="shared" si="7"/>
        <v>--</v>
      </c>
      <c r="T43" s="362" t="str">
        <f t="shared" si="8"/>
        <v>--</v>
      </c>
      <c r="U43" s="219">
        <f t="shared" si="9"/>
      </c>
      <c r="V43" s="369">
        <f t="shared" si="10"/>
      </c>
      <c r="W43" s="6"/>
    </row>
    <row r="44" spans="2:23" s="5" customFormat="1" ht="16.5" customHeight="1" thickBot="1">
      <c r="B44" s="50"/>
      <c r="C44" s="226"/>
      <c r="D44" s="226"/>
      <c r="E44" s="226"/>
      <c r="F44" s="226"/>
      <c r="G44" s="226"/>
      <c r="H44" s="226"/>
      <c r="I44" s="131"/>
      <c r="J44" s="370"/>
      <c r="K44" s="370"/>
      <c r="L44" s="371"/>
      <c r="M44" s="371"/>
      <c r="N44" s="370"/>
      <c r="O44" s="152"/>
      <c r="P44" s="372"/>
      <c r="Q44" s="373"/>
      <c r="R44" s="374"/>
      <c r="S44" s="375"/>
      <c r="T44" s="158"/>
      <c r="U44" s="152"/>
      <c r="V44" s="376"/>
      <c r="W44" s="6"/>
    </row>
    <row r="45" spans="2:23" s="5" customFormat="1" ht="16.5" customHeight="1" thickBot="1" thickTop="1">
      <c r="B45" s="50"/>
      <c r="C45" s="127" t="s">
        <v>24</v>
      </c>
      <c r="D45" s="73" t="s">
        <v>328</v>
      </c>
      <c r="E45" s="127"/>
      <c r="F45" s="128"/>
      <c r="G45"/>
      <c r="H45" s="4"/>
      <c r="I45" s="4"/>
      <c r="J45" s="4"/>
      <c r="K45" s="4"/>
      <c r="L45" s="4"/>
      <c r="M45" s="4"/>
      <c r="N45" s="4"/>
      <c r="O45" s="4"/>
      <c r="P45" s="4"/>
      <c r="Q45" s="377">
        <f>SUM(Q22:Q44)</f>
        <v>48269.953120000006</v>
      </c>
      <c r="R45" s="378">
        <f>SUM(R22:R44)</f>
        <v>0</v>
      </c>
      <c r="S45" s="379">
        <f>SUM(S22:S44)</f>
        <v>0</v>
      </c>
      <c r="T45" s="380">
        <f>SUM(T22:T44)</f>
        <v>0</v>
      </c>
      <c r="U45" s="381"/>
      <c r="V45" s="100">
        <f>ROUND(SUM(V22:V44),2)</f>
        <v>92153.53</v>
      </c>
      <c r="W45" s="6"/>
    </row>
    <row r="46" spans="2:23" s="5" customFormat="1" ht="16.5" customHeight="1" thickBot="1" thickTop="1"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6"/>
    </row>
    <row r="47" spans="23:25" ht="16.5" customHeight="1" thickTop="1">
      <c r="W47" s="173"/>
      <c r="X47" s="173"/>
      <c r="Y47" s="173"/>
    </row>
    <row r="48" spans="23:25" ht="16.5" customHeight="1">
      <c r="W48" s="173"/>
      <c r="X48" s="173"/>
      <c r="Y48" s="173"/>
    </row>
    <row r="49" spans="23:25" ht="16.5" customHeight="1">
      <c r="W49" s="173"/>
      <c r="X49" s="173"/>
      <c r="Y49" s="173"/>
    </row>
    <row r="50" spans="23:25" ht="16.5" customHeight="1">
      <c r="W50" s="173"/>
      <c r="X50" s="173"/>
      <c r="Y50" s="173"/>
    </row>
    <row r="51" spans="23:25" ht="16.5" customHeight="1">
      <c r="W51" s="173"/>
      <c r="X51" s="173"/>
      <c r="Y51" s="173"/>
    </row>
    <row r="52" spans="6:25" ht="16.5" customHeight="1"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</row>
    <row r="53" spans="6:25" ht="16.5" customHeight="1"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</row>
    <row r="54" spans="6:25" ht="16.5" customHeight="1"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</row>
    <row r="55" spans="6:25" ht="16.5" customHeight="1"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</row>
    <row r="56" spans="6:25" ht="16.5" customHeight="1"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</row>
    <row r="57" spans="6:25" ht="16.5" customHeight="1"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</row>
    <row r="58" spans="6:25" ht="16.5" customHeight="1"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</row>
    <row r="59" spans="6:25" ht="16.5" customHeight="1"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</row>
    <row r="60" spans="6:25" ht="16.5" customHeight="1"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</row>
    <row r="61" spans="6:25" ht="16.5" customHeight="1"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</row>
    <row r="62" spans="6:25" ht="16.5" customHeight="1"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</row>
    <row r="63" spans="6:25" ht="16.5" customHeight="1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</row>
    <row r="64" spans="6:25" ht="16.5" customHeight="1"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</row>
    <row r="65" spans="6:25" ht="16.5" customHeight="1"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</row>
    <row r="66" spans="6:25" ht="16.5" customHeight="1"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</row>
    <row r="67" spans="6:25" ht="16.5" customHeight="1"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</row>
    <row r="68" spans="6:25" ht="16.5" customHeight="1"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</row>
    <row r="69" spans="6:25" ht="16.5" customHeight="1"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</row>
    <row r="70" spans="6:25" ht="16.5" customHeight="1"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</row>
    <row r="71" spans="6:25" ht="16.5" customHeight="1"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</row>
    <row r="72" spans="6:25" ht="16.5" customHeight="1"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</row>
    <row r="73" spans="6:25" ht="16.5" customHeight="1"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</row>
    <row r="74" spans="6:25" ht="16.5" customHeight="1"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</row>
    <row r="75" spans="6:25" ht="16.5" customHeight="1"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</row>
    <row r="76" spans="6:25" ht="16.5" customHeight="1"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</row>
    <row r="77" spans="6:25" ht="16.5" customHeight="1"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</row>
    <row r="78" spans="6:25" ht="16.5" customHeight="1"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</row>
    <row r="79" spans="6:25" ht="16.5" customHeight="1"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</row>
    <row r="80" spans="6:25" ht="16.5" customHeight="1"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</row>
    <row r="81" spans="6:25" ht="16.5" customHeight="1"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</row>
    <row r="82" spans="6:25" ht="16.5" customHeight="1"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</row>
    <row r="83" spans="6:25" ht="16.5" customHeight="1"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</row>
    <row r="84" spans="6:25" ht="16.5" customHeight="1"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</row>
    <row r="85" spans="6:25" ht="16.5" customHeight="1"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</row>
    <row r="86" spans="6:25" ht="16.5" customHeight="1"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</row>
    <row r="87" spans="6:25" ht="16.5" customHeight="1"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</row>
    <row r="88" spans="6:25" ht="16.5" customHeight="1"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</row>
    <row r="89" spans="6:25" ht="16.5" customHeight="1"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</row>
    <row r="90" spans="6:25" ht="16.5" customHeight="1"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</row>
    <row r="91" spans="6:25" ht="16.5" customHeight="1"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</row>
    <row r="92" spans="6:25" ht="16.5" customHeight="1"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</row>
    <row r="93" spans="6:25" ht="16.5" customHeight="1"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</row>
    <row r="94" spans="6:25" ht="16.5" customHeight="1"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</row>
    <row r="95" spans="6:25" ht="16.5" customHeight="1"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</row>
    <row r="96" spans="6:25" ht="16.5" customHeight="1"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</row>
    <row r="97" spans="6:25" ht="16.5" customHeight="1"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</row>
    <row r="98" spans="6:25" ht="16.5" customHeight="1"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</row>
    <row r="99" spans="6:25" ht="16.5" customHeight="1"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</row>
    <row r="100" spans="6:25" ht="16.5" customHeight="1"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</row>
    <row r="101" spans="6:25" ht="16.5" customHeight="1"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</row>
    <row r="102" spans="6:25" ht="16.5" customHeight="1"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</row>
    <row r="103" spans="6:25" ht="16.5" customHeight="1"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</row>
    <row r="104" spans="6:25" ht="16.5" customHeight="1"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</row>
    <row r="105" spans="6:25" ht="16.5" customHeight="1"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</row>
    <row r="106" spans="6:25" ht="16.5" customHeight="1"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</row>
    <row r="107" spans="6:25" ht="16.5" customHeight="1"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</row>
    <row r="108" spans="6:25" ht="16.5" customHeight="1"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</row>
    <row r="109" spans="6:25" ht="16.5" customHeight="1"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</row>
    <row r="110" spans="6:25" ht="16.5" customHeight="1"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</row>
    <row r="111" spans="6:25" ht="16.5" customHeight="1"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</row>
    <row r="112" spans="6:25" ht="16.5" customHeight="1"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</row>
    <row r="113" spans="6:25" ht="16.5" customHeight="1"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</row>
    <row r="114" spans="6:25" ht="16.5" customHeight="1"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</row>
    <row r="115" spans="6:25" ht="16.5" customHeight="1"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</row>
    <row r="116" spans="6:25" ht="16.5" customHeight="1"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</row>
    <row r="117" spans="6:25" ht="16.5" customHeight="1"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</row>
    <row r="118" spans="6:25" ht="16.5" customHeight="1"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</row>
    <row r="119" spans="6:25" ht="16.5" customHeight="1"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</row>
    <row r="120" spans="6:25" ht="16.5" customHeight="1"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</row>
    <row r="121" spans="6:25" ht="16.5" customHeight="1"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</row>
    <row r="122" spans="6:25" ht="16.5" customHeight="1"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</row>
    <row r="123" spans="6:25" ht="16.5" customHeight="1"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</row>
    <row r="124" spans="6:25" ht="16.5" customHeight="1"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</row>
    <row r="125" spans="6:25" ht="16.5" customHeight="1"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</row>
    <row r="126" spans="6:25" ht="16.5" customHeight="1"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</row>
    <row r="127" spans="6:25" ht="16.5" customHeight="1"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</row>
    <row r="128" spans="6:25" ht="16.5" customHeight="1"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</row>
    <row r="129" spans="6:25" ht="16.5" customHeight="1"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</row>
    <row r="130" spans="6:25" ht="16.5" customHeight="1"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</row>
    <row r="131" spans="6:25" ht="16.5" customHeight="1"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</row>
    <row r="132" spans="6:25" ht="16.5" customHeight="1"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</row>
    <row r="133" spans="6:25" ht="16.5" customHeight="1"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</row>
    <row r="134" spans="6:25" ht="16.5" customHeight="1"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</row>
    <row r="135" spans="6:25" ht="16.5" customHeight="1"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</row>
    <row r="136" spans="6:25" ht="16.5" customHeight="1"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</row>
    <row r="137" spans="6:25" ht="16.5" customHeight="1"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</row>
    <row r="138" spans="6:25" ht="16.5" customHeight="1"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</row>
    <row r="139" spans="6:25" ht="16.5" customHeight="1"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</row>
    <row r="140" spans="6:25" ht="16.5" customHeight="1"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</row>
    <row r="141" spans="6:25" ht="16.5" customHeight="1"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</row>
    <row r="142" spans="6:25" ht="16.5" customHeight="1"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</row>
    <row r="143" spans="6:25" ht="16.5" customHeight="1"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</row>
    <row r="144" spans="6:25" ht="16.5" customHeight="1"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</row>
    <row r="145" spans="6:25" ht="16.5" customHeight="1"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</row>
    <row r="146" spans="6:25" ht="16.5" customHeight="1"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</row>
    <row r="147" spans="6:25" ht="16.5" customHeight="1"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</row>
    <row r="148" spans="6:25" ht="16.5" customHeight="1"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</row>
    <row r="149" spans="6:25" ht="16.5" customHeight="1"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</row>
    <row r="150" spans="6:25" ht="16.5" customHeight="1"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</row>
    <row r="151" spans="6:25" ht="16.5" customHeight="1"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</row>
    <row r="152" spans="6:25" ht="16.5" customHeight="1"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</row>
    <row r="153" spans="6:25" ht="16.5" customHeight="1"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</row>
    <row r="154" spans="6:25" ht="16.5" customHeight="1"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</row>
    <row r="155" spans="6:25" ht="16.5" customHeight="1"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</row>
    <row r="156" spans="6:25" ht="16.5" customHeight="1"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</row>
    <row r="157" spans="6:25" ht="16.5" customHeight="1"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  <c r="V157" s="173"/>
      <c r="W157" s="173"/>
      <c r="X157" s="173"/>
      <c r="Y157" s="173"/>
    </row>
    <row r="158" spans="6:25" ht="16.5" customHeight="1"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</row>
    <row r="159" spans="6:25" ht="16.5" customHeight="1"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0" r:id="rId4"/>
  <headerFooter alignWithMargins="0">
    <oddFooter>&amp;L&amp;"Times New Roman,Normal"&amp;8&amp;F-&amp;A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1">
    <pageSetUpPr fitToPage="1"/>
  </sheetPr>
  <dimension ref="A1:Y157"/>
  <sheetViews>
    <sheetView zoomScale="70" zoomScaleNormal="70" zoomScalePageLayoutView="0" workbookViewId="0" topLeftCell="A9">
      <selection activeCell="G35" sqref="G35"/>
    </sheetView>
  </sheetViews>
  <sheetFormatPr defaultColWidth="11.421875" defaultRowHeight="16.5" customHeight="1"/>
  <cols>
    <col min="1" max="2" width="4.140625" style="0" customWidth="1"/>
    <col min="3" max="3" width="5.57421875" style="0" customWidth="1"/>
    <col min="4" max="5" width="13.57421875" style="0" customWidth="1"/>
    <col min="6" max="6" width="40.57421875" style="0" customWidth="1"/>
    <col min="7" max="7" width="40.7109375" style="0" customWidth="1"/>
    <col min="8" max="8" width="9.7109375" style="0" customWidth="1"/>
    <col min="9" max="9" width="14.28125" style="0" hidden="1" customWidth="1"/>
    <col min="10" max="11" width="15.7109375" style="0" customWidth="1"/>
    <col min="12" max="14" width="9.7109375" style="0" customWidth="1"/>
    <col min="15" max="15" width="6.421875" style="0" customWidth="1"/>
    <col min="16" max="16" width="12.00390625" style="0" hidden="1" customWidth="1"/>
    <col min="17" max="17" width="16.28125" style="0" hidden="1" customWidth="1"/>
    <col min="18" max="18" width="17.140625" style="0" hidden="1" customWidth="1"/>
    <col min="19" max="20" width="15.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8" customFormat="1" ht="26.25">
      <c r="W1" s="144"/>
    </row>
    <row r="2" spans="1:23" s="18" customFormat="1" ht="26.25">
      <c r="A2" s="91"/>
      <c r="B2" s="19" t="str">
        <f>+'TOT-0111'!B2</f>
        <v>ANEXO II al Memorándum D.T.E.E. N°  1088 / 2012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="5" customFormat="1" ht="17.25" customHeight="1">
      <c r="A3" s="90"/>
    </row>
    <row r="4" spans="1:4" s="25" customFormat="1" ht="11.25">
      <c r="A4" s="23" t="s">
        <v>1</v>
      </c>
      <c r="B4" s="124"/>
      <c r="C4" s="124"/>
      <c r="D4" s="124"/>
    </row>
    <row r="5" spans="1:4" s="25" customFormat="1" ht="11.25">
      <c r="A5" s="23" t="s">
        <v>2</v>
      </c>
      <c r="B5" s="124"/>
      <c r="C5" s="124"/>
      <c r="D5" s="124"/>
    </row>
    <row r="6" s="5" customFormat="1" ht="13.5" thickBot="1"/>
    <row r="7" spans="2:23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</row>
    <row r="8" spans="2:23" s="29" customFormat="1" ht="20.25">
      <c r="B8" s="79"/>
      <c r="C8" s="30"/>
      <c r="D8" s="30"/>
      <c r="E8" s="30"/>
      <c r="F8" s="12" t="s">
        <v>67</v>
      </c>
      <c r="N8" s="105"/>
      <c r="O8" s="105"/>
      <c r="P8" s="96"/>
      <c r="Q8" s="30"/>
      <c r="R8" s="30"/>
      <c r="S8" s="30"/>
      <c r="T8" s="30"/>
      <c r="U8" s="30"/>
      <c r="V8" s="30"/>
      <c r="W8" s="80"/>
    </row>
    <row r="9" spans="2:23" s="5" customFormat="1" ht="12.75">
      <c r="B9" s="50"/>
      <c r="C9" s="4"/>
      <c r="D9" s="4"/>
      <c r="E9" s="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/>
      <c r="R9" s="4"/>
      <c r="S9" s="4"/>
      <c r="T9" s="4"/>
      <c r="U9" s="4"/>
      <c r="V9" s="4"/>
      <c r="W9" s="6"/>
    </row>
    <row r="10" spans="2:23" s="761" customFormat="1" ht="33" customHeight="1">
      <c r="B10" s="762"/>
      <c r="C10" s="760"/>
      <c r="D10" s="760"/>
      <c r="E10" s="760"/>
      <c r="F10" s="780" t="s">
        <v>203</v>
      </c>
      <c r="G10" s="781"/>
      <c r="H10" s="782"/>
      <c r="I10" s="783"/>
      <c r="K10" s="783"/>
      <c r="L10" s="783"/>
      <c r="M10" s="783"/>
      <c r="N10" s="783"/>
      <c r="O10" s="783"/>
      <c r="P10" s="783"/>
      <c r="Q10" s="760"/>
      <c r="R10" s="760"/>
      <c r="S10" s="760"/>
      <c r="T10" s="760"/>
      <c r="U10" s="760"/>
      <c r="V10" s="760"/>
      <c r="W10" s="784"/>
    </row>
    <row r="11" spans="2:23" s="763" customFormat="1" ht="33" customHeight="1">
      <c r="B11" s="764"/>
      <c r="C11" s="765"/>
      <c r="D11" s="765"/>
      <c r="E11" s="765"/>
      <c r="F11" s="780" t="s">
        <v>206</v>
      </c>
      <c r="G11" s="785"/>
      <c r="H11" s="786"/>
      <c r="I11" s="787"/>
      <c r="J11" s="788"/>
      <c r="K11" s="787"/>
      <c r="L11" s="787"/>
      <c r="M11" s="787"/>
      <c r="N11" s="787"/>
      <c r="O11" s="787"/>
      <c r="P11" s="787"/>
      <c r="Q11" s="765"/>
      <c r="R11" s="765"/>
      <c r="S11" s="765"/>
      <c r="T11" s="765"/>
      <c r="U11" s="765"/>
      <c r="V11" s="765"/>
      <c r="W11" s="789"/>
    </row>
    <row r="12" spans="2:23" s="5" customFormat="1" ht="19.5">
      <c r="B12" s="37" t="str">
        <f>'TOT-0111'!B14</f>
        <v>Desde el 01 al 31 de enero de 2011</v>
      </c>
      <c r="C12" s="40"/>
      <c r="D12" s="40"/>
      <c r="E12" s="40"/>
      <c r="F12" s="40"/>
      <c r="G12" s="40"/>
      <c r="H12" s="40"/>
      <c r="I12" s="332"/>
      <c r="J12" s="332"/>
      <c r="K12" s="332"/>
      <c r="L12" s="332"/>
      <c r="M12" s="332"/>
      <c r="N12" s="332"/>
      <c r="O12" s="332"/>
      <c r="P12" s="332"/>
      <c r="Q12" s="40"/>
      <c r="R12" s="40"/>
      <c r="S12" s="40"/>
      <c r="T12" s="40"/>
      <c r="U12" s="40"/>
      <c r="V12" s="40"/>
      <c r="W12" s="333"/>
    </row>
    <row r="13" spans="2:23" s="5" customFormat="1" ht="14.25" thickBot="1">
      <c r="B13" s="334"/>
      <c r="C13" s="335"/>
      <c r="D13" s="335"/>
      <c r="E13" s="335"/>
      <c r="F13" s="335"/>
      <c r="G13" s="335"/>
      <c r="H13" s="335"/>
      <c r="I13" s="336"/>
      <c r="J13" s="336"/>
      <c r="K13" s="336"/>
      <c r="L13" s="336"/>
      <c r="M13" s="336"/>
      <c r="N13" s="336"/>
      <c r="O13" s="336"/>
      <c r="P13" s="336"/>
      <c r="Q13" s="335"/>
      <c r="R13" s="335"/>
      <c r="S13" s="335"/>
      <c r="T13" s="335"/>
      <c r="U13" s="335"/>
      <c r="V13" s="335"/>
      <c r="W13" s="337"/>
    </row>
    <row r="14" spans="2:23" s="5" customFormat="1" ht="15" thickBot="1" thickTop="1">
      <c r="B14" s="50"/>
      <c r="C14" s="4"/>
      <c r="D14" s="4"/>
      <c r="E14" s="4"/>
      <c r="F14" s="338"/>
      <c r="G14" s="338"/>
      <c r="H14" s="117" t="s">
        <v>78</v>
      </c>
      <c r="I14" s="4"/>
      <c r="J14" s="5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6"/>
    </row>
    <row r="15" spans="2:23" s="5" customFormat="1" ht="16.5" customHeight="1" thickBot="1" thickTop="1">
      <c r="B15" s="50"/>
      <c r="C15" s="4"/>
      <c r="D15" s="4"/>
      <c r="E15" s="4"/>
      <c r="F15" s="339" t="s">
        <v>79</v>
      </c>
      <c r="G15" s="340">
        <v>40.838</v>
      </c>
      <c r="H15" s="341">
        <v>200</v>
      </c>
      <c r="V15" s="115"/>
      <c r="W15" s="6"/>
    </row>
    <row r="16" spans="2:23" s="5" customFormat="1" ht="16.5" customHeight="1" thickBot="1" thickTop="1">
      <c r="B16" s="50"/>
      <c r="C16" s="4"/>
      <c r="D16" s="4"/>
      <c r="E16" s="4"/>
      <c r="F16" s="342" t="s">
        <v>80</v>
      </c>
      <c r="G16" s="343" t="s">
        <v>231</v>
      </c>
      <c r="H16" s="341">
        <v>100</v>
      </c>
      <c r="O16" s="4"/>
      <c r="P16" s="4"/>
      <c r="Q16" s="4"/>
      <c r="R16" s="4"/>
      <c r="S16" s="4"/>
      <c r="T16" s="4"/>
      <c r="U16" s="4"/>
      <c r="V16" s="4"/>
      <c r="W16" s="6"/>
    </row>
    <row r="17" spans="2:23" s="5" customFormat="1" ht="16.5" customHeight="1" thickBot="1" thickTop="1">
      <c r="B17" s="50"/>
      <c r="C17" s="4"/>
      <c r="D17" s="4"/>
      <c r="E17" s="4"/>
      <c r="F17" s="344" t="s">
        <v>81</v>
      </c>
      <c r="G17" s="382">
        <v>32.672</v>
      </c>
      <c r="H17" s="341">
        <v>40</v>
      </c>
      <c r="O17" s="4"/>
      <c r="Q17" s="4"/>
      <c r="R17" s="4"/>
      <c r="S17" s="4"/>
      <c r="T17" s="4"/>
      <c r="U17" s="4"/>
      <c r="V17" s="4"/>
      <c r="W17" s="6"/>
    </row>
    <row r="18" spans="2:23" s="5" customFormat="1" ht="16.5" customHeight="1" thickBot="1" thickTop="1">
      <c r="B18" s="50"/>
      <c r="C18" s="824">
        <v>3</v>
      </c>
      <c r="D18" s="824">
        <v>4</v>
      </c>
      <c r="E18" s="824">
        <v>5</v>
      </c>
      <c r="F18" s="824">
        <v>6</v>
      </c>
      <c r="G18" s="824">
        <v>7</v>
      </c>
      <c r="H18" s="824">
        <v>8</v>
      </c>
      <c r="I18" s="824">
        <v>9</v>
      </c>
      <c r="J18" s="824">
        <v>10</v>
      </c>
      <c r="K18" s="824">
        <v>11</v>
      </c>
      <c r="L18" s="824">
        <v>12</v>
      </c>
      <c r="M18" s="824">
        <v>13</v>
      </c>
      <c r="N18" s="824">
        <v>14</v>
      </c>
      <c r="O18" s="824">
        <v>15</v>
      </c>
      <c r="P18" s="824">
        <v>16</v>
      </c>
      <c r="Q18" s="824">
        <v>17</v>
      </c>
      <c r="R18" s="824">
        <v>18</v>
      </c>
      <c r="S18" s="824">
        <v>19</v>
      </c>
      <c r="T18" s="824">
        <v>20</v>
      </c>
      <c r="U18" s="824">
        <v>21</v>
      </c>
      <c r="V18" s="824">
        <v>22</v>
      </c>
      <c r="W18" s="6"/>
    </row>
    <row r="19" spans="2:23" s="5" customFormat="1" ht="33.75" customHeight="1" thickBot="1" thickTop="1">
      <c r="B19" s="50"/>
      <c r="C19" s="123" t="s">
        <v>12</v>
      </c>
      <c r="D19" s="84" t="s">
        <v>212</v>
      </c>
      <c r="E19" s="84" t="s">
        <v>213</v>
      </c>
      <c r="F19" s="86" t="s">
        <v>26</v>
      </c>
      <c r="G19" s="345" t="s">
        <v>27</v>
      </c>
      <c r="H19" s="346" t="s">
        <v>13</v>
      </c>
      <c r="I19" s="129" t="s">
        <v>15</v>
      </c>
      <c r="J19" s="85" t="s">
        <v>16</v>
      </c>
      <c r="K19" s="345" t="s">
        <v>17</v>
      </c>
      <c r="L19" s="347" t="s">
        <v>35</v>
      </c>
      <c r="M19" s="347" t="s">
        <v>30</v>
      </c>
      <c r="N19" s="88" t="s">
        <v>18</v>
      </c>
      <c r="O19" s="177" t="s">
        <v>31</v>
      </c>
      <c r="P19" s="135" t="s">
        <v>36</v>
      </c>
      <c r="Q19" s="348" t="s">
        <v>68</v>
      </c>
      <c r="R19" s="178" t="s">
        <v>34</v>
      </c>
      <c r="S19" s="349"/>
      <c r="T19" s="134" t="s">
        <v>21</v>
      </c>
      <c r="U19" s="132" t="s">
        <v>72</v>
      </c>
      <c r="V19" s="121" t="s">
        <v>23</v>
      </c>
      <c r="W19" s="6"/>
    </row>
    <row r="20" spans="2:23" s="5" customFormat="1" ht="16.5" customHeight="1" thickTop="1">
      <c r="B20" s="50"/>
      <c r="C20" s="258"/>
      <c r="D20" s="258"/>
      <c r="E20" s="258"/>
      <c r="F20" s="350"/>
      <c r="G20" s="350"/>
      <c r="H20" s="350"/>
      <c r="I20" s="216"/>
      <c r="J20" s="350"/>
      <c r="K20" s="350"/>
      <c r="L20" s="350"/>
      <c r="M20" s="350"/>
      <c r="N20" s="350"/>
      <c r="O20" s="350"/>
      <c r="P20" s="351"/>
      <c r="Q20" s="352"/>
      <c r="R20" s="353"/>
      <c r="S20" s="354"/>
      <c r="T20" s="355"/>
      <c r="U20" s="350"/>
      <c r="V20" s="356"/>
      <c r="W20" s="6"/>
    </row>
    <row r="21" spans="2:23" s="5" customFormat="1" ht="16.5" customHeight="1">
      <c r="B21" s="50"/>
      <c r="C21" s="272"/>
      <c r="D21" s="272"/>
      <c r="E21" s="272"/>
      <c r="F21" s="357"/>
      <c r="G21" s="357"/>
      <c r="H21" s="357"/>
      <c r="I21" s="358"/>
      <c r="J21" s="357"/>
      <c r="K21" s="357"/>
      <c r="L21" s="357"/>
      <c r="M21" s="357"/>
      <c r="N21" s="357"/>
      <c r="O21" s="357"/>
      <c r="P21" s="359"/>
      <c r="Q21" s="360"/>
      <c r="R21" s="189"/>
      <c r="S21" s="361"/>
      <c r="T21" s="362"/>
      <c r="U21" s="357"/>
      <c r="V21" s="363"/>
      <c r="W21" s="6"/>
    </row>
    <row r="22" spans="2:23" s="5" customFormat="1" ht="16.5" customHeight="1">
      <c r="B22" s="50"/>
      <c r="C22" s="272">
        <v>38</v>
      </c>
      <c r="D22" s="272">
        <v>230164</v>
      </c>
      <c r="E22" s="153">
        <v>2710</v>
      </c>
      <c r="F22" s="364" t="s">
        <v>312</v>
      </c>
      <c r="G22" s="364" t="s">
        <v>313</v>
      </c>
      <c r="H22" s="365">
        <v>132</v>
      </c>
      <c r="I22" s="130">
        <f aca="true" t="shared" si="0" ref="I22:I41">IF(H22=500,$G$15,IF(H22=220,$G$16,$G$17))</f>
        <v>32.672</v>
      </c>
      <c r="J22" s="366">
        <v>40545.32152777778</v>
      </c>
      <c r="K22" s="151">
        <v>40545.73819444444</v>
      </c>
      <c r="L22" s="367">
        <f aca="true" t="shared" si="1" ref="L22:L41">IF(F22="","",(K22-J22)*24)</f>
        <v>9.999999999941792</v>
      </c>
      <c r="M22" s="368">
        <f aca="true" t="shared" si="2" ref="M22:M41">IF(F22="","",ROUND((K22-J22)*24*60,0))</f>
        <v>600</v>
      </c>
      <c r="N22" s="218" t="s">
        <v>275</v>
      </c>
      <c r="O22" s="219" t="str">
        <f aca="true" t="shared" si="3" ref="O22:O41">IF(F22="","",IF(N22="P","--","NO"))</f>
        <v>--</v>
      </c>
      <c r="P22" s="660">
        <f aca="true" t="shared" si="4" ref="P22:P41">IF(H22=500,$H$15,IF(H22=220,$H$16,$H$17))</f>
        <v>40</v>
      </c>
      <c r="Q22" s="797">
        <f aca="true" t="shared" si="5" ref="Q22:Q41">IF(N22="P",I22*P22*ROUND(M22/60,2)*0.1,"--")</f>
        <v>1306.88</v>
      </c>
      <c r="R22" s="189" t="str">
        <f aca="true" t="shared" si="6" ref="R22:R41">IF(AND(N22="F",O22="NO"),I22*P22,"--")</f>
        <v>--</v>
      </c>
      <c r="S22" s="361" t="str">
        <f aca="true" t="shared" si="7" ref="S22:S41">IF(N22="F",I22*P22*ROUND(M22/60,2),"--")</f>
        <v>--</v>
      </c>
      <c r="T22" s="362" t="str">
        <f aca="true" t="shared" si="8" ref="T22:T41">IF(N22="RF",I22*P22*ROUND(M22/60,2),"--")</f>
        <v>--</v>
      </c>
      <c r="U22" s="219" t="s">
        <v>194</v>
      </c>
      <c r="V22" s="369">
        <f aca="true" t="shared" si="9" ref="V22:V41">IF(F22="","",SUM(Q22:T22)*IF(U22="SI",1,2))</f>
        <v>1306.88</v>
      </c>
      <c r="W22" s="6"/>
    </row>
    <row r="23" spans="2:23" s="5" customFormat="1" ht="16.5" customHeight="1">
      <c r="B23" s="50"/>
      <c r="C23" s="272">
        <v>39</v>
      </c>
      <c r="D23" s="272">
        <v>230327</v>
      </c>
      <c r="E23" s="272">
        <v>2588</v>
      </c>
      <c r="F23" s="364" t="s">
        <v>314</v>
      </c>
      <c r="G23" s="364" t="s">
        <v>315</v>
      </c>
      <c r="H23" s="365">
        <v>132</v>
      </c>
      <c r="I23" s="130">
        <f t="shared" si="0"/>
        <v>32.672</v>
      </c>
      <c r="J23" s="366">
        <v>40550.43125</v>
      </c>
      <c r="K23" s="151">
        <v>40550.57152777778</v>
      </c>
      <c r="L23" s="367">
        <f t="shared" si="1"/>
        <v>3.366666666639503</v>
      </c>
      <c r="M23" s="368">
        <f t="shared" si="2"/>
        <v>202</v>
      </c>
      <c r="N23" s="218" t="s">
        <v>275</v>
      </c>
      <c r="O23" s="219" t="str">
        <f t="shared" si="3"/>
        <v>--</v>
      </c>
      <c r="P23" s="660">
        <f t="shared" si="4"/>
        <v>40</v>
      </c>
      <c r="Q23" s="797">
        <f t="shared" si="5"/>
        <v>440.41856</v>
      </c>
      <c r="R23" s="189" t="str">
        <f t="shared" si="6"/>
        <v>--</v>
      </c>
      <c r="S23" s="361" t="str">
        <f t="shared" si="7"/>
        <v>--</v>
      </c>
      <c r="T23" s="362" t="str">
        <f t="shared" si="8"/>
        <v>--</v>
      </c>
      <c r="U23" s="219" t="s">
        <v>194</v>
      </c>
      <c r="V23" s="369">
        <f t="shared" si="9"/>
        <v>440.41856</v>
      </c>
      <c r="W23" s="6"/>
    </row>
    <row r="24" spans="2:23" s="5" customFormat="1" ht="16.5" customHeight="1">
      <c r="B24" s="50"/>
      <c r="C24" s="272">
        <v>40</v>
      </c>
      <c r="D24" s="272">
        <v>230464</v>
      </c>
      <c r="E24" s="153">
        <v>2602</v>
      </c>
      <c r="F24" s="364" t="s">
        <v>312</v>
      </c>
      <c r="G24" s="364" t="s">
        <v>316</v>
      </c>
      <c r="H24" s="365">
        <v>132</v>
      </c>
      <c r="I24" s="130">
        <f t="shared" si="0"/>
        <v>32.672</v>
      </c>
      <c r="J24" s="366">
        <v>40554.436111111114</v>
      </c>
      <c r="K24" s="151">
        <v>40554.44652777778</v>
      </c>
      <c r="L24" s="367">
        <f t="shared" si="1"/>
        <v>0.24999999994179234</v>
      </c>
      <c r="M24" s="368">
        <f t="shared" si="2"/>
        <v>15</v>
      </c>
      <c r="N24" s="218" t="s">
        <v>275</v>
      </c>
      <c r="O24" s="219" t="str">
        <f t="shared" si="3"/>
        <v>--</v>
      </c>
      <c r="P24" s="660">
        <f t="shared" si="4"/>
        <v>40</v>
      </c>
      <c r="Q24" s="797">
        <f t="shared" si="5"/>
        <v>32.672</v>
      </c>
      <c r="R24" s="189" t="str">
        <f t="shared" si="6"/>
        <v>--</v>
      </c>
      <c r="S24" s="361" t="str">
        <f t="shared" si="7"/>
        <v>--</v>
      </c>
      <c r="T24" s="362" t="str">
        <f t="shared" si="8"/>
        <v>--</v>
      </c>
      <c r="U24" s="219" t="s">
        <v>194</v>
      </c>
      <c r="V24" s="369">
        <f t="shared" si="9"/>
        <v>32.672</v>
      </c>
      <c r="W24" s="6"/>
    </row>
    <row r="25" spans="2:23" s="5" customFormat="1" ht="16.5" customHeight="1">
      <c r="B25" s="50"/>
      <c r="C25" s="272">
        <v>41</v>
      </c>
      <c r="D25" s="272">
        <v>230468</v>
      </c>
      <c r="E25" s="272">
        <v>2592</v>
      </c>
      <c r="F25" s="364" t="s">
        <v>317</v>
      </c>
      <c r="G25" s="364" t="s">
        <v>348</v>
      </c>
      <c r="H25" s="365">
        <v>132</v>
      </c>
      <c r="I25" s="130">
        <f t="shared" si="0"/>
        <v>32.672</v>
      </c>
      <c r="J25" s="366">
        <v>40556.34583333333</v>
      </c>
      <c r="K25" s="151">
        <v>40556.78402777778</v>
      </c>
      <c r="L25" s="367">
        <f t="shared" si="1"/>
        <v>10.516666666720994</v>
      </c>
      <c r="M25" s="368">
        <f t="shared" si="2"/>
        <v>631</v>
      </c>
      <c r="N25" s="218" t="s">
        <v>275</v>
      </c>
      <c r="O25" s="219" t="str">
        <f t="shared" si="3"/>
        <v>--</v>
      </c>
      <c r="P25" s="660">
        <f t="shared" si="4"/>
        <v>40</v>
      </c>
      <c r="Q25" s="797">
        <f t="shared" si="5"/>
        <v>1374.83776</v>
      </c>
      <c r="R25" s="189" t="str">
        <f t="shared" si="6"/>
        <v>--</v>
      </c>
      <c r="S25" s="361" t="str">
        <f t="shared" si="7"/>
        <v>--</v>
      </c>
      <c r="T25" s="362" t="str">
        <f t="shared" si="8"/>
        <v>--</v>
      </c>
      <c r="U25" s="219" t="s">
        <v>194</v>
      </c>
      <c r="V25" s="369">
        <f t="shared" si="9"/>
        <v>1374.83776</v>
      </c>
      <c r="W25" s="6"/>
    </row>
    <row r="26" spans="2:23" s="5" customFormat="1" ht="16.5" customHeight="1">
      <c r="B26" s="50"/>
      <c r="C26" s="272">
        <v>42</v>
      </c>
      <c r="D26" s="272">
        <v>230470</v>
      </c>
      <c r="E26" s="153">
        <v>2589</v>
      </c>
      <c r="F26" s="364" t="s">
        <v>314</v>
      </c>
      <c r="G26" s="364" t="s">
        <v>319</v>
      </c>
      <c r="H26" s="365">
        <v>132</v>
      </c>
      <c r="I26" s="130">
        <f t="shared" si="0"/>
        <v>32.672</v>
      </c>
      <c r="J26" s="366">
        <v>40557.345138888886</v>
      </c>
      <c r="K26" s="151">
        <v>40557.73888888889</v>
      </c>
      <c r="L26" s="367">
        <f t="shared" si="1"/>
        <v>9.45000000006985</v>
      </c>
      <c r="M26" s="368">
        <f t="shared" si="2"/>
        <v>567</v>
      </c>
      <c r="N26" s="218" t="s">
        <v>275</v>
      </c>
      <c r="O26" s="219" t="str">
        <f t="shared" si="3"/>
        <v>--</v>
      </c>
      <c r="P26" s="660">
        <f t="shared" si="4"/>
        <v>40</v>
      </c>
      <c r="Q26" s="797">
        <f t="shared" si="5"/>
        <v>1235.0015999999998</v>
      </c>
      <c r="R26" s="189" t="str">
        <f t="shared" si="6"/>
        <v>--</v>
      </c>
      <c r="S26" s="361" t="str">
        <f t="shared" si="7"/>
        <v>--</v>
      </c>
      <c r="T26" s="362" t="str">
        <f t="shared" si="8"/>
        <v>--</v>
      </c>
      <c r="U26" s="219" t="s">
        <v>194</v>
      </c>
      <c r="V26" s="369">
        <f t="shared" si="9"/>
        <v>1235.0015999999998</v>
      </c>
      <c r="W26" s="6"/>
    </row>
    <row r="27" spans="2:23" s="5" customFormat="1" ht="16.5" customHeight="1">
      <c r="B27" s="50"/>
      <c r="C27" s="272">
        <v>43</v>
      </c>
      <c r="D27" s="272">
        <v>230473</v>
      </c>
      <c r="E27" s="272">
        <v>2603</v>
      </c>
      <c r="F27" s="364" t="s">
        <v>312</v>
      </c>
      <c r="G27" s="364" t="s">
        <v>349</v>
      </c>
      <c r="H27" s="365">
        <v>132</v>
      </c>
      <c r="I27" s="130">
        <f t="shared" si="0"/>
        <v>32.672</v>
      </c>
      <c r="J27" s="366">
        <v>40559.37777777778</v>
      </c>
      <c r="K27" s="151">
        <v>40559.51944444444</v>
      </c>
      <c r="L27" s="367">
        <f t="shared" si="1"/>
        <v>3.3999999999068677</v>
      </c>
      <c r="M27" s="368">
        <f t="shared" si="2"/>
        <v>204</v>
      </c>
      <c r="N27" s="218" t="s">
        <v>275</v>
      </c>
      <c r="O27" s="219" t="str">
        <f t="shared" si="3"/>
        <v>--</v>
      </c>
      <c r="P27" s="660">
        <f t="shared" si="4"/>
        <v>40</v>
      </c>
      <c r="Q27" s="797">
        <f t="shared" si="5"/>
        <v>444.3392</v>
      </c>
      <c r="R27" s="189" t="str">
        <f t="shared" si="6"/>
        <v>--</v>
      </c>
      <c r="S27" s="361" t="str">
        <f t="shared" si="7"/>
        <v>--</v>
      </c>
      <c r="T27" s="362" t="str">
        <f t="shared" si="8"/>
        <v>--</v>
      </c>
      <c r="U27" s="219" t="s">
        <v>194</v>
      </c>
      <c r="V27" s="369">
        <f t="shared" si="9"/>
        <v>444.3392</v>
      </c>
      <c r="W27" s="6"/>
    </row>
    <row r="28" spans="2:23" s="5" customFormat="1" ht="16.5" customHeight="1">
      <c r="B28" s="50"/>
      <c r="C28" s="272"/>
      <c r="D28" s="272"/>
      <c r="E28" s="153"/>
      <c r="F28" s="364"/>
      <c r="G28" s="364"/>
      <c r="H28" s="365"/>
      <c r="I28" s="130">
        <f t="shared" si="0"/>
        <v>32.672</v>
      </c>
      <c r="J28" s="366"/>
      <c r="K28" s="151"/>
      <c r="L28" s="367">
        <f t="shared" si="1"/>
      </c>
      <c r="M28" s="368">
        <f t="shared" si="2"/>
      </c>
      <c r="N28" s="218"/>
      <c r="O28" s="219">
        <f t="shared" si="3"/>
      </c>
      <c r="P28" s="660">
        <f t="shared" si="4"/>
        <v>40</v>
      </c>
      <c r="Q28" s="797" t="str">
        <f t="shared" si="5"/>
        <v>--</v>
      </c>
      <c r="R28" s="189" t="str">
        <f t="shared" si="6"/>
        <v>--</v>
      </c>
      <c r="S28" s="361" t="str">
        <f t="shared" si="7"/>
        <v>--</v>
      </c>
      <c r="T28" s="362" t="str">
        <f t="shared" si="8"/>
        <v>--</v>
      </c>
      <c r="U28" s="219">
        <f aca="true" t="shared" si="10" ref="U28:U41">IF(F28="","","SI")</f>
      </c>
      <c r="V28" s="369">
        <f t="shared" si="9"/>
      </c>
      <c r="W28" s="6"/>
    </row>
    <row r="29" spans="2:23" s="5" customFormat="1" ht="16.5" customHeight="1">
      <c r="B29" s="50"/>
      <c r="C29" s="272"/>
      <c r="D29" s="272"/>
      <c r="E29" s="272"/>
      <c r="F29" s="364"/>
      <c r="G29" s="364"/>
      <c r="H29" s="365"/>
      <c r="I29" s="130">
        <f t="shared" si="0"/>
        <v>32.672</v>
      </c>
      <c r="J29" s="366"/>
      <c r="K29" s="151"/>
      <c r="L29" s="367">
        <f t="shared" si="1"/>
      </c>
      <c r="M29" s="368">
        <f t="shared" si="2"/>
      </c>
      <c r="N29" s="218"/>
      <c r="O29" s="219">
        <f t="shared" si="3"/>
      </c>
      <c r="P29" s="660">
        <f t="shared" si="4"/>
        <v>40</v>
      </c>
      <c r="Q29" s="797" t="str">
        <f t="shared" si="5"/>
        <v>--</v>
      </c>
      <c r="R29" s="189" t="str">
        <f t="shared" si="6"/>
        <v>--</v>
      </c>
      <c r="S29" s="361" t="str">
        <f t="shared" si="7"/>
        <v>--</v>
      </c>
      <c r="T29" s="362" t="str">
        <f t="shared" si="8"/>
        <v>--</v>
      </c>
      <c r="U29" s="219">
        <f t="shared" si="10"/>
      </c>
      <c r="V29" s="369">
        <f t="shared" si="9"/>
      </c>
      <c r="W29" s="6"/>
    </row>
    <row r="30" spans="2:23" s="5" customFormat="1" ht="16.5" customHeight="1">
      <c r="B30" s="50"/>
      <c r="C30" s="272"/>
      <c r="D30" s="272"/>
      <c r="E30" s="153"/>
      <c r="F30" s="364"/>
      <c r="G30" s="364"/>
      <c r="H30" s="365"/>
      <c r="I30" s="130">
        <f t="shared" si="0"/>
        <v>32.672</v>
      </c>
      <c r="J30" s="366"/>
      <c r="K30" s="151"/>
      <c r="L30" s="367">
        <f t="shared" si="1"/>
      </c>
      <c r="M30" s="368">
        <f t="shared" si="2"/>
      </c>
      <c r="N30" s="218"/>
      <c r="O30" s="219">
        <f t="shared" si="3"/>
      </c>
      <c r="P30" s="660">
        <f t="shared" si="4"/>
        <v>40</v>
      </c>
      <c r="Q30" s="797" t="str">
        <f t="shared" si="5"/>
        <v>--</v>
      </c>
      <c r="R30" s="189" t="str">
        <f t="shared" si="6"/>
        <v>--</v>
      </c>
      <c r="S30" s="361" t="str">
        <f t="shared" si="7"/>
        <v>--</v>
      </c>
      <c r="T30" s="362" t="str">
        <f t="shared" si="8"/>
        <v>--</v>
      </c>
      <c r="U30" s="219">
        <f t="shared" si="10"/>
      </c>
      <c r="V30" s="369">
        <f t="shared" si="9"/>
      </c>
      <c r="W30" s="6"/>
    </row>
    <row r="31" spans="2:23" s="5" customFormat="1" ht="16.5" customHeight="1">
      <c r="B31" s="50"/>
      <c r="C31" s="272"/>
      <c r="D31" s="272"/>
      <c r="E31" s="272"/>
      <c r="F31" s="364"/>
      <c r="G31" s="364"/>
      <c r="H31" s="365"/>
      <c r="I31" s="130">
        <f t="shared" si="0"/>
        <v>32.672</v>
      </c>
      <c r="J31" s="366"/>
      <c r="K31" s="151"/>
      <c r="L31" s="367">
        <f t="shared" si="1"/>
      </c>
      <c r="M31" s="368">
        <f t="shared" si="2"/>
      </c>
      <c r="N31" s="218"/>
      <c r="O31" s="219">
        <f t="shared" si="3"/>
      </c>
      <c r="P31" s="660">
        <f t="shared" si="4"/>
        <v>40</v>
      </c>
      <c r="Q31" s="797" t="str">
        <f t="shared" si="5"/>
        <v>--</v>
      </c>
      <c r="R31" s="189" t="str">
        <f t="shared" si="6"/>
        <v>--</v>
      </c>
      <c r="S31" s="361" t="str">
        <f t="shared" si="7"/>
        <v>--</v>
      </c>
      <c r="T31" s="362" t="str">
        <f t="shared" si="8"/>
        <v>--</v>
      </c>
      <c r="U31" s="219">
        <f t="shared" si="10"/>
      </c>
      <c r="V31" s="369">
        <f t="shared" si="9"/>
      </c>
      <c r="W31" s="6"/>
    </row>
    <row r="32" spans="2:23" s="5" customFormat="1" ht="16.5" customHeight="1">
      <c r="B32" s="50"/>
      <c r="C32" s="272"/>
      <c r="D32" s="272"/>
      <c r="E32" s="153"/>
      <c r="F32" s="364"/>
      <c r="G32" s="364"/>
      <c r="H32" s="365"/>
      <c r="I32" s="130">
        <f t="shared" si="0"/>
        <v>32.672</v>
      </c>
      <c r="J32" s="366"/>
      <c r="K32" s="151"/>
      <c r="L32" s="367">
        <f t="shared" si="1"/>
      </c>
      <c r="M32" s="368">
        <f t="shared" si="2"/>
      </c>
      <c r="N32" s="218"/>
      <c r="O32" s="219">
        <f t="shared" si="3"/>
      </c>
      <c r="P32" s="660">
        <f t="shared" si="4"/>
        <v>40</v>
      </c>
      <c r="Q32" s="797" t="str">
        <f t="shared" si="5"/>
        <v>--</v>
      </c>
      <c r="R32" s="189" t="str">
        <f t="shared" si="6"/>
        <v>--</v>
      </c>
      <c r="S32" s="361" t="str">
        <f t="shared" si="7"/>
        <v>--</v>
      </c>
      <c r="T32" s="362" t="str">
        <f t="shared" si="8"/>
        <v>--</v>
      </c>
      <c r="U32" s="219">
        <f t="shared" si="10"/>
      </c>
      <c r="V32" s="369">
        <f t="shared" si="9"/>
      </c>
      <c r="W32" s="6"/>
    </row>
    <row r="33" spans="2:23" s="5" customFormat="1" ht="16.5" customHeight="1">
      <c r="B33" s="50"/>
      <c r="C33" s="272"/>
      <c r="D33" s="272"/>
      <c r="E33" s="272"/>
      <c r="F33" s="364"/>
      <c r="G33" s="364"/>
      <c r="H33" s="365"/>
      <c r="I33" s="130">
        <f t="shared" si="0"/>
        <v>32.672</v>
      </c>
      <c r="J33" s="366"/>
      <c r="K33" s="151"/>
      <c r="L33" s="367">
        <f t="shared" si="1"/>
      </c>
      <c r="M33" s="368">
        <f t="shared" si="2"/>
      </c>
      <c r="N33" s="218"/>
      <c r="O33" s="219">
        <f t="shared" si="3"/>
      </c>
      <c r="P33" s="660">
        <f t="shared" si="4"/>
        <v>40</v>
      </c>
      <c r="Q33" s="797" t="str">
        <f t="shared" si="5"/>
        <v>--</v>
      </c>
      <c r="R33" s="189" t="str">
        <f t="shared" si="6"/>
        <v>--</v>
      </c>
      <c r="S33" s="361" t="str">
        <f t="shared" si="7"/>
        <v>--</v>
      </c>
      <c r="T33" s="362" t="str">
        <f t="shared" si="8"/>
        <v>--</v>
      </c>
      <c r="U33" s="219">
        <f t="shared" si="10"/>
      </c>
      <c r="V33" s="369">
        <f t="shared" si="9"/>
      </c>
      <c r="W33" s="6"/>
    </row>
    <row r="34" spans="2:23" s="5" customFormat="1" ht="16.5" customHeight="1">
      <c r="B34" s="50"/>
      <c r="C34" s="272"/>
      <c r="D34" s="272"/>
      <c r="E34" s="153"/>
      <c r="F34" s="364"/>
      <c r="G34" s="364"/>
      <c r="H34" s="365"/>
      <c r="I34" s="130">
        <f t="shared" si="0"/>
        <v>32.672</v>
      </c>
      <c r="J34" s="366"/>
      <c r="K34" s="151"/>
      <c r="L34" s="367">
        <f t="shared" si="1"/>
      </c>
      <c r="M34" s="368">
        <f t="shared" si="2"/>
      </c>
      <c r="N34" s="218"/>
      <c r="O34" s="219">
        <f t="shared" si="3"/>
      </c>
      <c r="P34" s="660">
        <f t="shared" si="4"/>
        <v>40</v>
      </c>
      <c r="Q34" s="797" t="str">
        <f t="shared" si="5"/>
        <v>--</v>
      </c>
      <c r="R34" s="189" t="str">
        <f t="shared" si="6"/>
        <v>--</v>
      </c>
      <c r="S34" s="361" t="str">
        <f t="shared" si="7"/>
        <v>--</v>
      </c>
      <c r="T34" s="362" t="str">
        <f t="shared" si="8"/>
        <v>--</v>
      </c>
      <c r="U34" s="219">
        <f t="shared" si="10"/>
      </c>
      <c r="V34" s="369">
        <f t="shared" si="9"/>
      </c>
      <c r="W34" s="6"/>
    </row>
    <row r="35" spans="2:23" s="5" customFormat="1" ht="16.5" customHeight="1">
      <c r="B35" s="50"/>
      <c r="C35" s="272"/>
      <c r="D35" s="272"/>
      <c r="E35" s="272"/>
      <c r="F35" s="364"/>
      <c r="G35" s="364"/>
      <c r="H35" s="365"/>
      <c r="I35" s="130">
        <f t="shared" si="0"/>
        <v>32.672</v>
      </c>
      <c r="J35" s="366"/>
      <c r="K35" s="151"/>
      <c r="L35" s="367">
        <f t="shared" si="1"/>
      </c>
      <c r="M35" s="368">
        <f t="shared" si="2"/>
      </c>
      <c r="N35" s="218"/>
      <c r="O35" s="219">
        <f t="shared" si="3"/>
      </c>
      <c r="P35" s="660">
        <f t="shared" si="4"/>
        <v>40</v>
      </c>
      <c r="Q35" s="797" t="str">
        <f t="shared" si="5"/>
        <v>--</v>
      </c>
      <c r="R35" s="189" t="str">
        <f t="shared" si="6"/>
        <v>--</v>
      </c>
      <c r="S35" s="361" t="str">
        <f t="shared" si="7"/>
        <v>--</v>
      </c>
      <c r="T35" s="362" t="str">
        <f t="shared" si="8"/>
        <v>--</v>
      </c>
      <c r="U35" s="219">
        <f t="shared" si="10"/>
      </c>
      <c r="V35" s="369">
        <f t="shared" si="9"/>
      </c>
      <c r="W35" s="6"/>
    </row>
    <row r="36" spans="2:23" s="5" customFormat="1" ht="16.5" customHeight="1">
      <c r="B36" s="50"/>
      <c r="C36" s="272"/>
      <c r="D36" s="272"/>
      <c r="E36" s="153"/>
      <c r="F36" s="364"/>
      <c r="G36" s="364"/>
      <c r="H36" s="365"/>
      <c r="I36" s="130">
        <f t="shared" si="0"/>
        <v>32.672</v>
      </c>
      <c r="J36" s="366"/>
      <c r="K36" s="151"/>
      <c r="L36" s="367">
        <f t="shared" si="1"/>
      </c>
      <c r="M36" s="368">
        <f t="shared" si="2"/>
      </c>
      <c r="N36" s="218"/>
      <c r="O36" s="219">
        <f t="shared" si="3"/>
      </c>
      <c r="P36" s="660">
        <f t="shared" si="4"/>
        <v>40</v>
      </c>
      <c r="Q36" s="797" t="str">
        <f t="shared" si="5"/>
        <v>--</v>
      </c>
      <c r="R36" s="189" t="str">
        <f t="shared" si="6"/>
        <v>--</v>
      </c>
      <c r="S36" s="361" t="str">
        <f t="shared" si="7"/>
        <v>--</v>
      </c>
      <c r="T36" s="362" t="str">
        <f t="shared" si="8"/>
        <v>--</v>
      </c>
      <c r="U36" s="219">
        <f t="shared" si="10"/>
      </c>
      <c r="V36" s="369">
        <f t="shared" si="9"/>
      </c>
      <c r="W36" s="6"/>
    </row>
    <row r="37" spans="2:23" s="5" customFormat="1" ht="16.5" customHeight="1">
      <c r="B37" s="50"/>
      <c r="C37" s="272"/>
      <c r="D37" s="272"/>
      <c r="E37" s="272"/>
      <c r="F37" s="364"/>
      <c r="G37" s="364"/>
      <c r="H37" s="365"/>
      <c r="I37" s="130">
        <f t="shared" si="0"/>
        <v>32.672</v>
      </c>
      <c r="J37" s="366"/>
      <c r="K37" s="151"/>
      <c r="L37" s="367">
        <f t="shared" si="1"/>
      </c>
      <c r="M37" s="368">
        <f t="shared" si="2"/>
      </c>
      <c r="N37" s="218"/>
      <c r="O37" s="219">
        <f t="shared" si="3"/>
      </c>
      <c r="P37" s="660">
        <f t="shared" si="4"/>
        <v>40</v>
      </c>
      <c r="Q37" s="797" t="str">
        <f t="shared" si="5"/>
        <v>--</v>
      </c>
      <c r="R37" s="189" t="str">
        <f t="shared" si="6"/>
        <v>--</v>
      </c>
      <c r="S37" s="361" t="str">
        <f t="shared" si="7"/>
        <v>--</v>
      </c>
      <c r="T37" s="362" t="str">
        <f t="shared" si="8"/>
        <v>--</v>
      </c>
      <c r="U37" s="219">
        <f t="shared" si="10"/>
      </c>
      <c r="V37" s="369">
        <f t="shared" si="9"/>
      </c>
      <c r="W37" s="6"/>
    </row>
    <row r="38" spans="2:23" s="5" customFormat="1" ht="16.5" customHeight="1">
      <c r="B38" s="50"/>
      <c r="C38" s="272"/>
      <c r="D38" s="272"/>
      <c r="E38" s="153"/>
      <c r="F38" s="364"/>
      <c r="G38" s="364"/>
      <c r="H38" s="365"/>
      <c r="I38" s="130">
        <f t="shared" si="0"/>
        <v>32.672</v>
      </c>
      <c r="J38" s="366"/>
      <c r="K38" s="151"/>
      <c r="L38" s="367">
        <f t="shared" si="1"/>
      </c>
      <c r="M38" s="368">
        <f t="shared" si="2"/>
      </c>
      <c r="N38" s="218"/>
      <c r="O38" s="219">
        <f t="shared" si="3"/>
      </c>
      <c r="P38" s="660">
        <f t="shared" si="4"/>
        <v>40</v>
      </c>
      <c r="Q38" s="797" t="str">
        <f t="shared" si="5"/>
        <v>--</v>
      </c>
      <c r="R38" s="189" t="str">
        <f t="shared" si="6"/>
        <v>--</v>
      </c>
      <c r="S38" s="361" t="str">
        <f t="shared" si="7"/>
        <v>--</v>
      </c>
      <c r="T38" s="362" t="str">
        <f t="shared" si="8"/>
        <v>--</v>
      </c>
      <c r="U38" s="219">
        <f t="shared" si="10"/>
      </c>
      <c r="V38" s="369">
        <f t="shared" si="9"/>
      </c>
      <c r="W38" s="6"/>
    </row>
    <row r="39" spans="2:23" s="5" customFormat="1" ht="16.5" customHeight="1">
      <c r="B39" s="50"/>
      <c r="C39" s="272"/>
      <c r="D39" s="272"/>
      <c r="E39" s="272"/>
      <c r="F39" s="364"/>
      <c r="G39" s="364"/>
      <c r="H39" s="365"/>
      <c r="I39" s="130">
        <f t="shared" si="0"/>
        <v>32.672</v>
      </c>
      <c r="J39" s="366"/>
      <c r="K39" s="151"/>
      <c r="L39" s="367">
        <f t="shared" si="1"/>
      </c>
      <c r="M39" s="368">
        <f t="shared" si="2"/>
      </c>
      <c r="N39" s="218"/>
      <c r="O39" s="219">
        <f t="shared" si="3"/>
      </c>
      <c r="P39" s="660">
        <f t="shared" si="4"/>
        <v>40</v>
      </c>
      <c r="Q39" s="797" t="str">
        <f t="shared" si="5"/>
        <v>--</v>
      </c>
      <c r="R39" s="189" t="str">
        <f t="shared" si="6"/>
        <v>--</v>
      </c>
      <c r="S39" s="361" t="str">
        <f t="shared" si="7"/>
        <v>--</v>
      </c>
      <c r="T39" s="362" t="str">
        <f t="shared" si="8"/>
        <v>--</v>
      </c>
      <c r="U39" s="219">
        <f t="shared" si="10"/>
      </c>
      <c r="V39" s="369">
        <f t="shared" si="9"/>
      </c>
      <c r="W39" s="6"/>
    </row>
    <row r="40" spans="2:23" s="5" customFormat="1" ht="16.5" customHeight="1">
      <c r="B40" s="50"/>
      <c r="C40" s="272"/>
      <c r="D40" s="272"/>
      <c r="E40" s="153"/>
      <c r="F40" s="364"/>
      <c r="G40" s="364"/>
      <c r="H40" s="365"/>
      <c r="I40" s="130">
        <f t="shared" si="0"/>
        <v>32.672</v>
      </c>
      <c r="J40" s="366"/>
      <c r="K40" s="151"/>
      <c r="L40" s="367">
        <f t="shared" si="1"/>
      </c>
      <c r="M40" s="368">
        <f t="shared" si="2"/>
      </c>
      <c r="N40" s="218"/>
      <c r="O40" s="219">
        <f t="shared" si="3"/>
      </c>
      <c r="P40" s="660">
        <f t="shared" si="4"/>
        <v>40</v>
      </c>
      <c r="Q40" s="797" t="str">
        <f t="shared" si="5"/>
        <v>--</v>
      </c>
      <c r="R40" s="189" t="str">
        <f t="shared" si="6"/>
        <v>--</v>
      </c>
      <c r="S40" s="361" t="str">
        <f t="shared" si="7"/>
        <v>--</v>
      </c>
      <c r="T40" s="362" t="str">
        <f t="shared" si="8"/>
        <v>--</v>
      </c>
      <c r="U40" s="219">
        <f t="shared" si="10"/>
      </c>
      <c r="V40" s="369">
        <f t="shared" si="9"/>
      </c>
      <c r="W40" s="6"/>
    </row>
    <row r="41" spans="2:23" s="5" customFormat="1" ht="16.5" customHeight="1">
      <c r="B41" s="50"/>
      <c r="C41" s="272"/>
      <c r="D41" s="272"/>
      <c r="E41" s="272"/>
      <c r="F41" s="364"/>
      <c r="G41" s="364"/>
      <c r="H41" s="365"/>
      <c r="I41" s="130">
        <f t="shared" si="0"/>
        <v>32.672</v>
      </c>
      <c r="J41" s="366"/>
      <c r="K41" s="151"/>
      <c r="L41" s="367">
        <f t="shared" si="1"/>
      </c>
      <c r="M41" s="368">
        <f t="shared" si="2"/>
      </c>
      <c r="N41" s="218"/>
      <c r="O41" s="219">
        <f t="shared" si="3"/>
      </c>
      <c r="P41" s="660">
        <f t="shared" si="4"/>
        <v>40</v>
      </c>
      <c r="Q41" s="797" t="str">
        <f t="shared" si="5"/>
        <v>--</v>
      </c>
      <c r="R41" s="189" t="str">
        <f t="shared" si="6"/>
        <v>--</v>
      </c>
      <c r="S41" s="361" t="str">
        <f t="shared" si="7"/>
        <v>--</v>
      </c>
      <c r="T41" s="362" t="str">
        <f t="shared" si="8"/>
        <v>--</v>
      </c>
      <c r="U41" s="219">
        <f t="shared" si="10"/>
      </c>
      <c r="V41" s="369">
        <f t="shared" si="9"/>
      </c>
      <c r="W41" s="6"/>
    </row>
    <row r="42" spans="2:23" s="5" customFormat="1" ht="16.5" customHeight="1" thickBot="1">
      <c r="B42" s="50"/>
      <c r="C42" s="226"/>
      <c r="D42" s="226"/>
      <c r="E42" s="226"/>
      <c r="F42" s="226"/>
      <c r="G42" s="226"/>
      <c r="H42" s="226"/>
      <c r="I42" s="131"/>
      <c r="J42" s="370"/>
      <c r="K42" s="370"/>
      <c r="L42" s="371"/>
      <c r="M42" s="371"/>
      <c r="N42" s="370"/>
      <c r="O42" s="152"/>
      <c r="P42" s="372"/>
      <c r="Q42" s="373"/>
      <c r="R42" s="374"/>
      <c r="S42" s="375"/>
      <c r="T42" s="158"/>
      <c r="U42" s="152"/>
      <c r="V42" s="376"/>
      <c r="W42" s="6"/>
    </row>
    <row r="43" spans="2:23" s="5" customFormat="1" ht="16.5" customHeight="1" thickBot="1" thickTop="1">
      <c r="B43" s="50"/>
      <c r="C43" s="127" t="s">
        <v>24</v>
      </c>
      <c r="D43" s="73" t="s">
        <v>328</v>
      </c>
      <c r="E43" s="127"/>
      <c r="F43" s="128"/>
      <c r="G43"/>
      <c r="H43" s="4"/>
      <c r="I43" s="4"/>
      <c r="J43" s="4"/>
      <c r="K43" s="4"/>
      <c r="L43" s="4"/>
      <c r="M43" s="4"/>
      <c r="N43" s="4"/>
      <c r="O43" s="4"/>
      <c r="P43" s="4"/>
      <c r="Q43" s="377">
        <f>SUM(Q20:Q42)</f>
        <v>4834.14912</v>
      </c>
      <c r="R43" s="378">
        <f>SUM(R20:R42)</f>
        <v>0</v>
      </c>
      <c r="S43" s="379">
        <f>SUM(S20:S42)</f>
        <v>0</v>
      </c>
      <c r="T43" s="380">
        <f>SUM(T20:T42)</f>
        <v>0</v>
      </c>
      <c r="U43" s="381"/>
      <c r="V43" s="100">
        <f>ROUND(SUM(V20:V42),2)</f>
        <v>4834.15</v>
      </c>
      <c r="W43" s="6"/>
    </row>
    <row r="44" spans="2:23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6"/>
    </row>
    <row r="45" spans="23:25" ht="16.5" customHeight="1" thickTop="1">
      <c r="W45" s="173"/>
      <c r="X45" s="173"/>
      <c r="Y45" s="173"/>
    </row>
    <row r="46" spans="23:25" ht="16.5" customHeight="1">
      <c r="W46" s="173"/>
      <c r="X46" s="173"/>
      <c r="Y46" s="173"/>
    </row>
    <row r="47" spans="23:25" ht="16.5" customHeight="1">
      <c r="W47" s="173"/>
      <c r="X47" s="173"/>
      <c r="Y47" s="173"/>
    </row>
    <row r="48" spans="23:25" ht="16.5" customHeight="1">
      <c r="W48" s="173"/>
      <c r="X48" s="173"/>
      <c r="Y48" s="173"/>
    </row>
    <row r="49" spans="23:25" ht="16.5" customHeight="1">
      <c r="W49" s="173"/>
      <c r="X49" s="173"/>
      <c r="Y49" s="173"/>
    </row>
    <row r="50" spans="6:25" ht="16.5" customHeight="1"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</row>
    <row r="51" spans="6:25" ht="16.5" customHeight="1"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</row>
    <row r="52" spans="6:25" ht="16.5" customHeight="1"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</row>
    <row r="53" spans="6:25" ht="16.5" customHeight="1"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</row>
    <row r="54" spans="6:25" ht="16.5" customHeight="1"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</row>
    <row r="55" spans="6:25" ht="16.5" customHeight="1"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</row>
    <row r="56" spans="6:25" ht="16.5" customHeight="1"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</row>
    <row r="57" spans="6:25" ht="16.5" customHeight="1"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</row>
    <row r="58" spans="6:25" ht="16.5" customHeight="1"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</row>
    <row r="59" spans="6:25" ht="16.5" customHeight="1"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</row>
    <row r="60" spans="6:25" ht="16.5" customHeight="1"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</row>
    <row r="61" spans="6:25" ht="16.5" customHeight="1"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</row>
    <row r="62" spans="6:25" ht="16.5" customHeight="1"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</row>
    <row r="63" spans="6:25" ht="16.5" customHeight="1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</row>
    <row r="64" spans="6:25" ht="16.5" customHeight="1"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</row>
    <row r="65" spans="6:25" ht="16.5" customHeight="1"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</row>
    <row r="66" spans="6:25" ht="16.5" customHeight="1"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</row>
    <row r="67" spans="6:25" ht="16.5" customHeight="1"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</row>
    <row r="68" spans="6:25" ht="16.5" customHeight="1"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</row>
    <row r="69" spans="6:25" ht="16.5" customHeight="1"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</row>
    <row r="70" spans="6:25" ht="16.5" customHeight="1"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</row>
    <row r="71" spans="6:25" ht="16.5" customHeight="1"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</row>
    <row r="72" spans="6:25" ht="16.5" customHeight="1"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</row>
    <row r="73" spans="6:25" ht="16.5" customHeight="1"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</row>
    <row r="74" spans="6:25" ht="16.5" customHeight="1"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</row>
    <row r="75" spans="6:25" ht="16.5" customHeight="1"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</row>
    <row r="76" spans="6:25" ht="16.5" customHeight="1"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</row>
    <row r="77" spans="6:25" ht="16.5" customHeight="1"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</row>
    <row r="78" spans="6:25" ht="16.5" customHeight="1"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</row>
    <row r="79" spans="6:25" ht="16.5" customHeight="1"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</row>
    <row r="80" spans="6:25" ht="16.5" customHeight="1"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</row>
    <row r="81" spans="6:25" ht="16.5" customHeight="1"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</row>
    <row r="82" spans="6:25" ht="16.5" customHeight="1"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</row>
    <row r="83" spans="6:25" ht="16.5" customHeight="1"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</row>
    <row r="84" spans="6:25" ht="16.5" customHeight="1"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</row>
    <row r="85" spans="6:25" ht="16.5" customHeight="1"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</row>
    <row r="86" spans="6:25" ht="16.5" customHeight="1"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</row>
    <row r="87" spans="6:25" ht="16.5" customHeight="1"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</row>
    <row r="88" spans="6:25" ht="16.5" customHeight="1"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</row>
    <row r="89" spans="6:25" ht="16.5" customHeight="1"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</row>
    <row r="90" spans="6:25" ht="16.5" customHeight="1"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</row>
    <row r="91" spans="6:25" ht="16.5" customHeight="1"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</row>
    <row r="92" spans="6:25" ht="16.5" customHeight="1"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</row>
    <row r="93" spans="6:25" ht="16.5" customHeight="1"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</row>
    <row r="94" spans="6:25" ht="16.5" customHeight="1"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</row>
    <row r="95" spans="6:25" ht="16.5" customHeight="1"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</row>
    <row r="96" spans="6:25" ht="16.5" customHeight="1"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</row>
    <row r="97" spans="6:25" ht="16.5" customHeight="1"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</row>
    <row r="98" spans="6:25" ht="16.5" customHeight="1"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</row>
    <row r="99" spans="6:25" ht="16.5" customHeight="1"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</row>
    <row r="100" spans="6:25" ht="16.5" customHeight="1"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</row>
    <row r="101" spans="6:25" ht="16.5" customHeight="1"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</row>
    <row r="102" spans="6:25" ht="16.5" customHeight="1"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</row>
    <row r="103" spans="6:25" ht="16.5" customHeight="1"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</row>
    <row r="104" spans="6:25" ht="16.5" customHeight="1"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</row>
    <row r="105" spans="6:25" ht="16.5" customHeight="1"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</row>
    <row r="106" spans="6:25" ht="16.5" customHeight="1"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</row>
    <row r="107" spans="6:25" ht="16.5" customHeight="1"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</row>
    <row r="108" spans="6:25" ht="16.5" customHeight="1"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</row>
    <row r="109" spans="6:25" ht="16.5" customHeight="1"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</row>
    <row r="110" spans="6:25" ht="16.5" customHeight="1"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</row>
    <row r="111" spans="6:25" ht="16.5" customHeight="1"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</row>
    <row r="112" spans="6:25" ht="16.5" customHeight="1"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</row>
    <row r="113" spans="6:25" ht="16.5" customHeight="1"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</row>
    <row r="114" spans="6:25" ht="16.5" customHeight="1"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</row>
    <row r="115" spans="6:25" ht="16.5" customHeight="1"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</row>
    <row r="116" spans="6:25" ht="16.5" customHeight="1"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</row>
    <row r="117" spans="6:25" ht="16.5" customHeight="1"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</row>
    <row r="118" spans="6:25" ht="16.5" customHeight="1"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</row>
    <row r="119" spans="6:25" ht="16.5" customHeight="1"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</row>
    <row r="120" spans="6:25" ht="16.5" customHeight="1"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</row>
    <row r="121" spans="6:25" ht="16.5" customHeight="1"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</row>
    <row r="122" spans="6:25" ht="16.5" customHeight="1"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</row>
    <row r="123" spans="6:25" ht="16.5" customHeight="1"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</row>
    <row r="124" spans="6:25" ht="16.5" customHeight="1"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</row>
    <row r="125" spans="6:25" ht="16.5" customHeight="1"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</row>
    <row r="126" spans="6:25" ht="16.5" customHeight="1"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</row>
    <row r="127" spans="6:25" ht="16.5" customHeight="1"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</row>
    <row r="128" spans="6:25" ht="16.5" customHeight="1"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</row>
    <row r="129" spans="6:25" ht="16.5" customHeight="1"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</row>
    <row r="130" spans="6:25" ht="16.5" customHeight="1"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</row>
    <row r="131" spans="6:25" ht="16.5" customHeight="1"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</row>
    <row r="132" spans="6:25" ht="16.5" customHeight="1"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</row>
    <row r="133" spans="6:25" ht="16.5" customHeight="1"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</row>
    <row r="134" spans="6:25" ht="16.5" customHeight="1"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</row>
    <row r="135" spans="6:25" ht="16.5" customHeight="1"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</row>
    <row r="136" spans="6:25" ht="16.5" customHeight="1"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</row>
    <row r="137" spans="6:25" ht="16.5" customHeight="1"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</row>
    <row r="138" spans="6:25" ht="16.5" customHeight="1"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</row>
    <row r="139" spans="6:25" ht="16.5" customHeight="1"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</row>
    <row r="140" spans="6:25" ht="16.5" customHeight="1"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</row>
    <row r="141" spans="6:25" ht="16.5" customHeight="1"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</row>
    <row r="142" spans="6:25" ht="16.5" customHeight="1"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</row>
    <row r="143" spans="6:25" ht="16.5" customHeight="1"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</row>
    <row r="144" spans="6:25" ht="16.5" customHeight="1"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</row>
    <row r="145" spans="6:25" ht="16.5" customHeight="1"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</row>
    <row r="146" spans="6:25" ht="16.5" customHeight="1"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</row>
    <row r="147" spans="6:25" ht="16.5" customHeight="1"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</row>
    <row r="148" spans="6:25" ht="16.5" customHeight="1"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</row>
    <row r="149" spans="6:25" ht="16.5" customHeight="1"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</row>
    <row r="150" spans="6:25" ht="16.5" customHeight="1"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</row>
    <row r="151" spans="6:25" ht="16.5" customHeight="1"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</row>
    <row r="152" spans="6:25" ht="16.5" customHeight="1"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</row>
    <row r="153" spans="6:25" ht="16.5" customHeight="1"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</row>
    <row r="154" spans="6:25" ht="16.5" customHeight="1"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</row>
    <row r="155" spans="6:25" ht="16.5" customHeight="1"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</row>
    <row r="156" spans="6:25" ht="16.5" customHeight="1"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</row>
    <row r="157" spans="6:25" ht="16.5" customHeight="1"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  <c r="V157" s="173"/>
      <c r="W157" s="173"/>
      <c r="X157" s="173"/>
      <c r="Y157" s="173"/>
    </row>
    <row r="160" ht="12.75"/>
    <row r="161" ht="12.75"/>
    <row r="162" ht="12.75"/>
    <row r="163" ht="12.75"/>
    <row r="164" ht="12.75"/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0" r:id="rId3"/>
  <headerFooter alignWithMargins="0">
    <oddFooter>&amp;L&amp;"Times New Roman,Normal"&amp;8&amp;F-&amp;A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3">
    <pageSetUpPr fitToPage="1"/>
  </sheetPr>
  <dimension ref="A1:Y155"/>
  <sheetViews>
    <sheetView zoomScale="70" zoomScaleNormal="70" zoomScalePageLayoutView="0" workbookViewId="0" topLeftCell="E10">
      <selection activeCell="G35" sqref="G35"/>
    </sheetView>
  </sheetViews>
  <sheetFormatPr defaultColWidth="11.421875" defaultRowHeight="16.5" customHeight="1"/>
  <cols>
    <col min="1" max="2" width="4.140625" style="0" customWidth="1"/>
    <col min="3" max="3" width="5.421875" style="0" customWidth="1"/>
    <col min="4" max="5" width="13.57421875" style="0" customWidth="1"/>
    <col min="6" max="6" width="37.7109375" style="0" customWidth="1"/>
    <col min="7" max="7" width="37.421875" style="0" customWidth="1"/>
    <col min="8" max="8" width="9.7109375" style="0" customWidth="1"/>
    <col min="9" max="9" width="6.421875" style="0" hidden="1" customWidth="1"/>
    <col min="10" max="11" width="15.7109375" style="0" customWidth="1"/>
    <col min="12" max="14" width="9.7109375" style="0" customWidth="1"/>
    <col min="15" max="15" width="6.421875" style="0" customWidth="1"/>
    <col min="16" max="16" width="4.00390625" style="0" hidden="1" customWidth="1"/>
    <col min="17" max="17" width="12.8515625" style="0" hidden="1" customWidth="1"/>
    <col min="18" max="19" width="6.00390625" style="0" hidden="1" customWidth="1"/>
    <col min="20" max="20" width="11.71093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pans="1:23" s="18" customFormat="1" ht="26.25">
      <c r="A1" s="91"/>
      <c r="W1" s="144"/>
    </row>
    <row r="2" spans="1:23" s="18" customFormat="1" ht="26.25">
      <c r="A2" s="91"/>
      <c r="B2" s="19" t="str">
        <f>'TOT-0111'!B2</f>
        <v>ANEXO II al Memorándum D.T.E.E. N°  1088 / 2012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="5" customFormat="1" ht="15.75" customHeight="1">
      <c r="A3" s="90"/>
    </row>
    <row r="4" spans="1:4" s="25" customFormat="1" ht="11.25">
      <c r="A4" s="23" t="s">
        <v>1</v>
      </c>
      <c r="B4" s="124"/>
      <c r="C4" s="124"/>
      <c r="D4" s="124"/>
    </row>
    <row r="5" spans="1:4" s="25" customFormat="1" ht="11.25">
      <c r="A5" s="23" t="s">
        <v>2</v>
      </c>
      <c r="B5" s="124"/>
      <c r="C5" s="124"/>
      <c r="D5" s="124"/>
    </row>
    <row r="6" s="5" customFormat="1" ht="13.5" thickBot="1"/>
    <row r="7" spans="2:23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</row>
    <row r="8" spans="2:23" s="29" customFormat="1" ht="20.25">
      <c r="B8" s="79"/>
      <c r="C8" s="30"/>
      <c r="D8" s="30"/>
      <c r="E8" s="30"/>
      <c r="F8" s="12" t="s">
        <v>67</v>
      </c>
      <c r="N8" s="105"/>
      <c r="O8" s="105"/>
      <c r="P8" s="96"/>
      <c r="Q8" s="30"/>
      <c r="R8" s="30"/>
      <c r="S8" s="30"/>
      <c r="T8" s="30"/>
      <c r="U8" s="30"/>
      <c r="V8" s="30"/>
      <c r="W8" s="80"/>
    </row>
    <row r="9" spans="2:23" s="5" customFormat="1" ht="12.75">
      <c r="B9" s="50"/>
      <c r="C9" s="4"/>
      <c r="D9" s="4"/>
      <c r="E9" s="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/>
      <c r="R9" s="4"/>
      <c r="S9" s="4"/>
      <c r="T9" s="4"/>
      <c r="U9" s="4"/>
      <c r="V9" s="4"/>
      <c r="W9" s="6"/>
    </row>
    <row r="10" spans="2:23" s="29" customFormat="1" ht="20.25">
      <c r="B10" s="79"/>
      <c r="C10" s="30"/>
      <c r="D10" s="30"/>
      <c r="E10" s="30"/>
      <c r="F10" s="113" t="s">
        <v>203</v>
      </c>
      <c r="G10" s="330"/>
      <c r="H10" s="105"/>
      <c r="I10" s="108"/>
      <c r="K10" s="108"/>
      <c r="L10" s="108"/>
      <c r="M10" s="108"/>
      <c r="N10" s="108"/>
      <c r="O10" s="108"/>
      <c r="P10" s="108"/>
      <c r="Q10" s="30"/>
      <c r="R10" s="30"/>
      <c r="S10" s="30"/>
      <c r="T10" s="30"/>
      <c r="U10" s="30"/>
      <c r="V10" s="30"/>
      <c r="W10" s="80"/>
    </row>
    <row r="11" spans="2:23" s="5" customFormat="1" ht="13.5">
      <c r="B11" s="50"/>
      <c r="C11" s="4"/>
      <c r="D11" s="4"/>
      <c r="E11" s="4"/>
      <c r="F11" s="331"/>
      <c r="G11" s="331"/>
      <c r="H11" s="90"/>
      <c r="I11" s="97"/>
      <c r="J11" s="52"/>
      <c r="K11" s="97"/>
      <c r="L11" s="97"/>
      <c r="M11" s="97"/>
      <c r="N11" s="97"/>
      <c r="O11" s="97"/>
      <c r="P11" s="97"/>
      <c r="Q11" s="4"/>
      <c r="R11" s="4"/>
      <c r="S11" s="4"/>
      <c r="T11" s="4"/>
      <c r="U11" s="4"/>
      <c r="V11" s="4"/>
      <c r="W11" s="6"/>
    </row>
    <row r="12" spans="2:23" s="29" customFormat="1" ht="20.25">
      <c r="B12" s="79"/>
      <c r="C12" s="30"/>
      <c r="D12" s="30"/>
      <c r="E12" s="30"/>
      <c r="F12" s="113" t="s">
        <v>352</v>
      </c>
      <c r="G12" s="330"/>
      <c r="H12" s="105"/>
      <c r="I12" s="108"/>
      <c r="K12" s="108"/>
      <c r="L12" s="108"/>
      <c r="M12" s="108"/>
      <c r="N12" s="108"/>
      <c r="O12" s="108"/>
      <c r="P12" s="108"/>
      <c r="Q12" s="30"/>
      <c r="R12" s="30"/>
      <c r="S12" s="30"/>
      <c r="T12" s="30"/>
      <c r="U12" s="30"/>
      <c r="V12" s="30"/>
      <c r="W12" s="80"/>
    </row>
    <row r="13" spans="2:23" s="5" customFormat="1" ht="13.5">
      <c r="B13" s="50"/>
      <c r="C13" s="4"/>
      <c r="D13" s="4"/>
      <c r="E13" s="4"/>
      <c r="F13" s="331"/>
      <c r="G13" s="331"/>
      <c r="H13" s="90"/>
      <c r="I13" s="97"/>
      <c r="J13" s="52"/>
      <c r="K13" s="97"/>
      <c r="L13" s="97"/>
      <c r="M13" s="97"/>
      <c r="N13" s="97"/>
      <c r="O13" s="97"/>
      <c r="P13" s="97"/>
      <c r="Q13" s="4"/>
      <c r="R13" s="4"/>
      <c r="S13" s="4"/>
      <c r="T13" s="4"/>
      <c r="U13" s="4"/>
      <c r="V13" s="4"/>
      <c r="W13" s="6"/>
    </row>
    <row r="14" spans="2:23" s="5" customFormat="1" ht="19.5">
      <c r="B14" s="37" t="str">
        <f>'TOT-0111'!B14</f>
        <v>Desde el 01 al 31 de enero de 2011</v>
      </c>
      <c r="C14" s="40"/>
      <c r="D14" s="40"/>
      <c r="E14" s="40"/>
      <c r="F14" s="40"/>
      <c r="G14" s="40"/>
      <c r="H14" s="40"/>
      <c r="I14" s="332"/>
      <c r="J14" s="332"/>
      <c r="K14" s="332"/>
      <c r="L14" s="332"/>
      <c r="M14" s="332"/>
      <c r="N14" s="332"/>
      <c r="O14" s="332"/>
      <c r="P14" s="332"/>
      <c r="Q14" s="40"/>
      <c r="R14" s="40"/>
      <c r="S14" s="40"/>
      <c r="T14" s="40"/>
      <c r="U14" s="40"/>
      <c r="V14" s="40"/>
      <c r="W14" s="333"/>
    </row>
    <row r="15" spans="2:23" s="5" customFormat="1" ht="14.25" thickBot="1">
      <c r="B15" s="334"/>
      <c r="C15" s="335"/>
      <c r="D15" s="335"/>
      <c r="E15" s="335"/>
      <c r="F15" s="335"/>
      <c r="G15" s="335"/>
      <c r="H15" s="335"/>
      <c r="I15" s="336"/>
      <c r="J15" s="336"/>
      <c r="K15" s="336"/>
      <c r="L15" s="336"/>
      <c r="M15" s="336"/>
      <c r="N15" s="336"/>
      <c r="O15" s="336"/>
      <c r="P15" s="336"/>
      <c r="Q15" s="335"/>
      <c r="R15" s="335"/>
      <c r="S15" s="335"/>
      <c r="T15" s="335"/>
      <c r="U15" s="335"/>
      <c r="V15" s="335"/>
      <c r="W15" s="337"/>
    </row>
    <row r="16" spans="2:23" s="5" customFormat="1" ht="15" thickBot="1" thickTop="1">
      <c r="B16" s="50"/>
      <c r="C16" s="4"/>
      <c r="D16" s="4"/>
      <c r="E16" s="4"/>
      <c r="F16" s="338"/>
      <c r="G16" s="338"/>
      <c r="H16" s="117" t="s">
        <v>78</v>
      </c>
      <c r="I16" s="4"/>
      <c r="J16" s="5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6"/>
    </row>
    <row r="17" spans="2:23" s="5" customFormat="1" ht="16.5" customHeight="1" thickBot="1" thickTop="1">
      <c r="B17" s="50"/>
      <c r="C17" s="4"/>
      <c r="D17" s="4"/>
      <c r="E17" s="4"/>
      <c r="F17" s="339" t="s">
        <v>79</v>
      </c>
      <c r="G17" s="340" t="s">
        <v>341</v>
      </c>
      <c r="H17" s="341">
        <v>200</v>
      </c>
      <c r="V17" s="115"/>
      <c r="W17" s="6"/>
    </row>
    <row r="18" spans="2:23" s="5" customFormat="1" ht="16.5" customHeight="1" thickBot="1" thickTop="1">
      <c r="B18" s="50"/>
      <c r="C18" s="4"/>
      <c r="D18" s="4"/>
      <c r="E18" s="4"/>
      <c r="F18" s="342" t="s">
        <v>80</v>
      </c>
      <c r="G18" s="343" t="s">
        <v>341</v>
      </c>
      <c r="H18" s="341">
        <v>100</v>
      </c>
      <c r="O18" s="4"/>
      <c r="P18" s="4"/>
      <c r="Q18" s="4"/>
      <c r="R18" s="4"/>
      <c r="S18" s="4"/>
      <c r="T18" s="4"/>
      <c r="U18" s="4"/>
      <c r="V18" s="4"/>
      <c r="W18" s="6"/>
    </row>
    <row r="19" spans="2:23" s="5" customFormat="1" ht="16.5" customHeight="1" thickBot="1" thickTop="1">
      <c r="B19" s="50"/>
      <c r="C19" s="4"/>
      <c r="D19" s="4"/>
      <c r="E19" s="4"/>
      <c r="F19" s="344" t="s">
        <v>81</v>
      </c>
      <c r="G19" s="343">
        <v>30.6756</v>
      </c>
      <c r="H19" s="341">
        <v>40</v>
      </c>
      <c r="K19" s="200"/>
      <c r="L19" s="201"/>
      <c r="M19" s="4"/>
      <c r="O19" s="4"/>
      <c r="Q19" s="4"/>
      <c r="R19" s="4"/>
      <c r="S19" s="4"/>
      <c r="T19" s="4"/>
      <c r="U19" s="4"/>
      <c r="V19" s="4"/>
      <c r="W19" s="6"/>
    </row>
    <row r="20" spans="2:23" s="5" customFormat="1" ht="16.5" customHeight="1" thickBot="1" thickTop="1">
      <c r="B20" s="50"/>
      <c r="C20" s="824">
        <v>3</v>
      </c>
      <c r="D20" s="824">
        <v>4</v>
      </c>
      <c r="E20" s="824">
        <v>5</v>
      </c>
      <c r="F20" s="824">
        <v>6</v>
      </c>
      <c r="G20" s="824">
        <v>7</v>
      </c>
      <c r="H20" s="824">
        <v>8</v>
      </c>
      <c r="I20" s="824">
        <v>9</v>
      </c>
      <c r="J20" s="824">
        <v>10</v>
      </c>
      <c r="K20" s="824">
        <v>11</v>
      </c>
      <c r="L20" s="824">
        <v>12</v>
      </c>
      <c r="M20" s="824">
        <v>13</v>
      </c>
      <c r="N20" s="824">
        <v>14</v>
      </c>
      <c r="O20" s="824">
        <v>15</v>
      </c>
      <c r="P20" s="824">
        <v>16</v>
      </c>
      <c r="Q20" s="824">
        <v>17</v>
      </c>
      <c r="R20" s="824">
        <v>18</v>
      </c>
      <c r="S20" s="824">
        <v>19</v>
      </c>
      <c r="T20" s="824">
        <v>20</v>
      </c>
      <c r="U20" s="824">
        <v>21</v>
      </c>
      <c r="V20" s="824">
        <v>22</v>
      </c>
      <c r="W20" s="6"/>
    </row>
    <row r="21" spans="2:23" s="5" customFormat="1" ht="33.75" customHeight="1" thickBot="1" thickTop="1">
      <c r="B21" s="50"/>
      <c r="C21" s="123" t="s">
        <v>12</v>
      </c>
      <c r="D21" s="84" t="s">
        <v>212</v>
      </c>
      <c r="E21" s="84" t="s">
        <v>213</v>
      </c>
      <c r="F21" s="86" t="s">
        <v>26</v>
      </c>
      <c r="G21" s="345" t="s">
        <v>27</v>
      </c>
      <c r="H21" s="346" t="s">
        <v>13</v>
      </c>
      <c r="I21" s="129" t="s">
        <v>15</v>
      </c>
      <c r="J21" s="85" t="s">
        <v>16</v>
      </c>
      <c r="K21" s="345" t="s">
        <v>17</v>
      </c>
      <c r="L21" s="347" t="s">
        <v>35</v>
      </c>
      <c r="M21" s="347" t="s">
        <v>30</v>
      </c>
      <c r="N21" s="88" t="s">
        <v>18</v>
      </c>
      <c r="O21" s="177" t="s">
        <v>31</v>
      </c>
      <c r="P21" s="135" t="s">
        <v>36</v>
      </c>
      <c r="Q21" s="348" t="s">
        <v>68</v>
      </c>
      <c r="R21" s="178" t="s">
        <v>34</v>
      </c>
      <c r="S21" s="349"/>
      <c r="T21" s="134" t="s">
        <v>21</v>
      </c>
      <c r="U21" s="132" t="s">
        <v>72</v>
      </c>
      <c r="V21" s="121" t="s">
        <v>23</v>
      </c>
      <c r="W21" s="6"/>
    </row>
    <row r="22" spans="2:23" s="5" customFormat="1" ht="16.5" customHeight="1" thickTop="1">
      <c r="B22" s="50"/>
      <c r="C22" s="258"/>
      <c r="D22" s="258"/>
      <c r="E22" s="258"/>
      <c r="F22" s="350"/>
      <c r="G22" s="350"/>
      <c r="H22" s="350"/>
      <c r="I22" s="216"/>
      <c r="J22" s="350"/>
      <c r="K22" s="350"/>
      <c r="L22" s="350"/>
      <c r="M22" s="350"/>
      <c r="N22" s="350"/>
      <c r="O22" s="350"/>
      <c r="P22" s="351"/>
      <c r="Q22" s="352"/>
      <c r="R22" s="353"/>
      <c r="S22" s="354"/>
      <c r="T22" s="355"/>
      <c r="U22" s="350"/>
      <c r="V22" s="356"/>
      <c r="W22" s="6"/>
    </row>
    <row r="23" spans="2:23" s="5" customFormat="1" ht="16.5" customHeight="1">
      <c r="B23" s="50"/>
      <c r="C23" s="272"/>
      <c r="D23" s="272"/>
      <c r="E23" s="272"/>
      <c r="F23" s="357"/>
      <c r="G23" s="357"/>
      <c r="H23" s="357"/>
      <c r="I23" s="358"/>
      <c r="J23" s="357"/>
      <c r="K23" s="357"/>
      <c r="L23" s="357"/>
      <c r="M23" s="357"/>
      <c r="N23" s="357"/>
      <c r="O23" s="357"/>
      <c r="P23" s="359"/>
      <c r="Q23" s="360"/>
      <c r="R23" s="189"/>
      <c r="S23" s="361"/>
      <c r="T23" s="362"/>
      <c r="U23" s="357"/>
      <c r="V23" s="363"/>
      <c r="W23" s="6"/>
    </row>
    <row r="24" spans="2:23" s="5" customFormat="1" ht="16.5" customHeight="1">
      <c r="B24" s="50"/>
      <c r="C24" s="272">
        <v>44</v>
      </c>
      <c r="D24" s="272">
        <v>230728</v>
      </c>
      <c r="E24" s="272">
        <v>4944</v>
      </c>
      <c r="F24" s="756" t="s">
        <v>339</v>
      </c>
      <c r="G24" s="756" t="s">
        <v>342</v>
      </c>
      <c r="H24" s="756">
        <v>132</v>
      </c>
      <c r="I24" s="130">
        <f aca="true" t="shared" si="0" ref="I24:I39">IF(H24=500,$G$17,IF(H24=220,$G$18,$G$19))</f>
        <v>30.6756</v>
      </c>
      <c r="J24" s="366">
        <v>40566.282638888886</v>
      </c>
      <c r="K24" s="151">
        <v>40566.330555555556</v>
      </c>
      <c r="L24" s="367">
        <f aca="true" t="shared" si="1" ref="L24:L39">IF(F24="","",(K24-J24)*24)</f>
        <v>1.1500000000814907</v>
      </c>
      <c r="M24" s="368">
        <f aca="true" t="shared" si="2" ref="M24:M39">IF(F24="","",ROUND((K24-J24)*24*60,0))</f>
        <v>69</v>
      </c>
      <c r="N24" s="218" t="s">
        <v>281</v>
      </c>
      <c r="O24" s="219" t="s">
        <v>194</v>
      </c>
      <c r="P24" s="660">
        <f aca="true" t="shared" si="3" ref="P24:P39">IF(H24=500,$H$17,IF(H24=220,$H$18,$H$19))</f>
        <v>40</v>
      </c>
      <c r="Q24" s="797" t="str">
        <f aca="true" t="shared" si="4" ref="Q24:Q39">IF(N24="P",I24*P24*ROUND(M24/60,2)*0.1,"--")</f>
        <v>--</v>
      </c>
      <c r="R24" s="189" t="str">
        <f aca="true" t="shared" si="5" ref="R24:R39">IF(AND(N24="F",O24="NO"),I24*P24,"--")</f>
        <v>--</v>
      </c>
      <c r="S24" s="361">
        <f aca="true" t="shared" si="6" ref="S24:S39">IF(N24="F",I24*P24*ROUND(M24/60,2),"--")</f>
        <v>1411.0775999999998</v>
      </c>
      <c r="T24" s="362" t="str">
        <f aca="true" t="shared" si="7" ref="T24:T39">IF(N24="RF",I24*P24*ROUND(M24/60,2),"--")</f>
        <v>--</v>
      </c>
      <c r="U24" s="219" t="str">
        <f aca="true" t="shared" si="8" ref="U24:U39">IF(F24="","","SI")</f>
        <v>SI</v>
      </c>
      <c r="V24" s="369">
        <f aca="true" t="shared" si="9" ref="V24:V39">IF(F24="","",SUM(Q24:T24)*IF(U24="SI",1,2))</f>
        <v>1411.0775999999998</v>
      </c>
      <c r="W24" s="6"/>
    </row>
    <row r="25" spans="2:23" s="5" customFormat="1" ht="16.5" customHeight="1">
      <c r="B25" s="50"/>
      <c r="C25" s="272"/>
      <c r="D25" s="272"/>
      <c r="E25" s="272"/>
      <c r="F25" s="364"/>
      <c r="G25" s="364"/>
      <c r="H25" s="365"/>
      <c r="I25" s="130">
        <f t="shared" si="0"/>
        <v>30.6756</v>
      </c>
      <c r="J25" s="366"/>
      <c r="K25" s="151"/>
      <c r="L25" s="367">
        <f t="shared" si="1"/>
      </c>
      <c r="M25" s="368">
        <f t="shared" si="2"/>
      </c>
      <c r="N25" s="218"/>
      <c r="O25" s="219">
        <f aca="true" t="shared" si="10" ref="O25:O39">IF(F25="","",IF(N25="P","--","NO"))</f>
      </c>
      <c r="P25" s="660">
        <f t="shared" si="3"/>
        <v>40</v>
      </c>
      <c r="Q25" s="797" t="str">
        <f t="shared" si="4"/>
        <v>--</v>
      </c>
      <c r="R25" s="189" t="str">
        <f t="shared" si="5"/>
        <v>--</v>
      </c>
      <c r="S25" s="361" t="str">
        <f t="shared" si="6"/>
        <v>--</v>
      </c>
      <c r="T25" s="362" t="str">
        <f t="shared" si="7"/>
        <v>--</v>
      </c>
      <c r="U25" s="219">
        <f t="shared" si="8"/>
      </c>
      <c r="V25" s="369">
        <f t="shared" si="9"/>
      </c>
      <c r="W25" s="6"/>
    </row>
    <row r="26" spans="2:23" s="5" customFormat="1" ht="16.5" customHeight="1">
      <c r="B26" s="50"/>
      <c r="C26" s="272"/>
      <c r="D26" s="272"/>
      <c r="E26" s="272"/>
      <c r="F26" s="364"/>
      <c r="G26" s="364"/>
      <c r="H26" s="365"/>
      <c r="I26" s="130">
        <f t="shared" si="0"/>
        <v>30.6756</v>
      </c>
      <c r="J26" s="366"/>
      <c r="K26" s="151"/>
      <c r="L26" s="367">
        <f t="shared" si="1"/>
      </c>
      <c r="M26" s="368">
        <f t="shared" si="2"/>
      </c>
      <c r="N26" s="218"/>
      <c r="O26" s="219">
        <f t="shared" si="10"/>
      </c>
      <c r="P26" s="660">
        <f t="shared" si="3"/>
        <v>40</v>
      </c>
      <c r="Q26" s="797" t="str">
        <f t="shared" si="4"/>
        <v>--</v>
      </c>
      <c r="R26" s="189" t="str">
        <f t="shared" si="5"/>
        <v>--</v>
      </c>
      <c r="S26" s="361" t="str">
        <f t="shared" si="6"/>
        <v>--</v>
      </c>
      <c r="T26" s="362" t="str">
        <f t="shared" si="7"/>
        <v>--</v>
      </c>
      <c r="U26" s="219">
        <f t="shared" si="8"/>
      </c>
      <c r="V26" s="369">
        <f t="shared" si="9"/>
      </c>
      <c r="W26" s="6"/>
    </row>
    <row r="27" spans="2:23" s="5" customFormat="1" ht="16.5" customHeight="1">
      <c r="B27" s="50"/>
      <c r="C27" s="272"/>
      <c r="D27" s="272"/>
      <c r="E27" s="272"/>
      <c r="F27" s="364"/>
      <c r="G27" s="364"/>
      <c r="H27" s="365"/>
      <c r="I27" s="130">
        <f t="shared" si="0"/>
        <v>30.6756</v>
      </c>
      <c r="J27" s="366"/>
      <c r="K27" s="151"/>
      <c r="L27" s="367">
        <f t="shared" si="1"/>
      </c>
      <c r="M27" s="368">
        <f t="shared" si="2"/>
      </c>
      <c r="N27" s="218"/>
      <c r="O27" s="219">
        <f t="shared" si="10"/>
      </c>
      <c r="P27" s="660">
        <f t="shared" si="3"/>
        <v>40</v>
      </c>
      <c r="Q27" s="797" t="str">
        <f t="shared" si="4"/>
        <v>--</v>
      </c>
      <c r="R27" s="189" t="str">
        <f t="shared" si="5"/>
        <v>--</v>
      </c>
      <c r="S27" s="361" t="str">
        <f t="shared" si="6"/>
        <v>--</v>
      </c>
      <c r="T27" s="362" t="str">
        <f t="shared" si="7"/>
        <v>--</v>
      </c>
      <c r="U27" s="219">
        <f t="shared" si="8"/>
      </c>
      <c r="V27" s="369">
        <f t="shared" si="9"/>
      </c>
      <c r="W27" s="6"/>
    </row>
    <row r="28" spans="2:23" s="5" customFormat="1" ht="16.5" customHeight="1">
      <c r="B28" s="50"/>
      <c r="C28" s="272"/>
      <c r="D28" s="272"/>
      <c r="E28" s="272"/>
      <c r="F28" s="364"/>
      <c r="G28" s="364"/>
      <c r="H28" s="365"/>
      <c r="I28" s="130">
        <f t="shared" si="0"/>
        <v>30.6756</v>
      </c>
      <c r="J28" s="366"/>
      <c r="K28" s="151"/>
      <c r="L28" s="367">
        <f t="shared" si="1"/>
      </c>
      <c r="M28" s="368">
        <f t="shared" si="2"/>
      </c>
      <c r="N28" s="218"/>
      <c r="O28" s="219">
        <f t="shared" si="10"/>
      </c>
      <c r="P28" s="660">
        <f t="shared" si="3"/>
        <v>40</v>
      </c>
      <c r="Q28" s="797" t="str">
        <f t="shared" si="4"/>
        <v>--</v>
      </c>
      <c r="R28" s="189" t="str">
        <f t="shared" si="5"/>
        <v>--</v>
      </c>
      <c r="S28" s="361" t="str">
        <f t="shared" si="6"/>
        <v>--</v>
      </c>
      <c r="T28" s="362" t="str">
        <f t="shared" si="7"/>
        <v>--</v>
      </c>
      <c r="U28" s="219">
        <f t="shared" si="8"/>
      </c>
      <c r="V28" s="369">
        <f t="shared" si="9"/>
      </c>
      <c r="W28" s="6"/>
    </row>
    <row r="29" spans="2:23" s="5" customFormat="1" ht="16.5" customHeight="1">
      <c r="B29" s="50"/>
      <c r="C29" s="272"/>
      <c r="D29" s="272"/>
      <c r="E29" s="272"/>
      <c r="F29" s="364"/>
      <c r="G29" s="364"/>
      <c r="H29" s="365"/>
      <c r="I29" s="130">
        <f t="shared" si="0"/>
        <v>30.6756</v>
      </c>
      <c r="J29" s="366"/>
      <c r="K29" s="151"/>
      <c r="L29" s="367">
        <f t="shared" si="1"/>
      </c>
      <c r="M29" s="368">
        <f t="shared" si="2"/>
      </c>
      <c r="N29" s="218"/>
      <c r="O29" s="219">
        <f t="shared" si="10"/>
      </c>
      <c r="P29" s="660">
        <f t="shared" si="3"/>
        <v>40</v>
      </c>
      <c r="Q29" s="797" t="str">
        <f t="shared" si="4"/>
        <v>--</v>
      </c>
      <c r="R29" s="189" t="str">
        <f t="shared" si="5"/>
        <v>--</v>
      </c>
      <c r="S29" s="361" t="str">
        <f t="shared" si="6"/>
        <v>--</v>
      </c>
      <c r="T29" s="362" t="str">
        <f t="shared" si="7"/>
        <v>--</v>
      </c>
      <c r="U29" s="219">
        <f t="shared" si="8"/>
      </c>
      <c r="V29" s="369">
        <f t="shared" si="9"/>
      </c>
      <c r="W29" s="6"/>
    </row>
    <row r="30" spans="2:23" s="5" customFormat="1" ht="16.5" customHeight="1">
      <c r="B30" s="50"/>
      <c r="C30" s="272"/>
      <c r="D30" s="272"/>
      <c r="E30" s="272"/>
      <c r="F30" s="364"/>
      <c r="G30" s="364"/>
      <c r="H30" s="365"/>
      <c r="I30" s="130">
        <f t="shared" si="0"/>
        <v>30.6756</v>
      </c>
      <c r="J30" s="366"/>
      <c r="K30" s="151"/>
      <c r="L30" s="367">
        <f t="shared" si="1"/>
      </c>
      <c r="M30" s="368">
        <f t="shared" si="2"/>
      </c>
      <c r="N30" s="218"/>
      <c r="O30" s="219">
        <f t="shared" si="10"/>
      </c>
      <c r="P30" s="660">
        <f t="shared" si="3"/>
        <v>40</v>
      </c>
      <c r="Q30" s="797" t="str">
        <f t="shared" si="4"/>
        <v>--</v>
      </c>
      <c r="R30" s="189" t="str">
        <f t="shared" si="5"/>
        <v>--</v>
      </c>
      <c r="S30" s="361" t="str">
        <f t="shared" si="6"/>
        <v>--</v>
      </c>
      <c r="T30" s="362" t="str">
        <f t="shared" si="7"/>
        <v>--</v>
      </c>
      <c r="U30" s="219">
        <f t="shared" si="8"/>
      </c>
      <c r="V30" s="369">
        <f t="shared" si="9"/>
      </c>
      <c r="W30" s="6"/>
    </row>
    <row r="31" spans="2:23" s="5" customFormat="1" ht="16.5" customHeight="1">
      <c r="B31" s="50"/>
      <c r="C31" s="272"/>
      <c r="D31" s="272"/>
      <c r="E31" s="272"/>
      <c r="F31" s="364"/>
      <c r="G31" s="364"/>
      <c r="H31" s="365"/>
      <c r="I31" s="130">
        <f t="shared" si="0"/>
        <v>30.6756</v>
      </c>
      <c r="J31" s="366"/>
      <c r="K31" s="151"/>
      <c r="L31" s="367">
        <f t="shared" si="1"/>
      </c>
      <c r="M31" s="368">
        <f t="shared" si="2"/>
      </c>
      <c r="N31" s="218"/>
      <c r="O31" s="219">
        <f t="shared" si="10"/>
      </c>
      <c r="P31" s="660">
        <f t="shared" si="3"/>
        <v>40</v>
      </c>
      <c r="Q31" s="797" t="str">
        <f t="shared" si="4"/>
        <v>--</v>
      </c>
      <c r="R31" s="189" t="str">
        <f t="shared" si="5"/>
        <v>--</v>
      </c>
      <c r="S31" s="361" t="str">
        <f t="shared" si="6"/>
        <v>--</v>
      </c>
      <c r="T31" s="362" t="str">
        <f t="shared" si="7"/>
        <v>--</v>
      </c>
      <c r="U31" s="219">
        <f t="shared" si="8"/>
      </c>
      <c r="V31" s="369">
        <f t="shared" si="9"/>
      </c>
      <c r="W31" s="6"/>
    </row>
    <row r="32" spans="2:23" s="5" customFormat="1" ht="16.5" customHeight="1">
      <c r="B32" s="50"/>
      <c r="C32" s="272"/>
      <c r="D32" s="272"/>
      <c r="E32" s="272"/>
      <c r="F32" s="364"/>
      <c r="G32" s="364"/>
      <c r="H32" s="365"/>
      <c r="I32" s="130">
        <f t="shared" si="0"/>
        <v>30.6756</v>
      </c>
      <c r="J32" s="366"/>
      <c r="K32" s="151"/>
      <c r="L32" s="367">
        <f t="shared" si="1"/>
      </c>
      <c r="M32" s="368">
        <f t="shared" si="2"/>
      </c>
      <c r="N32" s="218"/>
      <c r="O32" s="219">
        <f t="shared" si="10"/>
      </c>
      <c r="P32" s="660">
        <f t="shared" si="3"/>
        <v>40</v>
      </c>
      <c r="Q32" s="797" t="str">
        <f t="shared" si="4"/>
        <v>--</v>
      </c>
      <c r="R32" s="189" t="str">
        <f t="shared" si="5"/>
        <v>--</v>
      </c>
      <c r="S32" s="361" t="str">
        <f t="shared" si="6"/>
        <v>--</v>
      </c>
      <c r="T32" s="362" t="str">
        <f t="shared" si="7"/>
        <v>--</v>
      </c>
      <c r="U32" s="219">
        <f t="shared" si="8"/>
      </c>
      <c r="V32" s="369">
        <f t="shared" si="9"/>
      </c>
      <c r="W32" s="6"/>
    </row>
    <row r="33" spans="2:23" s="5" customFormat="1" ht="16.5" customHeight="1">
      <c r="B33" s="50"/>
      <c r="C33" s="272"/>
      <c r="D33" s="272"/>
      <c r="E33" s="272"/>
      <c r="F33" s="364"/>
      <c r="G33" s="364"/>
      <c r="H33" s="365"/>
      <c r="I33" s="130">
        <f t="shared" si="0"/>
        <v>30.6756</v>
      </c>
      <c r="J33" s="366"/>
      <c r="K33" s="151"/>
      <c r="L33" s="367">
        <f t="shared" si="1"/>
      </c>
      <c r="M33" s="368">
        <f t="shared" si="2"/>
      </c>
      <c r="N33" s="218"/>
      <c r="O33" s="219">
        <f t="shared" si="10"/>
      </c>
      <c r="P33" s="660">
        <f t="shared" si="3"/>
        <v>40</v>
      </c>
      <c r="Q33" s="797" t="str">
        <f t="shared" si="4"/>
        <v>--</v>
      </c>
      <c r="R33" s="189" t="str">
        <f t="shared" si="5"/>
        <v>--</v>
      </c>
      <c r="S33" s="361" t="str">
        <f t="shared" si="6"/>
        <v>--</v>
      </c>
      <c r="T33" s="362" t="str">
        <f t="shared" si="7"/>
        <v>--</v>
      </c>
      <c r="U33" s="219">
        <f t="shared" si="8"/>
      </c>
      <c r="V33" s="369">
        <f t="shared" si="9"/>
      </c>
      <c r="W33" s="6"/>
    </row>
    <row r="34" spans="2:23" s="5" customFormat="1" ht="16.5" customHeight="1">
      <c r="B34" s="50"/>
      <c r="C34" s="272"/>
      <c r="D34" s="272"/>
      <c r="E34" s="272"/>
      <c r="F34" s="364"/>
      <c r="G34" s="364"/>
      <c r="H34" s="365"/>
      <c r="I34" s="130">
        <f t="shared" si="0"/>
        <v>30.6756</v>
      </c>
      <c r="J34" s="366"/>
      <c r="K34" s="151"/>
      <c r="L34" s="367">
        <f t="shared" si="1"/>
      </c>
      <c r="M34" s="368">
        <f t="shared" si="2"/>
      </c>
      <c r="N34" s="218"/>
      <c r="O34" s="219">
        <f t="shared" si="10"/>
      </c>
      <c r="P34" s="660">
        <f t="shared" si="3"/>
        <v>40</v>
      </c>
      <c r="Q34" s="797" t="str">
        <f t="shared" si="4"/>
        <v>--</v>
      </c>
      <c r="R34" s="189" t="str">
        <f t="shared" si="5"/>
        <v>--</v>
      </c>
      <c r="S34" s="361" t="str">
        <f t="shared" si="6"/>
        <v>--</v>
      </c>
      <c r="T34" s="362" t="str">
        <f t="shared" si="7"/>
        <v>--</v>
      </c>
      <c r="U34" s="219">
        <f t="shared" si="8"/>
      </c>
      <c r="V34" s="369">
        <f t="shared" si="9"/>
      </c>
      <c r="W34" s="6"/>
    </row>
    <row r="35" spans="2:23" s="5" customFormat="1" ht="16.5" customHeight="1">
      <c r="B35" s="50"/>
      <c r="C35" s="272"/>
      <c r="D35" s="272"/>
      <c r="E35" s="272"/>
      <c r="F35" s="364"/>
      <c r="G35" s="364"/>
      <c r="H35" s="365"/>
      <c r="I35" s="130">
        <f t="shared" si="0"/>
        <v>30.6756</v>
      </c>
      <c r="J35" s="366"/>
      <c r="K35" s="151"/>
      <c r="L35" s="367">
        <f t="shared" si="1"/>
      </c>
      <c r="M35" s="368">
        <f t="shared" si="2"/>
      </c>
      <c r="N35" s="218"/>
      <c r="O35" s="219">
        <f t="shared" si="10"/>
      </c>
      <c r="P35" s="660">
        <f t="shared" si="3"/>
        <v>40</v>
      </c>
      <c r="Q35" s="797" t="str">
        <f t="shared" si="4"/>
        <v>--</v>
      </c>
      <c r="R35" s="189" t="str">
        <f t="shared" si="5"/>
        <v>--</v>
      </c>
      <c r="S35" s="361" t="str">
        <f t="shared" si="6"/>
        <v>--</v>
      </c>
      <c r="T35" s="362" t="str">
        <f t="shared" si="7"/>
        <v>--</v>
      </c>
      <c r="U35" s="219">
        <f t="shared" si="8"/>
      </c>
      <c r="V35" s="369">
        <f t="shared" si="9"/>
      </c>
      <c r="W35" s="6"/>
    </row>
    <row r="36" spans="2:23" s="5" customFormat="1" ht="16.5" customHeight="1">
      <c r="B36" s="50"/>
      <c r="C36" s="272"/>
      <c r="D36" s="272"/>
      <c r="E36" s="272"/>
      <c r="F36" s="364"/>
      <c r="G36" s="364"/>
      <c r="H36" s="365"/>
      <c r="I36" s="130">
        <f t="shared" si="0"/>
        <v>30.6756</v>
      </c>
      <c r="J36" s="366"/>
      <c r="K36" s="151"/>
      <c r="L36" s="367">
        <f t="shared" si="1"/>
      </c>
      <c r="M36" s="368">
        <f t="shared" si="2"/>
      </c>
      <c r="N36" s="218"/>
      <c r="O36" s="219">
        <f t="shared" si="10"/>
      </c>
      <c r="P36" s="660">
        <f t="shared" si="3"/>
        <v>40</v>
      </c>
      <c r="Q36" s="797" t="str">
        <f t="shared" si="4"/>
        <v>--</v>
      </c>
      <c r="R36" s="189" t="str">
        <f t="shared" si="5"/>
        <v>--</v>
      </c>
      <c r="S36" s="361" t="str">
        <f t="shared" si="6"/>
        <v>--</v>
      </c>
      <c r="T36" s="362" t="str">
        <f t="shared" si="7"/>
        <v>--</v>
      </c>
      <c r="U36" s="219">
        <f t="shared" si="8"/>
      </c>
      <c r="V36" s="369">
        <f t="shared" si="9"/>
      </c>
      <c r="W36" s="6"/>
    </row>
    <row r="37" spans="2:23" s="5" customFormat="1" ht="16.5" customHeight="1">
      <c r="B37" s="50"/>
      <c r="C37" s="272"/>
      <c r="D37" s="272"/>
      <c r="E37" s="272"/>
      <c r="F37" s="364"/>
      <c r="G37" s="364"/>
      <c r="H37" s="365"/>
      <c r="I37" s="130">
        <f t="shared" si="0"/>
        <v>30.6756</v>
      </c>
      <c r="J37" s="366"/>
      <c r="K37" s="151"/>
      <c r="L37" s="367">
        <f t="shared" si="1"/>
      </c>
      <c r="M37" s="368">
        <f t="shared" si="2"/>
      </c>
      <c r="N37" s="218"/>
      <c r="O37" s="219">
        <f t="shared" si="10"/>
      </c>
      <c r="P37" s="660">
        <f t="shared" si="3"/>
        <v>40</v>
      </c>
      <c r="Q37" s="797" t="str">
        <f t="shared" si="4"/>
        <v>--</v>
      </c>
      <c r="R37" s="189" t="str">
        <f t="shared" si="5"/>
        <v>--</v>
      </c>
      <c r="S37" s="361" t="str">
        <f t="shared" si="6"/>
        <v>--</v>
      </c>
      <c r="T37" s="362" t="str">
        <f t="shared" si="7"/>
        <v>--</v>
      </c>
      <c r="U37" s="219">
        <f t="shared" si="8"/>
      </c>
      <c r="V37" s="369">
        <f t="shared" si="9"/>
      </c>
      <c r="W37" s="6"/>
    </row>
    <row r="38" spans="2:23" s="5" customFormat="1" ht="16.5" customHeight="1">
      <c r="B38" s="50"/>
      <c r="C38" s="272"/>
      <c r="D38" s="272"/>
      <c r="E38" s="272"/>
      <c r="F38" s="364"/>
      <c r="G38" s="364"/>
      <c r="H38" s="365"/>
      <c r="I38" s="130">
        <f t="shared" si="0"/>
        <v>30.6756</v>
      </c>
      <c r="J38" s="366"/>
      <c r="K38" s="151"/>
      <c r="L38" s="367">
        <f t="shared" si="1"/>
      </c>
      <c r="M38" s="368">
        <f t="shared" si="2"/>
      </c>
      <c r="N38" s="218"/>
      <c r="O38" s="219">
        <f t="shared" si="10"/>
      </c>
      <c r="P38" s="660">
        <f t="shared" si="3"/>
        <v>40</v>
      </c>
      <c r="Q38" s="797" t="str">
        <f t="shared" si="4"/>
        <v>--</v>
      </c>
      <c r="R38" s="189" t="str">
        <f t="shared" si="5"/>
        <v>--</v>
      </c>
      <c r="S38" s="361" t="str">
        <f t="shared" si="6"/>
        <v>--</v>
      </c>
      <c r="T38" s="362" t="str">
        <f t="shared" si="7"/>
        <v>--</v>
      </c>
      <c r="U38" s="219">
        <f t="shared" si="8"/>
      </c>
      <c r="V38" s="369">
        <f t="shared" si="9"/>
      </c>
      <c r="W38" s="6"/>
    </row>
    <row r="39" spans="2:23" s="5" customFormat="1" ht="16.5" customHeight="1">
      <c r="B39" s="50"/>
      <c r="C39" s="272"/>
      <c r="D39" s="272"/>
      <c r="E39" s="272"/>
      <c r="F39" s="364"/>
      <c r="G39" s="364"/>
      <c r="H39" s="365"/>
      <c r="I39" s="130">
        <f t="shared" si="0"/>
        <v>30.6756</v>
      </c>
      <c r="J39" s="366"/>
      <c r="K39" s="151"/>
      <c r="L39" s="367">
        <f t="shared" si="1"/>
      </c>
      <c r="M39" s="368">
        <f t="shared" si="2"/>
      </c>
      <c r="N39" s="218"/>
      <c r="O39" s="219">
        <f t="shared" si="10"/>
      </c>
      <c r="P39" s="660">
        <f t="shared" si="3"/>
        <v>40</v>
      </c>
      <c r="Q39" s="797" t="str">
        <f t="shared" si="4"/>
        <v>--</v>
      </c>
      <c r="R39" s="189" t="str">
        <f t="shared" si="5"/>
        <v>--</v>
      </c>
      <c r="S39" s="361" t="str">
        <f t="shared" si="6"/>
        <v>--</v>
      </c>
      <c r="T39" s="362" t="str">
        <f t="shared" si="7"/>
        <v>--</v>
      </c>
      <c r="U39" s="219">
        <f t="shared" si="8"/>
      </c>
      <c r="V39" s="369">
        <f t="shared" si="9"/>
      </c>
      <c r="W39" s="6"/>
    </row>
    <row r="40" spans="2:23" s="5" customFormat="1" ht="16.5" customHeight="1" thickBot="1">
      <c r="B40" s="50"/>
      <c r="C40" s="272"/>
      <c r="D40" s="836"/>
      <c r="E40" s="272"/>
      <c r="F40" s="147"/>
      <c r="G40" s="147"/>
      <c r="H40" s="226"/>
      <c r="I40" s="131"/>
      <c r="J40" s="370"/>
      <c r="K40" s="370"/>
      <c r="L40" s="371"/>
      <c r="M40" s="371"/>
      <c r="N40" s="370"/>
      <c r="O40" s="152"/>
      <c r="P40" s="372"/>
      <c r="Q40" s="373"/>
      <c r="R40" s="374"/>
      <c r="S40" s="375"/>
      <c r="T40" s="158"/>
      <c r="U40" s="152"/>
      <c r="V40" s="376"/>
      <c r="W40" s="6"/>
    </row>
    <row r="41" spans="2:23" s="5" customFormat="1" ht="16.5" customHeight="1" thickBot="1" thickTop="1">
      <c r="B41" s="50"/>
      <c r="C41" s="127" t="s">
        <v>24</v>
      </c>
      <c r="D41" s="128" t="s">
        <v>328</v>
      </c>
      <c r="E41" s="127"/>
      <c r="F41" s="128"/>
      <c r="G41"/>
      <c r="H41" s="4"/>
      <c r="I41" s="4"/>
      <c r="J41" s="4"/>
      <c r="K41" s="4"/>
      <c r="L41" s="4"/>
      <c r="M41" s="4"/>
      <c r="N41" s="4"/>
      <c r="O41" s="4"/>
      <c r="P41" s="4"/>
      <c r="Q41" s="377">
        <f>SUM(Q22:Q40)</f>
        <v>0</v>
      </c>
      <c r="R41" s="378">
        <f>SUM(R22:R40)</f>
        <v>0</v>
      </c>
      <c r="S41" s="379">
        <f>SUM(S22:S40)</f>
        <v>1411.0775999999998</v>
      </c>
      <c r="T41" s="380">
        <f>SUM(T22:T40)</f>
        <v>0</v>
      </c>
      <c r="U41" s="381"/>
      <c r="V41" s="100">
        <f>ROUND(SUM(V22:V40),2)</f>
        <v>1411.08</v>
      </c>
      <c r="W41" s="6"/>
    </row>
    <row r="42" spans="2:23" s="5" customFormat="1" ht="16.5" customHeight="1" thickBot="1" thickTop="1">
      <c r="B42" s="74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6"/>
    </row>
    <row r="43" spans="23:25" ht="16.5" customHeight="1" thickTop="1">
      <c r="W43" s="173"/>
      <c r="X43" s="173"/>
      <c r="Y43" s="173"/>
    </row>
    <row r="44" spans="23:25" ht="16.5" customHeight="1">
      <c r="W44" s="173"/>
      <c r="X44" s="173"/>
      <c r="Y44" s="173"/>
    </row>
    <row r="45" spans="6:25" ht="16.5" customHeight="1">
      <c r="F45" t="s">
        <v>340</v>
      </c>
      <c r="W45" s="173"/>
      <c r="X45" s="173"/>
      <c r="Y45" s="173"/>
    </row>
    <row r="46" spans="23:25" ht="16.5" customHeight="1">
      <c r="W46" s="173"/>
      <c r="X46" s="173"/>
      <c r="Y46" s="173"/>
    </row>
    <row r="47" spans="23:25" ht="16.5" customHeight="1">
      <c r="W47" s="173"/>
      <c r="X47" s="173"/>
      <c r="Y47" s="173"/>
    </row>
    <row r="48" spans="6:25" ht="16.5" customHeight="1"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</row>
    <row r="49" spans="6:25" ht="16.5" customHeight="1"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</row>
    <row r="50" spans="6:25" ht="16.5" customHeight="1"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</row>
    <row r="51" spans="6:25" ht="16.5" customHeight="1"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</row>
    <row r="52" spans="6:25" ht="16.5" customHeight="1"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</row>
    <row r="53" spans="6:25" ht="16.5" customHeight="1"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</row>
    <row r="54" spans="6:25" ht="16.5" customHeight="1"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</row>
    <row r="55" spans="6:25" ht="16.5" customHeight="1"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</row>
    <row r="56" spans="6:25" ht="16.5" customHeight="1"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</row>
    <row r="57" spans="6:25" ht="16.5" customHeight="1"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</row>
    <row r="58" spans="6:25" ht="16.5" customHeight="1"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</row>
    <row r="59" spans="6:25" ht="16.5" customHeight="1"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</row>
    <row r="60" spans="6:25" ht="16.5" customHeight="1"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</row>
    <row r="61" spans="6:25" ht="16.5" customHeight="1"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</row>
    <row r="62" spans="6:25" ht="16.5" customHeight="1"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</row>
    <row r="63" spans="6:25" ht="16.5" customHeight="1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</row>
    <row r="64" spans="6:25" ht="16.5" customHeight="1"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</row>
    <row r="65" spans="6:25" ht="16.5" customHeight="1"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</row>
    <row r="66" spans="6:25" ht="16.5" customHeight="1"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</row>
    <row r="67" spans="6:25" ht="16.5" customHeight="1"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</row>
    <row r="68" spans="6:25" ht="16.5" customHeight="1"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</row>
    <row r="69" spans="6:25" ht="16.5" customHeight="1"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</row>
    <row r="70" spans="6:25" ht="16.5" customHeight="1"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</row>
    <row r="71" spans="6:25" ht="16.5" customHeight="1"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</row>
    <row r="72" spans="6:25" ht="16.5" customHeight="1"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</row>
    <row r="73" spans="6:25" ht="16.5" customHeight="1"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</row>
    <row r="74" spans="6:25" ht="16.5" customHeight="1"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</row>
    <row r="75" spans="6:25" ht="16.5" customHeight="1"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</row>
    <row r="76" spans="6:25" ht="16.5" customHeight="1"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</row>
    <row r="77" spans="6:25" ht="16.5" customHeight="1"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</row>
    <row r="78" spans="6:25" ht="16.5" customHeight="1"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</row>
    <row r="79" spans="6:25" ht="16.5" customHeight="1"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</row>
    <row r="80" spans="6:25" ht="16.5" customHeight="1"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</row>
    <row r="81" spans="6:25" ht="16.5" customHeight="1"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</row>
    <row r="82" spans="6:25" ht="16.5" customHeight="1"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</row>
    <row r="83" spans="6:25" ht="16.5" customHeight="1"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</row>
    <row r="84" spans="6:25" ht="16.5" customHeight="1"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</row>
    <row r="85" spans="6:25" ht="16.5" customHeight="1"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</row>
    <row r="86" spans="6:25" ht="16.5" customHeight="1"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</row>
    <row r="87" spans="6:25" ht="16.5" customHeight="1"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</row>
    <row r="88" spans="6:25" ht="16.5" customHeight="1"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</row>
    <row r="89" spans="6:25" ht="16.5" customHeight="1"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</row>
    <row r="90" spans="6:25" ht="16.5" customHeight="1"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</row>
    <row r="91" spans="6:25" ht="16.5" customHeight="1"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</row>
    <row r="92" spans="6:25" ht="16.5" customHeight="1"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</row>
    <row r="93" spans="6:25" ht="16.5" customHeight="1"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</row>
    <row r="94" spans="6:25" ht="16.5" customHeight="1"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</row>
    <row r="95" spans="6:25" ht="16.5" customHeight="1"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</row>
    <row r="96" spans="6:25" ht="16.5" customHeight="1"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</row>
    <row r="97" spans="6:25" ht="16.5" customHeight="1"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</row>
    <row r="98" spans="6:25" ht="16.5" customHeight="1"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</row>
    <row r="99" spans="6:25" ht="16.5" customHeight="1"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</row>
    <row r="100" spans="6:25" ht="16.5" customHeight="1"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</row>
    <row r="101" spans="6:25" ht="16.5" customHeight="1"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</row>
    <row r="102" spans="6:25" ht="16.5" customHeight="1"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</row>
    <row r="103" spans="6:25" ht="16.5" customHeight="1"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</row>
    <row r="104" spans="6:25" ht="16.5" customHeight="1"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</row>
    <row r="105" spans="6:25" ht="16.5" customHeight="1"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</row>
    <row r="106" spans="6:25" ht="16.5" customHeight="1"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</row>
    <row r="107" spans="6:25" ht="16.5" customHeight="1"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</row>
    <row r="108" spans="6:25" ht="16.5" customHeight="1"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</row>
    <row r="109" spans="6:25" ht="16.5" customHeight="1"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</row>
    <row r="110" spans="6:25" ht="16.5" customHeight="1"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</row>
    <row r="111" spans="6:25" ht="16.5" customHeight="1"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</row>
    <row r="112" spans="6:25" ht="16.5" customHeight="1"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</row>
    <row r="113" spans="6:25" ht="16.5" customHeight="1"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</row>
    <row r="114" spans="6:25" ht="16.5" customHeight="1"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</row>
    <row r="115" spans="6:25" ht="16.5" customHeight="1"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</row>
    <row r="116" spans="6:25" ht="16.5" customHeight="1"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</row>
    <row r="117" spans="6:25" ht="16.5" customHeight="1"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</row>
    <row r="118" spans="6:25" ht="16.5" customHeight="1"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</row>
    <row r="119" spans="6:25" ht="16.5" customHeight="1"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</row>
    <row r="120" spans="6:25" ht="16.5" customHeight="1"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</row>
    <row r="121" spans="6:25" ht="16.5" customHeight="1"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</row>
    <row r="122" spans="6:25" ht="16.5" customHeight="1"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</row>
    <row r="123" spans="6:25" ht="16.5" customHeight="1"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</row>
    <row r="124" spans="6:25" ht="16.5" customHeight="1"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</row>
    <row r="125" spans="6:25" ht="16.5" customHeight="1"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</row>
    <row r="126" spans="6:25" ht="16.5" customHeight="1"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</row>
    <row r="127" spans="6:25" ht="16.5" customHeight="1"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</row>
    <row r="128" spans="6:25" ht="16.5" customHeight="1"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</row>
    <row r="129" spans="6:25" ht="16.5" customHeight="1"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</row>
    <row r="130" spans="6:25" ht="16.5" customHeight="1"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</row>
    <row r="131" spans="6:25" ht="16.5" customHeight="1"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</row>
    <row r="132" spans="6:25" ht="16.5" customHeight="1"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</row>
    <row r="133" spans="6:25" ht="16.5" customHeight="1"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</row>
    <row r="134" spans="6:25" ht="16.5" customHeight="1"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</row>
    <row r="135" spans="6:25" ht="16.5" customHeight="1"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</row>
    <row r="136" spans="6:25" ht="16.5" customHeight="1"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</row>
    <row r="137" spans="6:25" ht="16.5" customHeight="1"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</row>
    <row r="138" spans="6:25" ht="16.5" customHeight="1"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</row>
    <row r="139" spans="6:25" ht="16.5" customHeight="1"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</row>
    <row r="140" spans="6:25" ht="16.5" customHeight="1"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</row>
    <row r="141" spans="6:25" ht="16.5" customHeight="1"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</row>
    <row r="142" spans="6:25" ht="16.5" customHeight="1"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</row>
    <row r="143" spans="6:25" ht="16.5" customHeight="1"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</row>
    <row r="144" spans="6:25" ht="16.5" customHeight="1"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</row>
    <row r="145" spans="6:25" ht="16.5" customHeight="1"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</row>
    <row r="146" spans="6:25" ht="16.5" customHeight="1"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</row>
    <row r="147" spans="6:25" ht="16.5" customHeight="1"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</row>
    <row r="148" spans="6:25" ht="16.5" customHeight="1"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</row>
    <row r="149" spans="6:25" ht="16.5" customHeight="1"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</row>
    <row r="150" spans="6:25" ht="16.5" customHeight="1"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</row>
    <row r="151" spans="6:25" ht="16.5" customHeight="1"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</row>
    <row r="152" spans="6:25" ht="16.5" customHeight="1"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</row>
    <row r="153" spans="6:25" ht="16.5" customHeight="1"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</row>
    <row r="154" spans="6:25" ht="16.5" customHeight="1"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</row>
    <row r="155" spans="6:25" ht="16.5" customHeight="1"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AC157"/>
  <sheetViews>
    <sheetView zoomScale="70" zoomScaleNormal="70" zoomScalePageLayoutView="0" workbookViewId="0" topLeftCell="A1">
      <selection activeCell="G35" sqref="G35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57421875" style="0" customWidth="1"/>
    <col min="6" max="6" width="33.7109375" style="0" customWidth="1"/>
    <col min="7" max="7" width="32.00390625" style="0" customWidth="1"/>
    <col min="8" max="8" width="8.00390625" style="0" customWidth="1"/>
    <col min="9" max="9" width="6.421875" style="0" hidden="1" customWidth="1"/>
    <col min="10" max="11" width="15.7109375" style="0" customWidth="1"/>
    <col min="12" max="15" width="9.7109375" style="0" customWidth="1"/>
    <col min="16" max="16" width="6.00390625" style="0" customWidth="1"/>
    <col min="17" max="17" width="3.7109375" style="0" hidden="1" customWidth="1"/>
    <col min="18" max="18" width="13.140625" style="0" hidden="1" customWidth="1"/>
    <col min="19" max="22" width="9.57421875" style="0" hidden="1" customWidth="1"/>
    <col min="23" max="24" width="12.28125" style="0" hidden="1" customWidth="1"/>
    <col min="25" max="25" width="9.7109375" style="0" customWidth="1"/>
    <col min="26" max="26" width="15.7109375" style="0" customWidth="1"/>
    <col min="27" max="27" width="4.140625" style="0" customWidth="1"/>
  </cols>
  <sheetData>
    <row r="1" s="18" customFormat="1" ht="26.25">
      <c r="AA1" s="144"/>
    </row>
    <row r="2" spans="1:27" s="18" customFormat="1" ht="26.25">
      <c r="A2" s="91"/>
      <c r="B2" s="383" t="str">
        <f>+'TOT-0111'!B2</f>
        <v>ANEXO II al Memorándum D.T.E.E. N°  1088 / 2012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</row>
    <row r="3" s="5" customFormat="1" ht="15" customHeight="1">
      <c r="A3" s="90"/>
    </row>
    <row r="4" spans="1:4" s="25" customFormat="1" ht="11.25">
      <c r="A4" s="23" t="s">
        <v>1</v>
      </c>
      <c r="B4" s="124"/>
      <c r="C4" s="124"/>
      <c r="D4" s="124"/>
    </row>
    <row r="5" spans="1:4" s="25" customFormat="1" ht="11.25">
      <c r="A5" s="23" t="s">
        <v>2</v>
      </c>
      <c r="B5" s="124"/>
      <c r="C5" s="124"/>
      <c r="D5" s="124"/>
    </row>
    <row r="6" s="5" customFormat="1" ht="13.5" thickBot="1"/>
    <row r="7" spans="2:27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1"/>
    </row>
    <row r="8" spans="2:27" s="29" customFormat="1" ht="20.25">
      <c r="B8" s="79"/>
      <c r="C8" s="30"/>
      <c r="D8" s="30"/>
      <c r="F8" s="172" t="s">
        <v>82</v>
      </c>
      <c r="G8" s="384"/>
      <c r="H8" s="169"/>
      <c r="I8" s="168"/>
      <c r="J8" s="168"/>
      <c r="K8" s="168"/>
      <c r="L8" s="168"/>
      <c r="M8" s="168"/>
      <c r="N8" s="168"/>
      <c r="O8" s="168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385"/>
    </row>
    <row r="9" spans="2:27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6"/>
    </row>
    <row r="10" spans="2:27" s="29" customFormat="1" ht="20.25">
      <c r="B10" s="79"/>
      <c r="C10" s="30"/>
      <c r="D10" s="30"/>
      <c r="F10" s="11" t="s">
        <v>83</v>
      </c>
      <c r="H10" s="386"/>
      <c r="I10" s="81"/>
      <c r="J10" s="81"/>
      <c r="K10" s="81"/>
      <c r="L10" s="81"/>
      <c r="M10" s="81"/>
      <c r="N10" s="81"/>
      <c r="O10" s="81"/>
      <c r="P10" s="81"/>
      <c r="Q10" s="81"/>
      <c r="R10" s="30"/>
      <c r="S10" s="30"/>
      <c r="T10" s="30"/>
      <c r="U10" s="30"/>
      <c r="V10" s="30"/>
      <c r="W10" s="30"/>
      <c r="X10" s="30"/>
      <c r="Y10" s="30"/>
      <c r="Z10" s="30"/>
      <c r="AA10" s="80"/>
    </row>
    <row r="11" spans="2:27" s="5" customFormat="1" ht="16.5" customHeight="1">
      <c r="B11" s="50"/>
      <c r="C11" s="4"/>
      <c r="D11" s="4"/>
      <c r="E11" s="4"/>
      <c r="F11" s="78"/>
      <c r="H11" s="31"/>
      <c r="I11" s="72"/>
      <c r="J11" s="72"/>
      <c r="K11" s="72"/>
      <c r="L11" s="72"/>
      <c r="M11" s="72"/>
      <c r="N11" s="72"/>
      <c r="O11" s="72"/>
      <c r="P11" s="72"/>
      <c r="Q11" s="72"/>
      <c r="R11" s="4"/>
      <c r="S11" s="4"/>
      <c r="T11" s="4"/>
      <c r="U11" s="4"/>
      <c r="V11" s="4"/>
      <c r="W11" s="4"/>
      <c r="X11" s="4"/>
      <c r="Y11" s="4"/>
      <c r="Z11" s="4"/>
      <c r="AA11" s="6"/>
    </row>
    <row r="12" spans="2:27" s="29" customFormat="1" ht="20.25">
      <c r="B12" s="79"/>
      <c r="C12" s="30"/>
      <c r="D12" s="30"/>
      <c r="F12" s="11" t="s">
        <v>84</v>
      </c>
      <c r="H12" s="386"/>
      <c r="I12" s="81"/>
      <c r="J12" s="81"/>
      <c r="K12" s="81"/>
      <c r="L12" s="81"/>
      <c r="M12" s="81"/>
      <c r="N12" s="81"/>
      <c r="O12" s="81"/>
      <c r="P12" s="81"/>
      <c r="Q12" s="81"/>
      <c r="R12" s="30"/>
      <c r="S12" s="30"/>
      <c r="T12" s="30"/>
      <c r="U12" s="30"/>
      <c r="V12" s="30"/>
      <c r="W12" s="30"/>
      <c r="X12" s="30"/>
      <c r="Y12" s="30"/>
      <c r="Z12" s="30"/>
      <c r="AA12" s="80"/>
    </row>
    <row r="13" spans="2:27" s="5" customFormat="1" ht="16.5" customHeight="1">
      <c r="B13" s="50"/>
      <c r="C13" s="4"/>
      <c r="D13" s="4"/>
      <c r="E13" s="4"/>
      <c r="F13" s="78"/>
      <c r="H13" s="31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4"/>
      <c r="T13" s="4"/>
      <c r="U13" s="4"/>
      <c r="V13" s="4"/>
      <c r="W13" s="4"/>
      <c r="X13" s="4"/>
      <c r="Y13" s="4"/>
      <c r="Z13" s="4"/>
      <c r="AA13" s="6"/>
    </row>
    <row r="14" spans="2:27" s="36" customFormat="1" ht="16.5" customHeight="1">
      <c r="B14" s="37" t="str">
        <f>'TOT-0111'!B14</f>
        <v>Desde el 01 al 31 de enero de 2011</v>
      </c>
      <c r="C14" s="40"/>
      <c r="D14" s="40"/>
      <c r="E14" s="387"/>
      <c r="F14" s="388"/>
      <c r="G14" s="388"/>
      <c r="H14" s="388"/>
      <c r="I14" s="388"/>
      <c r="J14" s="388"/>
      <c r="K14" s="388"/>
      <c r="L14" s="388"/>
      <c r="M14" s="388"/>
      <c r="N14" s="388"/>
      <c r="O14" s="388"/>
      <c r="P14" s="388"/>
      <c r="Q14" s="388"/>
      <c r="R14" s="387"/>
      <c r="S14" s="387"/>
      <c r="T14" s="387"/>
      <c r="U14" s="387"/>
      <c r="V14" s="387"/>
      <c r="W14" s="387"/>
      <c r="X14" s="387"/>
      <c r="Y14" s="387"/>
      <c r="Z14" s="387"/>
      <c r="AA14" s="389"/>
    </row>
    <row r="15" spans="2:27" s="5" customFormat="1" ht="16.5" customHeight="1" thickBot="1">
      <c r="B15" s="5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R15" s="4"/>
      <c r="S15" s="4"/>
      <c r="T15" s="4"/>
      <c r="U15" s="4"/>
      <c r="V15" s="4"/>
      <c r="W15" s="4"/>
      <c r="X15" s="4"/>
      <c r="Y15" s="4"/>
      <c r="Z15" s="4"/>
      <c r="AA15" s="6"/>
    </row>
    <row r="16" spans="2:27" s="5" customFormat="1" ht="16.5" customHeight="1" thickBot="1" thickTop="1">
      <c r="B16" s="50"/>
      <c r="C16" s="4"/>
      <c r="D16" s="4"/>
      <c r="E16" s="4"/>
      <c r="F16" s="116" t="s">
        <v>74</v>
      </c>
      <c r="G16" s="390"/>
      <c r="H16" s="250">
        <v>0.56</v>
      </c>
      <c r="I16" s="338"/>
      <c r="J16"/>
      <c r="K16" s="4"/>
      <c r="L16" s="4"/>
      <c r="M16" s="4"/>
      <c r="N16" s="4"/>
      <c r="O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6"/>
    </row>
    <row r="17" spans="2:27" s="5" customFormat="1" ht="16.5" customHeight="1" thickBot="1" thickTop="1">
      <c r="B17" s="50"/>
      <c r="C17" s="4"/>
      <c r="D17" s="4"/>
      <c r="E17" s="4"/>
      <c r="F17" s="391" t="s">
        <v>25</v>
      </c>
      <c r="G17" s="392"/>
      <c r="H17" s="755">
        <v>20</v>
      </c>
      <c r="I17" s="338"/>
      <c r="J17"/>
      <c r="K17" s="200"/>
      <c r="L17" s="201"/>
      <c r="M17" s="4"/>
      <c r="N17" s="4"/>
      <c r="O17" s="4"/>
      <c r="Q17" s="4"/>
      <c r="R17" s="4"/>
      <c r="S17" s="4"/>
      <c r="T17" s="115"/>
      <c r="U17" s="115"/>
      <c r="V17" s="115"/>
      <c r="W17" s="115"/>
      <c r="X17" s="115"/>
      <c r="Y17" s="115"/>
      <c r="Z17" s="115"/>
      <c r="AA17" s="6"/>
    </row>
    <row r="18" spans="2:27" s="5" customFormat="1" ht="16.5" customHeight="1" thickBot="1" thickTop="1">
      <c r="B18" s="50"/>
      <c r="C18" s="824">
        <v>3</v>
      </c>
      <c r="D18" s="824">
        <v>4</v>
      </c>
      <c r="E18" s="824">
        <v>5</v>
      </c>
      <c r="F18" s="824">
        <v>6</v>
      </c>
      <c r="G18" s="824">
        <v>7</v>
      </c>
      <c r="H18" s="824">
        <v>8</v>
      </c>
      <c r="I18" s="824">
        <v>9</v>
      </c>
      <c r="J18" s="824">
        <v>10</v>
      </c>
      <c r="K18" s="824">
        <v>11</v>
      </c>
      <c r="L18" s="824">
        <v>12</v>
      </c>
      <c r="M18" s="824">
        <v>13</v>
      </c>
      <c r="N18" s="824">
        <v>14</v>
      </c>
      <c r="O18" s="824">
        <v>15</v>
      </c>
      <c r="P18" s="824">
        <v>16</v>
      </c>
      <c r="Q18" s="824">
        <v>17</v>
      </c>
      <c r="R18" s="824">
        <v>18</v>
      </c>
      <c r="S18" s="824">
        <v>19</v>
      </c>
      <c r="T18" s="824">
        <v>20</v>
      </c>
      <c r="U18" s="824">
        <v>21</v>
      </c>
      <c r="V18" s="824">
        <v>22</v>
      </c>
      <c r="W18" s="824">
        <v>23</v>
      </c>
      <c r="X18" s="824">
        <v>24</v>
      </c>
      <c r="Y18" s="824">
        <v>25</v>
      </c>
      <c r="Z18" s="824">
        <v>26</v>
      </c>
      <c r="AA18" s="6"/>
    </row>
    <row r="19" spans="2:27" s="5" customFormat="1" ht="33.75" customHeight="1" thickBot="1" thickTop="1">
      <c r="B19" s="50"/>
      <c r="C19" s="123" t="s">
        <v>12</v>
      </c>
      <c r="D19" s="84" t="s">
        <v>212</v>
      </c>
      <c r="E19" s="84" t="s">
        <v>213</v>
      </c>
      <c r="F19" s="86" t="s">
        <v>26</v>
      </c>
      <c r="G19" s="85" t="s">
        <v>27</v>
      </c>
      <c r="H19" s="394" t="s">
        <v>211</v>
      </c>
      <c r="I19" s="129" t="s">
        <v>15</v>
      </c>
      <c r="J19" s="85" t="s">
        <v>16</v>
      </c>
      <c r="K19" s="85" t="s">
        <v>17</v>
      </c>
      <c r="L19" s="86" t="s">
        <v>35</v>
      </c>
      <c r="M19" s="86" t="s">
        <v>30</v>
      </c>
      <c r="N19" s="88" t="s">
        <v>18</v>
      </c>
      <c r="O19" s="88" t="s">
        <v>57</v>
      </c>
      <c r="P19" s="85" t="s">
        <v>31</v>
      </c>
      <c r="Q19" s="129" t="s">
        <v>36</v>
      </c>
      <c r="R19" s="395" t="s">
        <v>68</v>
      </c>
      <c r="S19" s="396" t="s">
        <v>207</v>
      </c>
      <c r="T19" s="397"/>
      <c r="U19" s="254" t="s">
        <v>208</v>
      </c>
      <c r="V19" s="255"/>
      <c r="W19" s="398" t="s">
        <v>21</v>
      </c>
      <c r="X19" s="253" t="s">
        <v>20</v>
      </c>
      <c r="Y19" s="132" t="s">
        <v>72</v>
      </c>
      <c r="Z19" s="399" t="s">
        <v>23</v>
      </c>
      <c r="AA19" s="6"/>
    </row>
    <row r="20" spans="2:27" s="5" customFormat="1" ht="16.5" customHeight="1" thickTop="1">
      <c r="B20" s="50"/>
      <c r="C20" s="258"/>
      <c r="D20" s="258"/>
      <c r="E20" s="258"/>
      <c r="F20" s="401"/>
      <c r="G20" s="401"/>
      <c r="H20" s="401"/>
      <c r="I20" s="329"/>
      <c r="J20" s="402"/>
      <c r="K20" s="402"/>
      <c r="L20" s="400"/>
      <c r="M20" s="400"/>
      <c r="N20" s="401"/>
      <c r="O20" s="181"/>
      <c r="P20" s="400"/>
      <c r="Q20" s="403"/>
      <c r="R20" s="404"/>
      <c r="S20" s="405"/>
      <c r="T20" s="406"/>
      <c r="U20" s="267"/>
      <c r="V20" s="268"/>
      <c r="W20" s="407"/>
      <c r="X20" s="407"/>
      <c r="Y20" s="408"/>
      <c r="Z20" s="409"/>
      <c r="AA20" s="6"/>
    </row>
    <row r="21" spans="2:27" s="5" customFormat="1" ht="16.5" customHeight="1">
      <c r="B21" s="50"/>
      <c r="C21" s="272"/>
      <c r="D21" s="272"/>
      <c r="E21" s="272"/>
      <c r="F21" s="410"/>
      <c r="G21" s="411"/>
      <c r="H21" s="412"/>
      <c r="I21" s="413"/>
      <c r="J21" s="414"/>
      <c r="K21" s="415"/>
      <c r="L21" s="416"/>
      <c r="M21" s="417"/>
      <c r="N21" s="418"/>
      <c r="O21" s="182"/>
      <c r="P21" s="419"/>
      <c r="Q21" s="420"/>
      <c r="R21" s="421"/>
      <c r="S21" s="422"/>
      <c r="T21" s="423"/>
      <c r="U21" s="281"/>
      <c r="V21" s="282"/>
      <c r="W21" s="424"/>
      <c r="X21" s="424"/>
      <c r="Y21" s="419"/>
      <c r="Z21" s="425"/>
      <c r="AA21" s="6"/>
    </row>
    <row r="22" spans="2:27" s="5" customFormat="1" ht="16.5" customHeight="1">
      <c r="B22" s="50"/>
      <c r="C22" s="272">
        <v>45</v>
      </c>
      <c r="D22" s="272">
        <v>230163</v>
      </c>
      <c r="E22" s="153">
        <v>587</v>
      </c>
      <c r="F22" s="426" t="s">
        <v>321</v>
      </c>
      <c r="G22" s="364" t="s">
        <v>322</v>
      </c>
      <c r="H22" s="427">
        <v>245</v>
      </c>
      <c r="I22" s="289">
        <f aca="true" t="shared" si="0" ref="I22:I41">H22*$H$16</f>
        <v>137.20000000000002</v>
      </c>
      <c r="J22" s="366">
        <v>40545.25069444445</v>
      </c>
      <c r="K22" s="186">
        <v>40545.70763888889</v>
      </c>
      <c r="L22" s="367">
        <f aca="true" t="shared" si="1" ref="L22:L41">IF(F22="","",(K22-J22)*24)</f>
        <v>10.96666666661622</v>
      </c>
      <c r="M22" s="368">
        <f aca="true" t="shared" si="2" ref="M22:M41">IF(F22="","",ROUND((K22-J22)*24*60,0))</f>
        <v>658</v>
      </c>
      <c r="N22" s="218" t="s">
        <v>275</v>
      </c>
      <c r="O22" s="843" t="s">
        <v>323</v>
      </c>
      <c r="P22" s="219" t="str">
        <f aca="true" t="shared" si="3" ref="P22:P41">IF(F22="","",IF(OR(N22="P",N22="RP"),"--","NO"))</f>
        <v>--</v>
      </c>
      <c r="Q22" s="798">
        <f aca="true" t="shared" si="4" ref="Q22:Q41">IF(OR(N22="P",N22="RP"),$H$17/10,$H$17)</f>
        <v>2</v>
      </c>
      <c r="R22" s="799">
        <f aca="true" t="shared" si="5" ref="R22:R41">IF(N22="P",I22*Q22*ROUND(M22/60,2),"--")</f>
        <v>3010.1680000000006</v>
      </c>
      <c r="S22" s="422" t="str">
        <f aca="true" t="shared" si="6" ref="S22:S41">IF(AND(N22="F",P22="NO"),I22*Q22,"--")</f>
        <v>--</v>
      </c>
      <c r="T22" s="423" t="str">
        <f aca="true" t="shared" si="7" ref="T22:T41">IF(N22="F",I22*Q22*ROUND(M22/60,2),"--")</f>
        <v>--</v>
      </c>
      <c r="U22" s="296" t="str">
        <f aca="true" t="shared" si="8" ref="U22:U41">IF(AND(N22="R",P22="NO"),I22*Q22*O22/100,"--")</f>
        <v>--</v>
      </c>
      <c r="V22" s="297" t="str">
        <f aca="true" t="shared" si="9" ref="V22:V41">IF(N22="R",I22*Q22*O22/100*ROUND(M22/60,2),"--")</f>
        <v>--</v>
      </c>
      <c r="W22" s="424" t="str">
        <f aca="true" t="shared" si="10" ref="W22:W41">IF(N22="RF",I22*Q22*ROUND(M22/60,2),"--")</f>
        <v>--</v>
      </c>
      <c r="X22" s="796" t="str">
        <f aca="true" t="shared" si="11" ref="X22:X41">IF(N22="RP",I22*Q22*O22/100*ROUND(M22/60,2),"--")</f>
        <v>--</v>
      </c>
      <c r="Y22" s="219" t="s">
        <v>194</v>
      </c>
      <c r="Z22" s="369">
        <f aca="true" t="shared" si="12" ref="Z22:Z41">IF(F22="","",SUM(R22:X22)*IF(Y22="SI",1,2)*IF(AND(O22&lt;&gt;"--",N22="RF"),O22/100,1))</f>
        <v>3010.1680000000006</v>
      </c>
      <c r="AA22" s="6"/>
    </row>
    <row r="23" spans="2:27" s="5" customFormat="1" ht="16.5" customHeight="1">
      <c r="B23" s="50"/>
      <c r="C23" s="272">
        <v>46</v>
      </c>
      <c r="D23" s="272">
        <v>230459</v>
      </c>
      <c r="E23" s="272">
        <v>591</v>
      </c>
      <c r="F23" s="426" t="s">
        <v>321</v>
      </c>
      <c r="G23" s="364" t="s">
        <v>324</v>
      </c>
      <c r="H23" s="427">
        <v>245</v>
      </c>
      <c r="I23" s="289">
        <f t="shared" si="0"/>
        <v>137.20000000000002</v>
      </c>
      <c r="J23" s="366">
        <v>40553.24930555555</v>
      </c>
      <c r="K23" s="186">
        <v>40560.55069444444</v>
      </c>
      <c r="L23" s="367">
        <f t="shared" si="1"/>
        <v>175.2333333333372</v>
      </c>
      <c r="M23" s="368">
        <f t="shared" si="2"/>
        <v>10514</v>
      </c>
      <c r="N23" s="218" t="s">
        <v>275</v>
      </c>
      <c r="O23" s="843" t="s">
        <v>323</v>
      </c>
      <c r="P23" s="219" t="str">
        <f t="shared" si="3"/>
        <v>--</v>
      </c>
      <c r="Q23" s="798">
        <f t="shared" si="4"/>
        <v>2</v>
      </c>
      <c r="R23" s="799">
        <f t="shared" si="5"/>
        <v>48083.112</v>
      </c>
      <c r="S23" s="422" t="str">
        <f t="shared" si="6"/>
        <v>--</v>
      </c>
      <c r="T23" s="423" t="str">
        <f t="shared" si="7"/>
        <v>--</v>
      </c>
      <c r="U23" s="296" t="str">
        <f t="shared" si="8"/>
        <v>--</v>
      </c>
      <c r="V23" s="297" t="str">
        <f t="shared" si="9"/>
        <v>--</v>
      </c>
      <c r="W23" s="424" t="str">
        <f t="shared" si="10"/>
        <v>--</v>
      </c>
      <c r="X23" s="796" t="str">
        <f t="shared" si="11"/>
        <v>--</v>
      </c>
      <c r="Y23" s="219" t="s">
        <v>194</v>
      </c>
      <c r="Z23" s="369">
        <f t="shared" si="12"/>
        <v>48083.112</v>
      </c>
      <c r="AA23" s="6"/>
    </row>
    <row r="24" spans="2:27" s="5" customFormat="1" ht="16.5" customHeight="1">
      <c r="B24" s="50"/>
      <c r="C24" s="272">
        <v>47</v>
      </c>
      <c r="D24" s="272">
        <v>230714</v>
      </c>
      <c r="E24" s="153">
        <v>637</v>
      </c>
      <c r="F24" s="426" t="s">
        <v>350</v>
      </c>
      <c r="G24" s="364" t="s">
        <v>351</v>
      </c>
      <c r="H24" s="427">
        <v>85</v>
      </c>
      <c r="I24" s="289">
        <f t="shared" si="0"/>
        <v>47.6</v>
      </c>
      <c r="J24" s="366">
        <v>40561.342361111114</v>
      </c>
      <c r="K24" s="186">
        <v>40561.615277777775</v>
      </c>
      <c r="L24" s="367">
        <f t="shared" si="1"/>
        <v>6.549999999871943</v>
      </c>
      <c r="M24" s="368">
        <f t="shared" si="2"/>
        <v>393</v>
      </c>
      <c r="N24" s="218" t="s">
        <v>275</v>
      </c>
      <c r="O24" s="843" t="s">
        <v>323</v>
      </c>
      <c r="P24" s="219" t="str">
        <f t="shared" si="3"/>
        <v>--</v>
      </c>
      <c r="Q24" s="798">
        <f t="shared" si="4"/>
        <v>2</v>
      </c>
      <c r="R24" s="799">
        <f t="shared" si="5"/>
        <v>623.56</v>
      </c>
      <c r="S24" s="422" t="str">
        <f t="shared" si="6"/>
        <v>--</v>
      </c>
      <c r="T24" s="423" t="str">
        <f t="shared" si="7"/>
        <v>--</v>
      </c>
      <c r="U24" s="296" t="str">
        <f t="shared" si="8"/>
        <v>--</v>
      </c>
      <c r="V24" s="297" t="str">
        <f t="shared" si="9"/>
        <v>--</v>
      </c>
      <c r="W24" s="424" t="str">
        <f t="shared" si="10"/>
        <v>--</v>
      </c>
      <c r="X24" s="796" t="str">
        <f t="shared" si="11"/>
        <v>--</v>
      </c>
      <c r="Y24" s="219" t="s">
        <v>194</v>
      </c>
      <c r="Z24" s="369">
        <f t="shared" si="12"/>
        <v>623.56</v>
      </c>
      <c r="AA24" s="6"/>
    </row>
    <row r="25" spans="2:27" s="5" customFormat="1" ht="16.5" customHeight="1">
      <c r="B25" s="50"/>
      <c r="C25" s="272">
        <v>48</v>
      </c>
      <c r="D25" s="272">
        <v>230715</v>
      </c>
      <c r="E25" s="272">
        <v>637</v>
      </c>
      <c r="F25" s="426" t="s">
        <v>350</v>
      </c>
      <c r="G25" s="364" t="s">
        <v>351</v>
      </c>
      <c r="H25" s="427">
        <v>85</v>
      </c>
      <c r="I25" s="289">
        <f t="shared" si="0"/>
        <v>47.6</v>
      </c>
      <c r="J25" s="366">
        <v>40562.33541666667</v>
      </c>
      <c r="K25" s="186">
        <v>40562.59097222222</v>
      </c>
      <c r="L25" s="367">
        <f t="shared" si="1"/>
        <v>6.133333333244082</v>
      </c>
      <c r="M25" s="368">
        <f t="shared" si="2"/>
        <v>368</v>
      </c>
      <c r="N25" s="218" t="s">
        <v>275</v>
      </c>
      <c r="O25" s="843" t="s">
        <v>323</v>
      </c>
      <c r="P25" s="219" t="str">
        <f t="shared" si="3"/>
        <v>--</v>
      </c>
      <c r="Q25" s="798">
        <f t="shared" si="4"/>
        <v>2</v>
      </c>
      <c r="R25" s="799">
        <f t="shared" si="5"/>
        <v>583.576</v>
      </c>
      <c r="S25" s="422" t="str">
        <f t="shared" si="6"/>
        <v>--</v>
      </c>
      <c r="T25" s="423" t="str">
        <f t="shared" si="7"/>
        <v>--</v>
      </c>
      <c r="U25" s="296" t="str">
        <f t="shared" si="8"/>
        <v>--</v>
      </c>
      <c r="V25" s="297" t="str">
        <f t="shared" si="9"/>
        <v>--</v>
      </c>
      <c r="W25" s="424" t="str">
        <f t="shared" si="10"/>
        <v>--</v>
      </c>
      <c r="X25" s="796" t="str">
        <f t="shared" si="11"/>
        <v>--</v>
      </c>
      <c r="Y25" s="219" t="s">
        <v>194</v>
      </c>
      <c r="Z25" s="369">
        <f t="shared" si="12"/>
        <v>583.576</v>
      </c>
      <c r="AA25" s="428"/>
    </row>
    <row r="26" spans="2:27" s="5" customFormat="1" ht="16.5" customHeight="1">
      <c r="B26" s="50"/>
      <c r="C26" s="272">
        <v>49</v>
      </c>
      <c r="D26" s="272">
        <v>230719</v>
      </c>
      <c r="E26" s="153">
        <v>1338</v>
      </c>
      <c r="F26" s="426" t="s">
        <v>325</v>
      </c>
      <c r="G26" s="364" t="s">
        <v>326</v>
      </c>
      <c r="H26" s="427">
        <v>150</v>
      </c>
      <c r="I26" s="289">
        <f t="shared" si="0"/>
        <v>84.00000000000001</v>
      </c>
      <c r="J26" s="366">
        <v>40563.28611111111</v>
      </c>
      <c r="K26" s="186">
        <v>40563.510416666664</v>
      </c>
      <c r="L26" s="367">
        <f t="shared" si="1"/>
        <v>5.383333333244082</v>
      </c>
      <c r="M26" s="368">
        <f t="shared" si="2"/>
        <v>323</v>
      </c>
      <c r="N26" s="218" t="s">
        <v>281</v>
      </c>
      <c r="O26" s="843" t="s">
        <v>323</v>
      </c>
      <c r="P26" s="219" t="s">
        <v>194</v>
      </c>
      <c r="Q26" s="798">
        <f t="shared" si="4"/>
        <v>20</v>
      </c>
      <c r="R26" s="799" t="str">
        <f t="shared" si="5"/>
        <v>--</v>
      </c>
      <c r="S26" s="422" t="str">
        <f t="shared" si="6"/>
        <v>--</v>
      </c>
      <c r="T26" s="423">
        <f t="shared" si="7"/>
        <v>9038.400000000001</v>
      </c>
      <c r="U26" s="296" t="str">
        <f t="shared" si="8"/>
        <v>--</v>
      </c>
      <c r="V26" s="297" t="str">
        <f t="shared" si="9"/>
        <v>--</v>
      </c>
      <c r="W26" s="424" t="str">
        <f t="shared" si="10"/>
        <v>--</v>
      </c>
      <c r="X26" s="796" t="str">
        <f t="shared" si="11"/>
        <v>--</v>
      </c>
      <c r="Y26" s="219" t="s">
        <v>194</v>
      </c>
      <c r="Z26" s="369">
        <f t="shared" si="12"/>
        <v>9038.400000000001</v>
      </c>
      <c r="AA26" s="428"/>
    </row>
    <row r="27" spans="2:27" s="5" customFormat="1" ht="16.5" customHeight="1">
      <c r="B27" s="50"/>
      <c r="C27" s="272">
        <v>50</v>
      </c>
      <c r="D27" s="272">
        <v>230729</v>
      </c>
      <c r="E27" s="272">
        <v>591</v>
      </c>
      <c r="F27" s="426" t="s">
        <v>321</v>
      </c>
      <c r="G27" s="364" t="s">
        <v>324</v>
      </c>
      <c r="H27" s="427">
        <v>245</v>
      </c>
      <c r="I27" s="289">
        <f t="shared" si="0"/>
        <v>137.20000000000002</v>
      </c>
      <c r="J27" s="366">
        <v>40566.33819444444</v>
      </c>
      <c r="K27" s="186">
        <v>40566.35486111111</v>
      </c>
      <c r="L27" s="367">
        <f t="shared" si="1"/>
        <v>0.4000000000814907</v>
      </c>
      <c r="M27" s="368">
        <f t="shared" si="2"/>
        <v>24</v>
      </c>
      <c r="N27" s="218" t="s">
        <v>281</v>
      </c>
      <c r="O27" s="843" t="s">
        <v>323</v>
      </c>
      <c r="P27" s="219" t="str">
        <f t="shared" si="3"/>
        <v>NO</v>
      </c>
      <c r="Q27" s="798">
        <f t="shared" si="4"/>
        <v>20</v>
      </c>
      <c r="R27" s="799" t="str">
        <f t="shared" si="5"/>
        <v>--</v>
      </c>
      <c r="S27" s="422">
        <f t="shared" si="6"/>
        <v>2744.0000000000005</v>
      </c>
      <c r="T27" s="423">
        <f t="shared" si="7"/>
        <v>1097.6000000000001</v>
      </c>
      <c r="U27" s="296" t="str">
        <f t="shared" si="8"/>
        <v>--</v>
      </c>
      <c r="V27" s="297" t="str">
        <f t="shared" si="9"/>
        <v>--</v>
      </c>
      <c r="W27" s="424" t="str">
        <f t="shared" si="10"/>
        <v>--</v>
      </c>
      <c r="X27" s="796" t="str">
        <f t="shared" si="11"/>
        <v>--</v>
      </c>
      <c r="Y27" s="219" t="s">
        <v>194</v>
      </c>
      <c r="Z27" s="369">
        <f t="shared" si="12"/>
        <v>3841.6000000000004</v>
      </c>
      <c r="AA27" s="428"/>
    </row>
    <row r="28" spans="2:27" s="5" customFormat="1" ht="16.5" customHeight="1">
      <c r="B28" s="50"/>
      <c r="C28" s="272"/>
      <c r="D28" s="272"/>
      <c r="E28" s="153"/>
      <c r="F28" s="426"/>
      <c r="G28" s="364"/>
      <c r="H28" s="427"/>
      <c r="I28" s="289">
        <f t="shared" si="0"/>
        <v>0</v>
      </c>
      <c r="J28" s="366"/>
      <c r="K28" s="186"/>
      <c r="L28" s="367">
        <f t="shared" si="1"/>
      </c>
      <c r="M28" s="368">
        <f t="shared" si="2"/>
      </c>
      <c r="N28" s="218"/>
      <c r="O28" s="501">
        <f aca="true" t="shared" si="13" ref="O28:O41">IF(F28="","","--")</f>
      </c>
      <c r="P28" s="219">
        <f t="shared" si="3"/>
      </c>
      <c r="Q28" s="798">
        <f t="shared" si="4"/>
        <v>20</v>
      </c>
      <c r="R28" s="799" t="str">
        <f t="shared" si="5"/>
        <v>--</v>
      </c>
      <c r="S28" s="422" t="str">
        <f t="shared" si="6"/>
        <v>--</v>
      </c>
      <c r="T28" s="423" t="str">
        <f t="shared" si="7"/>
        <v>--</v>
      </c>
      <c r="U28" s="296" t="str">
        <f t="shared" si="8"/>
        <v>--</v>
      </c>
      <c r="V28" s="297" t="str">
        <f t="shared" si="9"/>
        <v>--</v>
      </c>
      <c r="W28" s="424" t="str">
        <f t="shared" si="10"/>
        <v>--</v>
      </c>
      <c r="X28" s="796" t="str">
        <f t="shared" si="11"/>
        <v>--</v>
      </c>
      <c r="Y28" s="219">
        <f aca="true" t="shared" si="14" ref="Y28:Y41">IF(F28="","","SI")</f>
      </c>
      <c r="Z28" s="369">
        <f t="shared" si="12"/>
      </c>
      <c r="AA28" s="428"/>
    </row>
    <row r="29" spans="2:27" s="5" customFormat="1" ht="16.5" customHeight="1">
      <c r="B29" s="50"/>
      <c r="C29" s="272"/>
      <c r="D29" s="272"/>
      <c r="E29" s="272"/>
      <c r="F29" s="426"/>
      <c r="G29" s="364"/>
      <c r="H29" s="427"/>
      <c r="I29" s="289">
        <f t="shared" si="0"/>
        <v>0</v>
      </c>
      <c r="J29" s="366"/>
      <c r="K29" s="186"/>
      <c r="L29" s="367">
        <f t="shared" si="1"/>
      </c>
      <c r="M29" s="368">
        <f t="shared" si="2"/>
      </c>
      <c r="N29" s="218"/>
      <c r="O29" s="501">
        <f t="shared" si="13"/>
      </c>
      <c r="P29" s="219">
        <f t="shared" si="3"/>
      </c>
      <c r="Q29" s="798">
        <f t="shared" si="4"/>
        <v>20</v>
      </c>
      <c r="R29" s="799" t="str">
        <f t="shared" si="5"/>
        <v>--</v>
      </c>
      <c r="S29" s="422" t="str">
        <f t="shared" si="6"/>
        <v>--</v>
      </c>
      <c r="T29" s="423" t="str">
        <f t="shared" si="7"/>
        <v>--</v>
      </c>
      <c r="U29" s="296" t="str">
        <f t="shared" si="8"/>
        <v>--</v>
      </c>
      <c r="V29" s="297" t="str">
        <f t="shared" si="9"/>
        <v>--</v>
      </c>
      <c r="W29" s="424" t="str">
        <f t="shared" si="10"/>
        <v>--</v>
      </c>
      <c r="X29" s="796" t="str">
        <f t="shared" si="11"/>
        <v>--</v>
      </c>
      <c r="Y29" s="219">
        <f t="shared" si="14"/>
      </c>
      <c r="Z29" s="369">
        <f t="shared" si="12"/>
      </c>
      <c r="AA29" s="428"/>
    </row>
    <row r="30" spans="2:27" s="5" customFormat="1" ht="16.5" customHeight="1">
      <c r="B30" s="50"/>
      <c r="C30" s="272"/>
      <c r="D30" s="272"/>
      <c r="E30" s="153"/>
      <c r="F30" s="426"/>
      <c r="G30" s="364"/>
      <c r="H30" s="427"/>
      <c r="I30" s="289">
        <f t="shared" si="0"/>
        <v>0</v>
      </c>
      <c r="J30" s="366"/>
      <c r="K30" s="186"/>
      <c r="L30" s="367">
        <f t="shared" si="1"/>
      </c>
      <c r="M30" s="368">
        <f t="shared" si="2"/>
      </c>
      <c r="N30" s="218"/>
      <c r="O30" s="501">
        <f t="shared" si="13"/>
      </c>
      <c r="P30" s="219">
        <f t="shared" si="3"/>
      </c>
      <c r="Q30" s="798">
        <f t="shared" si="4"/>
        <v>20</v>
      </c>
      <c r="R30" s="799" t="str">
        <f t="shared" si="5"/>
        <v>--</v>
      </c>
      <c r="S30" s="422" t="str">
        <f t="shared" si="6"/>
        <v>--</v>
      </c>
      <c r="T30" s="423" t="str">
        <f t="shared" si="7"/>
        <v>--</v>
      </c>
      <c r="U30" s="296" t="str">
        <f t="shared" si="8"/>
        <v>--</v>
      </c>
      <c r="V30" s="297" t="str">
        <f t="shared" si="9"/>
        <v>--</v>
      </c>
      <c r="W30" s="424" t="str">
        <f t="shared" si="10"/>
        <v>--</v>
      </c>
      <c r="X30" s="796" t="str">
        <f t="shared" si="11"/>
        <v>--</v>
      </c>
      <c r="Y30" s="219">
        <f t="shared" si="14"/>
      </c>
      <c r="Z30" s="369">
        <f t="shared" si="12"/>
      </c>
      <c r="AA30" s="428"/>
    </row>
    <row r="31" spans="2:27" s="5" customFormat="1" ht="16.5" customHeight="1">
      <c r="B31" s="50"/>
      <c r="C31" s="272"/>
      <c r="D31" s="272"/>
      <c r="E31" s="272"/>
      <c r="F31" s="426"/>
      <c r="G31" s="364"/>
      <c r="H31" s="427"/>
      <c r="I31" s="289">
        <f t="shared" si="0"/>
        <v>0</v>
      </c>
      <c r="J31" s="366"/>
      <c r="K31" s="186"/>
      <c r="L31" s="367">
        <f t="shared" si="1"/>
      </c>
      <c r="M31" s="368">
        <f t="shared" si="2"/>
      </c>
      <c r="N31" s="218"/>
      <c r="O31" s="501">
        <f t="shared" si="13"/>
      </c>
      <c r="P31" s="219">
        <f t="shared" si="3"/>
      </c>
      <c r="Q31" s="798">
        <f t="shared" si="4"/>
        <v>20</v>
      </c>
      <c r="R31" s="799" t="str">
        <f t="shared" si="5"/>
        <v>--</v>
      </c>
      <c r="S31" s="422" t="str">
        <f t="shared" si="6"/>
        <v>--</v>
      </c>
      <c r="T31" s="423" t="str">
        <f t="shared" si="7"/>
        <v>--</v>
      </c>
      <c r="U31" s="296" t="str">
        <f t="shared" si="8"/>
        <v>--</v>
      </c>
      <c r="V31" s="297" t="str">
        <f t="shared" si="9"/>
        <v>--</v>
      </c>
      <c r="W31" s="424" t="str">
        <f t="shared" si="10"/>
        <v>--</v>
      </c>
      <c r="X31" s="796" t="str">
        <f t="shared" si="11"/>
        <v>--</v>
      </c>
      <c r="Y31" s="219">
        <f t="shared" si="14"/>
      </c>
      <c r="Z31" s="369">
        <f t="shared" si="12"/>
      </c>
      <c r="AA31" s="6"/>
    </row>
    <row r="32" spans="2:27" s="5" customFormat="1" ht="16.5" customHeight="1">
      <c r="B32" s="50"/>
      <c r="C32" s="272"/>
      <c r="D32" s="272"/>
      <c r="E32" s="153"/>
      <c r="F32" s="426"/>
      <c r="G32" s="364"/>
      <c r="H32" s="427"/>
      <c r="I32" s="289">
        <f t="shared" si="0"/>
        <v>0</v>
      </c>
      <c r="J32" s="366"/>
      <c r="K32" s="186"/>
      <c r="L32" s="367">
        <f t="shared" si="1"/>
      </c>
      <c r="M32" s="368">
        <f t="shared" si="2"/>
      </c>
      <c r="N32" s="218"/>
      <c r="O32" s="501">
        <f t="shared" si="13"/>
      </c>
      <c r="P32" s="219">
        <f t="shared" si="3"/>
      </c>
      <c r="Q32" s="798">
        <f t="shared" si="4"/>
        <v>20</v>
      </c>
      <c r="R32" s="799" t="str">
        <f t="shared" si="5"/>
        <v>--</v>
      </c>
      <c r="S32" s="422" t="str">
        <f t="shared" si="6"/>
        <v>--</v>
      </c>
      <c r="T32" s="423" t="str">
        <f t="shared" si="7"/>
        <v>--</v>
      </c>
      <c r="U32" s="296" t="str">
        <f t="shared" si="8"/>
        <v>--</v>
      </c>
      <c r="V32" s="297" t="str">
        <f t="shared" si="9"/>
        <v>--</v>
      </c>
      <c r="W32" s="424" t="str">
        <f t="shared" si="10"/>
        <v>--</v>
      </c>
      <c r="X32" s="796" t="str">
        <f t="shared" si="11"/>
        <v>--</v>
      </c>
      <c r="Y32" s="219">
        <f t="shared" si="14"/>
      </c>
      <c r="Z32" s="369">
        <f t="shared" si="12"/>
      </c>
      <c r="AA32" s="6"/>
    </row>
    <row r="33" spans="2:27" s="5" customFormat="1" ht="16.5" customHeight="1">
      <c r="B33" s="50"/>
      <c r="C33" s="272"/>
      <c r="D33" s="272"/>
      <c r="E33" s="272"/>
      <c r="F33" s="426"/>
      <c r="G33" s="364"/>
      <c r="H33" s="427"/>
      <c r="I33" s="289">
        <f t="shared" si="0"/>
        <v>0</v>
      </c>
      <c r="J33" s="366"/>
      <c r="K33" s="186"/>
      <c r="L33" s="367">
        <f t="shared" si="1"/>
      </c>
      <c r="M33" s="368">
        <f t="shared" si="2"/>
      </c>
      <c r="N33" s="218"/>
      <c r="O33" s="501">
        <f t="shared" si="13"/>
      </c>
      <c r="P33" s="219">
        <f t="shared" si="3"/>
      </c>
      <c r="Q33" s="798">
        <f t="shared" si="4"/>
        <v>20</v>
      </c>
      <c r="R33" s="799" t="str">
        <f t="shared" si="5"/>
        <v>--</v>
      </c>
      <c r="S33" s="422" t="str">
        <f t="shared" si="6"/>
        <v>--</v>
      </c>
      <c r="T33" s="423" t="str">
        <f t="shared" si="7"/>
        <v>--</v>
      </c>
      <c r="U33" s="296" t="str">
        <f t="shared" si="8"/>
        <v>--</v>
      </c>
      <c r="V33" s="297" t="str">
        <f t="shared" si="9"/>
        <v>--</v>
      </c>
      <c r="W33" s="424" t="str">
        <f t="shared" si="10"/>
        <v>--</v>
      </c>
      <c r="X33" s="796" t="str">
        <f t="shared" si="11"/>
        <v>--</v>
      </c>
      <c r="Y33" s="219">
        <f t="shared" si="14"/>
      </c>
      <c r="Z33" s="369">
        <f t="shared" si="12"/>
      </c>
      <c r="AA33" s="6"/>
    </row>
    <row r="34" spans="2:27" s="5" customFormat="1" ht="16.5" customHeight="1">
      <c r="B34" s="50"/>
      <c r="C34" s="272"/>
      <c r="D34" s="272"/>
      <c r="E34" s="153"/>
      <c r="F34" s="426"/>
      <c r="G34" s="364"/>
      <c r="H34" s="427"/>
      <c r="I34" s="289">
        <f t="shared" si="0"/>
        <v>0</v>
      </c>
      <c r="J34" s="366"/>
      <c r="K34" s="186"/>
      <c r="L34" s="367">
        <f t="shared" si="1"/>
      </c>
      <c r="M34" s="368">
        <f t="shared" si="2"/>
      </c>
      <c r="N34" s="218"/>
      <c r="O34" s="501">
        <f t="shared" si="13"/>
      </c>
      <c r="P34" s="219">
        <f t="shared" si="3"/>
      </c>
      <c r="Q34" s="798">
        <f t="shared" si="4"/>
        <v>20</v>
      </c>
      <c r="R34" s="799" t="str">
        <f t="shared" si="5"/>
        <v>--</v>
      </c>
      <c r="S34" s="422" t="str">
        <f t="shared" si="6"/>
        <v>--</v>
      </c>
      <c r="T34" s="423" t="str">
        <f t="shared" si="7"/>
        <v>--</v>
      </c>
      <c r="U34" s="296" t="str">
        <f t="shared" si="8"/>
        <v>--</v>
      </c>
      <c r="V34" s="297" t="str">
        <f t="shared" si="9"/>
        <v>--</v>
      </c>
      <c r="W34" s="424" t="str">
        <f t="shared" si="10"/>
        <v>--</v>
      </c>
      <c r="X34" s="796" t="str">
        <f t="shared" si="11"/>
        <v>--</v>
      </c>
      <c r="Y34" s="219">
        <f t="shared" si="14"/>
      </c>
      <c r="Z34" s="369">
        <f t="shared" si="12"/>
      </c>
      <c r="AA34" s="6"/>
    </row>
    <row r="35" spans="2:27" s="5" customFormat="1" ht="16.5" customHeight="1">
      <c r="B35" s="50"/>
      <c r="C35" s="272"/>
      <c r="D35" s="272"/>
      <c r="E35" s="272"/>
      <c r="F35" s="426"/>
      <c r="G35" s="364"/>
      <c r="H35" s="427"/>
      <c r="I35" s="289">
        <f t="shared" si="0"/>
        <v>0</v>
      </c>
      <c r="J35" s="366"/>
      <c r="K35" s="186"/>
      <c r="L35" s="367">
        <f t="shared" si="1"/>
      </c>
      <c r="M35" s="368">
        <f t="shared" si="2"/>
      </c>
      <c r="N35" s="218"/>
      <c r="O35" s="501">
        <f t="shared" si="13"/>
      </c>
      <c r="P35" s="219">
        <f t="shared" si="3"/>
      </c>
      <c r="Q35" s="798">
        <f t="shared" si="4"/>
        <v>20</v>
      </c>
      <c r="R35" s="799" t="str">
        <f t="shared" si="5"/>
        <v>--</v>
      </c>
      <c r="S35" s="422" t="str">
        <f t="shared" si="6"/>
        <v>--</v>
      </c>
      <c r="T35" s="423" t="str">
        <f t="shared" si="7"/>
        <v>--</v>
      </c>
      <c r="U35" s="296" t="str">
        <f t="shared" si="8"/>
        <v>--</v>
      </c>
      <c r="V35" s="297" t="str">
        <f t="shared" si="9"/>
        <v>--</v>
      </c>
      <c r="W35" s="424" t="str">
        <f t="shared" si="10"/>
        <v>--</v>
      </c>
      <c r="X35" s="796" t="str">
        <f t="shared" si="11"/>
        <v>--</v>
      </c>
      <c r="Y35" s="219">
        <f t="shared" si="14"/>
      </c>
      <c r="Z35" s="369">
        <f t="shared" si="12"/>
      </c>
      <c r="AA35" s="6"/>
    </row>
    <row r="36" spans="2:27" s="5" customFormat="1" ht="16.5" customHeight="1">
      <c r="B36" s="50"/>
      <c r="C36" s="272"/>
      <c r="D36" s="272"/>
      <c r="E36" s="153"/>
      <c r="F36" s="426"/>
      <c r="G36" s="364"/>
      <c r="H36" s="427"/>
      <c r="I36" s="289">
        <f t="shared" si="0"/>
        <v>0</v>
      </c>
      <c r="J36" s="366"/>
      <c r="K36" s="186"/>
      <c r="L36" s="367">
        <f t="shared" si="1"/>
      </c>
      <c r="M36" s="368">
        <f t="shared" si="2"/>
      </c>
      <c r="N36" s="218"/>
      <c r="O36" s="501">
        <f t="shared" si="13"/>
      </c>
      <c r="P36" s="219">
        <f t="shared" si="3"/>
      </c>
      <c r="Q36" s="798">
        <f t="shared" si="4"/>
        <v>20</v>
      </c>
      <c r="R36" s="799" t="str">
        <f t="shared" si="5"/>
        <v>--</v>
      </c>
      <c r="S36" s="422" t="str">
        <f t="shared" si="6"/>
        <v>--</v>
      </c>
      <c r="T36" s="423" t="str">
        <f t="shared" si="7"/>
        <v>--</v>
      </c>
      <c r="U36" s="296" t="str">
        <f t="shared" si="8"/>
        <v>--</v>
      </c>
      <c r="V36" s="297" t="str">
        <f t="shared" si="9"/>
        <v>--</v>
      </c>
      <c r="W36" s="424" t="str">
        <f t="shared" si="10"/>
        <v>--</v>
      </c>
      <c r="X36" s="796" t="str">
        <f t="shared" si="11"/>
        <v>--</v>
      </c>
      <c r="Y36" s="219">
        <f t="shared" si="14"/>
      </c>
      <c r="Z36" s="369">
        <f t="shared" si="12"/>
      </c>
      <c r="AA36" s="6"/>
    </row>
    <row r="37" spans="2:27" s="5" customFormat="1" ht="16.5" customHeight="1">
      <c r="B37" s="50"/>
      <c r="C37" s="272"/>
      <c r="D37" s="272"/>
      <c r="E37" s="272"/>
      <c r="F37" s="426"/>
      <c r="G37" s="364"/>
      <c r="H37" s="427"/>
      <c r="I37" s="289">
        <f t="shared" si="0"/>
        <v>0</v>
      </c>
      <c r="J37" s="366"/>
      <c r="K37" s="186"/>
      <c r="L37" s="367">
        <f t="shared" si="1"/>
      </c>
      <c r="M37" s="368">
        <f t="shared" si="2"/>
      </c>
      <c r="N37" s="218"/>
      <c r="O37" s="501">
        <f t="shared" si="13"/>
      </c>
      <c r="P37" s="219">
        <f t="shared" si="3"/>
      </c>
      <c r="Q37" s="798">
        <f t="shared" si="4"/>
        <v>20</v>
      </c>
      <c r="R37" s="799" t="str">
        <f t="shared" si="5"/>
        <v>--</v>
      </c>
      <c r="S37" s="422" t="str">
        <f t="shared" si="6"/>
        <v>--</v>
      </c>
      <c r="T37" s="423" t="str">
        <f t="shared" si="7"/>
        <v>--</v>
      </c>
      <c r="U37" s="296" t="str">
        <f t="shared" si="8"/>
        <v>--</v>
      </c>
      <c r="V37" s="297" t="str">
        <f t="shared" si="9"/>
        <v>--</v>
      </c>
      <c r="W37" s="424" t="str">
        <f t="shared" si="10"/>
        <v>--</v>
      </c>
      <c r="X37" s="796" t="str">
        <f t="shared" si="11"/>
        <v>--</v>
      </c>
      <c r="Y37" s="219">
        <f t="shared" si="14"/>
      </c>
      <c r="Z37" s="369">
        <f t="shared" si="12"/>
      </c>
      <c r="AA37" s="6"/>
    </row>
    <row r="38" spans="2:27" s="5" customFormat="1" ht="16.5" customHeight="1">
      <c r="B38" s="50"/>
      <c r="C38" s="272"/>
      <c r="D38" s="272"/>
      <c r="E38" s="153"/>
      <c r="F38" s="426"/>
      <c r="G38" s="364"/>
      <c r="H38" s="427"/>
      <c r="I38" s="289">
        <f t="shared" si="0"/>
        <v>0</v>
      </c>
      <c r="J38" s="366"/>
      <c r="K38" s="186"/>
      <c r="L38" s="367">
        <f t="shared" si="1"/>
      </c>
      <c r="M38" s="368">
        <f t="shared" si="2"/>
      </c>
      <c r="N38" s="218"/>
      <c r="O38" s="501">
        <f t="shared" si="13"/>
      </c>
      <c r="P38" s="219">
        <f t="shared" si="3"/>
      </c>
      <c r="Q38" s="798">
        <f t="shared" si="4"/>
        <v>20</v>
      </c>
      <c r="R38" s="799" t="str">
        <f t="shared" si="5"/>
        <v>--</v>
      </c>
      <c r="S38" s="422" t="str">
        <f t="shared" si="6"/>
        <v>--</v>
      </c>
      <c r="T38" s="423" t="str">
        <f t="shared" si="7"/>
        <v>--</v>
      </c>
      <c r="U38" s="296" t="str">
        <f t="shared" si="8"/>
        <v>--</v>
      </c>
      <c r="V38" s="297" t="str">
        <f t="shared" si="9"/>
        <v>--</v>
      </c>
      <c r="W38" s="424" t="str">
        <f t="shared" si="10"/>
        <v>--</v>
      </c>
      <c r="X38" s="796" t="str">
        <f t="shared" si="11"/>
        <v>--</v>
      </c>
      <c r="Y38" s="219">
        <f t="shared" si="14"/>
      </c>
      <c r="Z38" s="369">
        <f t="shared" si="12"/>
      </c>
      <c r="AA38" s="6"/>
    </row>
    <row r="39" spans="2:27" s="5" customFormat="1" ht="16.5" customHeight="1">
      <c r="B39" s="50"/>
      <c r="C39" s="272"/>
      <c r="D39" s="272"/>
      <c r="E39" s="272"/>
      <c r="F39" s="426"/>
      <c r="G39" s="364"/>
      <c r="H39" s="427"/>
      <c r="I39" s="289">
        <f t="shared" si="0"/>
        <v>0</v>
      </c>
      <c r="J39" s="366"/>
      <c r="K39" s="186"/>
      <c r="L39" s="367">
        <f t="shared" si="1"/>
      </c>
      <c r="M39" s="368">
        <f t="shared" si="2"/>
      </c>
      <c r="N39" s="218"/>
      <c r="O39" s="501">
        <f t="shared" si="13"/>
      </c>
      <c r="P39" s="219">
        <f t="shared" si="3"/>
      </c>
      <c r="Q39" s="798">
        <f t="shared" si="4"/>
        <v>20</v>
      </c>
      <c r="R39" s="799" t="str">
        <f t="shared" si="5"/>
        <v>--</v>
      </c>
      <c r="S39" s="422" t="str">
        <f t="shared" si="6"/>
        <v>--</v>
      </c>
      <c r="T39" s="423" t="str">
        <f t="shared" si="7"/>
        <v>--</v>
      </c>
      <c r="U39" s="296" t="str">
        <f t="shared" si="8"/>
        <v>--</v>
      </c>
      <c r="V39" s="297" t="str">
        <f t="shared" si="9"/>
        <v>--</v>
      </c>
      <c r="W39" s="424" t="str">
        <f t="shared" si="10"/>
        <v>--</v>
      </c>
      <c r="X39" s="796" t="str">
        <f t="shared" si="11"/>
        <v>--</v>
      </c>
      <c r="Y39" s="219">
        <f t="shared" si="14"/>
      </c>
      <c r="Z39" s="369">
        <f t="shared" si="12"/>
      </c>
      <c r="AA39" s="6"/>
    </row>
    <row r="40" spans="2:27" s="5" customFormat="1" ht="16.5" customHeight="1">
      <c r="B40" s="50"/>
      <c r="C40" s="272"/>
      <c r="D40" s="272"/>
      <c r="E40" s="153"/>
      <c r="F40" s="426"/>
      <c r="G40" s="364"/>
      <c r="H40" s="427"/>
      <c r="I40" s="289">
        <f t="shared" si="0"/>
        <v>0</v>
      </c>
      <c r="J40" s="366"/>
      <c r="K40" s="186"/>
      <c r="L40" s="367">
        <f t="shared" si="1"/>
      </c>
      <c r="M40" s="368">
        <f t="shared" si="2"/>
      </c>
      <c r="N40" s="218"/>
      <c r="O40" s="501">
        <f t="shared" si="13"/>
      </c>
      <c r="P40" s="219">
        <f t="shared" si="3"/>
      </c>
      <c r="Q40" s="798">
        <f t="shared" si="4"/>
        <v>20</v>
      </c>
      <c r="R40" s="799" t="str">
        <f t="shared" si="5"/>
        <v>--</v>
      </c>
      <c r="S40" s="422" t="str">
        <f t="shared" si="6"/>
        <v>--</v>
      </c>
      <c r="T40" s="423" t="str">
        <f t="shared" si="7"/>
        <v>--</v>
      </c>
      <c r="U40" s="296" t="str">
        <f t="shared" si="8"/>
        <v>--</v>
      </c>
      <c r="V40" s="297" t="str">
        <f t="shared" si="9"/>
        <v>--</v>
      </c>
      <c r="W40" s="424" t="str">
        <f t="shared" si="10"/>
        <v>--</v>
      </c>
      <c r="X40" s="796" t="str">
        <f t="shared" si="11"/>
        <v>--</v>
      </c>
      <c r="Y40" s="219">
        <f t="shared" si="14"/>
      </c>
      <c r="Z40" s="369">
        <f t="shared" si="12"/>
      </c>
      <c r="AA40" s="6"/>
    </row>
    <row r="41" spans="2:27" s="5" customFormat="1" ht="16.5" customHeight="1">
      <c r="B41" s="50"/>
      <c r="C41" s="272"/>
      <c r="D41" s="272"/>
      <c r="E41" s="272"/>
      <c r="F41" s="426"/>
      <c r="G41" s="364"/>
      <c r="H41" s="427"/>
      <c r="I41" s="289">
        <f t="shared" si="0"/>
        <v>0</v>
      </c>
      <c r="J41" s="366"/>
      <c r="K41" s="186"/>
      <c r="L41" s="367">
        <f t="shared" si="1"/>
      </c>
      <c r="M41" s="368">
        <f t="shared" si="2"/>
      </c>
      <c r="N41" s="218"/>
      <c r="O41" s="501">
        <f t="shared" si="13"/>
      </c>
      <c r="P41" s="219">
        <f t="shared" si="3"/>
      </c>
      <c r="Q41" s="798">
        <f t="shared" si="4"/>
        <v>20</v>
      </c>
      <c r="R41" s="799" t="str">
        <f t="shared" si="5"/>
        <v>--</v>
      </c>
      <c r="S41" s="422" t="str">
        <f t="shared" si="6"/>
        <v>--</v>
      </c>
      <c r="T41" s="423" t="str">
        <f t="shared" si="7"/>
        <v>--</v>
      </c>
      <c r="U41" s="296" t="str">
        <f t="shared" si="8"/>
        <v>--</v>
      </c>
      <c r="V41" s="297" t="str">
        <f t="shared" si="9"/>
        <v>--</v>
      </c>
      <c r="W41" s="424" t="str">
        <f t="shared" si="10"/>
        <v>--</v>
      </c>
      <c r="X41" s="796" t="str">
        <f t="shared" si="11"/>
        <v>--</v>
      </c>
      <c r="Y41" s="219">
        <f t="shared" si="14"/>
      </c>
      <c r="Z41" s="369">
        <f t="shared" si="12"/>
      </c>
      <c r="AA41" s="6"/>
    </row>
    <row r="42" spans="2:27" s="5" customFormat="1" ht="16.5" customHeight="1" thickBot="1">
      <c r="B42" s="50"/>
      <c r="C42" s="429"/>
      <c r="D42" s="429"/>
      <c r="E42" s="429"/>
      <c r="F42" s="429"/>
      <c r="G42" s="429"/>
      <c r="H42" s="429"/>
      <c r="I42" s="131"/>
      <c r="J42" s="370"/>
      <c r="K42" s="370"/>
      <c r="L42" s="371"/>
      <c r="M42" s="371"/>
      <c r="N42" s="370"/>
      <c r="O42" s="190"/>
      <c r="P42" s="152"/>
      <c r="Q42" s="430"/>
      <c r="R42" s="431"/>
      <c r="S42" s="432"/>
      <c r="T42" s="433"/>
      <c r="U42" s="314"/>
      <c r="V42" s="315"/>
      <c r="W42" s="434"/>
      <c r="X42" s="434"/>
      <c r="Y42" s="152"/>
      <c r="Z42" s="435"/>
      <c r="AA42" s="6"/>
    </row>
    <row r="43" spans="2:27" s="5" customFormat="1" ht="16.5" customHeight="1" thickBot="1" thickTop="1">
      <c r="B43" s="50"/>
      <c r="C43" s="127" t="s">
        <v>24</v>
      </c>
      <c r="D43" s="73" t="s">
        <v>327</v>
      </c>
      <c r="E43" s="127"/>
      <c r="F43" s="128"/>
      <c r="I43" s="4"/>
      <c r="J43" s="4"/>
      <c r="K43" s="4"/>
      <c r="L43" s="4"/>
      <c r="M43" s="4"/>
      <c r="N43" s="4"/>
      <c r="O43" s="4"/>
      <c r="P43" s="4"/>
      <c r="Q43" s="4"/>
      <c r="R43" s="436">
        <f aca="true" t="shared" si="15" ref="R43:X43">SUM(R20:R42)</f>
        <v>52300.416</v>
      </c>
      <c r="S43" s="437">
        <f t="shared" si="15"/>
        <v>2744.0000000000005</v>
      </c>
      <c r="T43" s="438">
        <f t="shared" si="15"/>
        <v>10136.000000000002</v>
      </c>
      <c r="U43" s="324">
        <f t="shared" si="15"/>
        <v>0</v>
      </c>
      <c r="V43" s="325">
        <f t="shared" si="15"/>
        <v>0</v>
      </c>
      <c r="W43" s="439">
        <f t="shared" si="15"/>
        <v>0</v>
      </c>
      <c r="X43" s="439">
        <f t="shared" si="15"/>
        <v>0</v>
      </c>
      <c r="Z43" s="100">
        <f>ROUND(SUM(Z20:Z42),2)</f>
        <v>65180.42</v>
      </c>
      <c r="AA43" s="440"/>
    </row>
    <row r="44" spans="2:27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6"/>
    </row>
    <row r="45" spans="6:29" ht="16.5" customHeight="1" thickTop="1">
      <c r="F45" s="175"/>
      <c r="G45" s="175"/>
      <c r="H45" s="175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</row>
    <row r="46" spans="6:29" ht="16.5" customHeight="1">
      <c r="F46" s="175"/>
      <c r="G46" s="175"/>
      <c r="H46" s="175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</row>
    <row r="47" spans="6:29" ht="16.5" customHeight="1">
      <c r="F47" s="175"/>
      <c r="G47" s="175"/>
      <c r="H47" s="175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</row>
    <row r="48" spans="6:29" ht="16.5" customHeight="1">
      <c r="F48" s="175"/>
      <c r="G48" s="175"/>
      <c r="H48" s="175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</row>
    <row r="49" spans="6:29" ht="16.5" customHeight="1">
      <c r="F49" s="175"/>
      <c r="G49" s="175"/>
      <c r="H49" s="175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</row>
    <row r="50" spans="6:29" ht="16.5" customHeight="1">
      <c r="F50" s="175"/>
      <c r="G50" s="175"/>
      <c r="H50" s="175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</row>
    <row r="51" spans="6:29" ht="16.5" customHeight="1"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</row>
    <row r="52" spans="6:29" ht="16.5" customHeight="1"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</row>
    <row r="53" spans="6:29" ht="16.5" customHeight="1"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</row>
    <row r="54" spans="6:29" ht="16.5" customHeight="1"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</row>
    <row r="55" spans="6:29" ht="16.5" customHeight="1"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</row>
    <row r="56" spans="6:29" ht="16.5" customHeight="1"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</row>
    <row r="57" spans="6:29" ht="16.5" customHeight="1"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</row>
    <row r="58" spans="6:29" ht="16.5" customHeight="1"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</row>
    <row r="59" spans="6:29" ht="16.5" customHeight="1"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</row>
    <row r="60" spans="6:29" ht="16.5" customHeight="1"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</row>
    <row r="61" spans="6:29" ht="16.5" customHeight="1"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</row>
    <row r="62" spans="6:29" ht="16.5" customHeight="1"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</row>
    <row r="63" spans="6:29" ht="16.5" customHeight="1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</row>
    <row r="64" spans="6:29" ht="16.5" customHeight="1"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</row>
    <row r="65" spans="6:29" ht="16.5" customHeight="1"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</row>
    <row r="66" spans="6:29" ht="16.5" customHeight="1"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</row>
    <row r="67" spans="6:29" ht="16.5" customHeight="1"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</row>
    <row r="68" spans="6:29" ht="16.5" customHeight="1"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</row>
    <row r="69" spans="6:29" ht="16.5" customHeight="1"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</row>
    <row r="70" spans="6:29" ht="16.5" customHeight="1"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</row>
    <row r="71" spans="6:29" ht="16.5" customHeight="1"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</row>
    <row r="72" spans="6:29" ht="16.5" customHeight="1"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</row>
    <row r="73" spans="6:29" ht="16.5" customHeight="1"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</row>
    <row r="74" spans="6:29" ht="16.5" customHeight="1"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</row>
    <row r="75" spans="6:29" ht="16.5" customHeight="1"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</row>
    <row r="76" spans="6:29" ht="16.5" customHeight="1"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</row>
    <row r="77" spans="6:29" ht="16.5" customHeight="1"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</row>
    <row r="78" spans="6:29" ht="16.5" customHeight="1"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</row>
    <row r="79" spans="6:29" ht="16.5" customHeight="1"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</row>
    <row r="80" spans="6:29" ht="16.5" customHeight="1"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</row>
    <row r="81" spans="6:29" ht="16.5" customHeight="1"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</row>
    <row r="82" spans="6:29" ht="16.5" customHeight="1"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</row>
    <row r="83" spans="6:29" ht="16.5" customHeight="1"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</row>
    <row r="84" spans="6:29" ht="16.5" customHeight="1"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</row>
    <row r="85" spans="6:29" ht="16.5" customHeight="1"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</row>
    <row r="86" spans="6:29" ht="16.5" customHeight="1"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</row>
    <row r="87" spans="6:29" ht="16.5" customHeight="1"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</row>
    <row r="88" spans="6:29" ht="16.5" customHeight="1"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</row>
    <row r="89" spans="6:29" ht="16.5" customHeight="1"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</row>
    <row r="90" spans="6:29" ht="16.5" customHeight="1"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</row>
    <row r="91" spans="6:29" ht="16.5" customHeight="1"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</row>
    <row r="92" spans="6:29" ht="16.5" customHeight="1"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</row>
    <row r="93" spans="6:29" ht="16.5" customHeight="1"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</row>
    <row r="94" spans="6:29" ht="16.5" customHeight="1"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</row>
    <row r="95" spans="6:29" ht="16.5" customHeight="1"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</row>
    <row r="96" spans="6:29" ht="16.5" customHeight="1"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</row>
    <row r="97" spans="6:29" ht="16.5" customHeight="1"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</row>
    <row r="98" spans="6:29" ht="16.5" customHeight="1"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</row>
    <row r="99" spans="6:29" ht="16.5" customHeight="1"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</row>
    <row r="100" spans="6:29" ht="16.5" customHeight="1"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</row>
    <row r="101" spans="6:29" ht="16.5" customHeight="1"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</row>
    <row r="102" spans="6:29" ht="16.5" customHeight="1"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</row>
    <row r="103" spans="6:29" ht="16.5" customHeight="1"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</row>
    <row r="104" spans="6:29" ht="16.5" customHeight="1"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</row>
    <row r="105" spans="6:29" ht="16.5" customHeight="1"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</row>
    <row r="106" spans="6:29" ht="16.5" customHeight="1"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</row>
    <row r="107" spans="6:29" ht="16.5" customHeight="1"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</row>
    <row r="108" spans="6:29" ht="16.5" customHeight="1"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</row>
    <row r="109" spans="6:29" ht="16.5" customHeight="1"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</row>
    <row r="110" spans="6:29" ht="16.5" customHeight="1"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</row>
    <row r="111" spans="6:29" ht="16.5" customHeight="1"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</row>
    <row r="112" spans="6:29" ht="16.5" customHeight="1"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</row>
    <row r="113" spans="6:29" ht="16.5" customHeight="1"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</row>
    <row r="114" spans="6:29" ht="16.5" customHeight="1"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</row>
    <row r="115" spans="6:29" ht="16.5" customHeight="1"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3"/>
    </row>
    <row r="116" spans="6:29" ht="16.5" customHeight="1"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  <c r="AC116" s="173"/>
    </row>
    <row r="117" spans="6:29" ht="16.5" customHeight="1"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73"/>
    </row>
    <row r="118" spans="6:29" ht="16.5" customHeight="1"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  <c r="AC118" s="173"/>
    </row>
    <row r="119" spans="6:29" ht="16.5" customHeight="1"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</row>
    <row r="120" spans="6:29" ht="16.5" customHeight="1"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</row>
    <row r="121" spans="6:29" ht="16.5" customHeight="1"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</row>
    <row r="122" spans="6:29" ht="16.5" customHeight="1"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173"/>
    </row>
    <row r="123" spans="6:29" ht="16.5" customHeight="1"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</row>
    <row r="124" spans="6:29" ht="16.5" customHeight="1"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</row>
    <row r="125" spans="6:29" ht="16.5" customHeight="1"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  <c r="AC125" s="173"/>
    </row>
    <row r="126" spans="6:29" ht="16.5" customHeight="1"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73"/>
    </row>
    <row r="127" spans="6:29" ht="16.5" customHeight="1"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</row>
    <row r="128" spans="6:29" ht="16.5" customHeight="1"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3"/>
    </row>
    <row r="129" spans="6:29" ht="16.5" customHeight="1"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  <c r="AC129" s="173"/>
    </row>
    <row r="130" spans="6:29" ht="16.5" customHeight="1"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</row>
    <row r="131" spans="6:29" ht="16.5" customHeight="1"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</row>
    <row r="132" spans="6:29" ht="16.5" customHeight="1"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</row>
    <row r="133" spans="6:29" ht="16.5" customHeight="1"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</row>
    <row r="134" spans="6:29" ht="16.5" customHeight="1"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</row>
    <row r="135" spans="6:29" ht="16.5" customHeight="1"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</row>
    <row r="136" spans="6:29" ht="16.5" customHeight="1"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  <c r="AC136" s="173"/>
    </row>
    <row r="137" spans="6:29" ht="16.5" customHeight="1"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  <c r="AC137" s="173"/>
    </row>
    <row r="138" spans="6:29" ht="16.5" customHeight="1"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  <c r="AC138" s="173"/>
    </row>
    <row r="139" spans="6:29" ht="16.5" customHeight="1"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/>
      <c r="AC139" s="173"/>
    </row>
    <row r="140" spans="6:29" ht="16.5" customHeight="1"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  <c r="AC140" s="173"/>
    </row>
    <row r="141" spans="6:29" ht="16.5" customHeight="1"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173"/>
    </row>
    <row r="142" spans="6:29" ht="16.5" customHeight="1"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</row>
    <row r="143" spans="6:29" ht="16.5" customHeight="1"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  <c r="AC143" s="173"/>
    </row>
    <row r="144" spans="6:29" ht="16.5" customHeight="1"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3"/>
      <c r="AC144" s="173"/>
    </row>
    <row r="145" spans="6:29" ht="16.5" customHeight="1"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  <c r="AA145" s="173"/>
      <c r="AB145" s="173"/>
      <c r="AC145" s="173"/>
    </row>
    <row r="146" spans="6:29" ht="16.5" customHeight="1"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</row>
    <row r="147" spans="6:29" ht="16.5" customHeight="1"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173"/>
    </row>
    <row r="148" spans="6:29" ht="16.5" customHeight="1"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</row>
    <row r="149" spans="6:29" ht="16.5" customHeight="1"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  <c r="AA149" s="173"/>
      <c r="AB149" s="173"/>
      <c r="AC149" s="173"/>
    </row>
    <row r="150" spans="6:29" ht="16.5" customHeight="1"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  <c r="AA150" s="173"/>
      <c r="AB150" s="173"/>
      <c r="AC150" s="173"/>
    </row>
    <row r="151" spans="6:29" ht="16.5" customHeight="1"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  <c r="AC151" s="173"/>
    </row>
    <row r="152" spans="6:29" ht="16.5" customHeight="1">
      <c r="F152" s="173"/>
      <c r="G152" s="173"/>
      <c r="H152" s="173"/>
      <c r="AB152" s="173"/>
      <c r="AC152" s="173"/>
    </row>
    <row r="153" spans="6:8" ht="16.5" customHeight="1">
      <c r="F153" s="173"/>
      <c r="G153" s="173"/>
      <c r="H153" s="173"/>
    </row>
    <row r="154" spans="6:8" ht="16.5" customHeight="1">
      <c r="F154" s="173"/>
      <c r="G154" s="173"/>
      <c r="H154" s="173"/>
    </row>
    <row r="155" spans="6:8" ht="16.5" customHeight="1">
      <c r="F155" s="173"/>
      <c r="G155" s="173"/>
      <c r="H155" s="173"/>
    </row>
    <row r="156" spans="6:8" ht="16.5" customHeight="1">
      <c r="F156" s="173"/>
      <c r="G156" s="173"/>
      <c r="H156" s="173"/>
    </row>
    <row r="157" spans="6:8" ht="16.5" customHeight="1">
      <c r="F157" s="173"/>
      <c r="G157" s="173"/>
      <c r="H157" s="173"/>
    </row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&amp;L&amp;"Times New Roman,Normal"&amp;8&amp;F-&amp;A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AD71"/>
  <sheetViews>
    <sheetView zoomScale="50" zoomScaleNormal="50" zoomScalePageLayoutView="0" workbookViewId="0" topLeftCell="A1">
      <selection activeCell="G35" sqref="G35"/>
    </sheetView>
  </sheetViews>
  <sheetFormatPr defaultColWidth="11.421875" defaultRowHeight="12.75"/>
  <cols>
    <col min="1" max="1" width="30.7109375" style="0" customWidth="1"/>
    <col min="2" max="2" width="19.140625" style="0" customWidth="1"/>
    <col min="3" max="3" width="6.57421875" style="0" bestFit="1" customWidth="1"/>
    <col min="4" max="4" width="32.28125" style="0" customWidth="1"/>
    <col min="5" max="5" width="24.140625" style="0" customWidth="1"/>
    <col min="6" max="6" width="16.57421875" style="0" customWidth="1"/>
    <col min="7" max="7" width="14.421875" style="0" customWidth="1"/>
    <col min="8" max="8" width="8.7109375" style="0" hidden="1" customWidth="1"/>
    <col min="9" max="9" width="18.7109375" style="0" customWidth="1"/>
    <col min="10" max="10" width="21.140625" style="0" customWidth="1"/>
    <col min="11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10.7109375" style="0" hidden="1" customWidth="1"/>
    <col min="17" max="17" width="13.00390625" style="0" hidden="1" customWidth="1"/>
    <col min="18" max="19" width="4.7109375" style="0" hidden="1" customWidth="1"/>
    <col min="20" max="20" width="11.7109375" style="0" hidden="1" customWidth="1"/>
    <col min="21" max="21" width="14.8515625" style="0" customWidth="1"/>
    <col min="22" max="22" width="20.7109375" style="0" customWidth="1"/>
    <col min="23" max="23" width="19.14062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9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44"/>
      <c r="AD1" s="635"/>
    </row>
    <row r="2" spans="1:23" ht="27" customHeight="1">
      <c r="A2" s="9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447" customFormat="1" ht="30.75">
      <c r="A3" s="444"/>
      <c r="B3" s="445" t="str">
        <f>+'TOT-0111'!B2</f>
        <v>ANEXO II al Memorándum D.T.E.E. N°  1088 / 2012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AB3" s="446"/>
      <c r="AC3" s="446"/>
      <c r="AD3" s="446"/>
    </row>
    <row r="4" spans="1:2" s="25" customFormat="1" ht="11.25">
      <c r="A4" s="630" t="s">
        <v>1</v>
      </c>
      <c r="B4" s="631"/>
    </row>
    <row r="5" spans="1:2" s="25" customFormat="1" ht="12" thickBot="1">
      <c r="A5" s="630" t="s">
        <v>2</v>
      </c>
      <c r="B5" s="630"/>
    </row>
    <row r="6" spans="1:23" ht="16.5" customHeight="1" thickTop="1">
      <c r="A6" s="5"/>
      <c r="B6" s="69"/>
      <c r="C6" s="70"/>
      <c r="D6" s="70"/>
      <c r="E6" s="194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94"/>
    </row>
    <row r="7" spans="1:23" ht="20.25">
      <c r="A7" s="5"/>
      <c r="B7" s="50"/>
      <c r="C7" s="4"/>
      <c r="D7" s="172" t="s">
        <v>87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7"/>
      <c r="Q7" s="77"/>
      <c r="R7" s="4"/>
      <c r="S7" s="4"/>
      <c r="T7" s="4"/>
      <c r="U7" s="4"/>
      <c r="V7" s="4"/>
      <c r="W7" s="17"/>
    </row>
    <row r="8" spans="1:23" ht="16.5" customHeight="1">
      <c r="A8" s="5"/>
      <c r="B8" s="5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7"/>
    </row>
    <row r="9" spans="2:23" s="36" customFormat="1" ht="20.25">
      <c r="B9" s="44"/>
      <c r="C9" s="43"/>
      <c r="D9" s="172" t="s">
        <v>88</v>
      </c>
      <c r="E9" s="43"/>
      <c r="F9" s="43"/>
      <c r="G9" s="43"/>
      <c r="H9" s="43"/>
      <c r="N9" s="43"/>
      <c r="O9" s="43"/>
      <c r="P9" s="195"/>
      <c r="Q9" s="195"/>
      <c r="R9" s="43"/>
      <c r="S9" s="43"/>
      <c r="T9" s="43"/>
      <c r="U9" s="43"/>
      <c r="V9" s="43"/>
      <c r="W9" s="196"/>
    </row>
    <row r="10" spans="1:23" ht="16.5" customHeight="1">
      <c r="A10" s="5"/>
      <c r="B10" s="5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7"/>
    </row>
    <row r="11" spans="2:23" s="36" customFormat="1" ht="20.25">
      <c r="B11" s="44"/>
      <c r="C11" s="43"/>
      <c r="D11" s="172" t="s">
        <v>346</v>
      </c>
      <c r="E11" s="43"/>
      <c r="F11" s="43"/>
      <c r="G11" s="43"/>
      <c r="H11" s="43"/>
      <c r="N11" s="43"/>
      <c r="O11" s="43"/>
      <c r="P11" s="195"/>
      <c r="Q11" s="195"/>
      <c r="R11" s="43"/>
      <c r="S11" s="43"/>
      <c r="T11" s="43"/>
      <c r="U11" s="43"/>
      <c r="V11" s="43"/>
      <c r="W11" s="196"/>
    </row>
    <row r="12" spans="1:23" ht="16.5" customHeight="1">
      <c r="A12" s="5"/>
      <c r="B12" s="50"/>
      <c r="C12" s="4"/>
      <c r="D12" s="4"/>
      <c r="E12" s="5"/>
      <c r="F12" s="5"/>
      <c r="G12" s="5"/>
      <c r="H12" s="5"/>
      <c r="I12" s="72"/>
      <c r="J12" s="72"/>
      <c r="K12" s="72"/>
      <c r="L12" s="72"/>
      <c r="M12" s="72"/>
      <c r="N12" s="72"/>
      <c r="O12" s="72"/>
      <c r="P12" s="72"/>
      <c r="Q12" s="72"/>
      <c r="R12" s="4"/>
      <c r="S12" s="4"/>
      <c r="T12" s="4"/>
      <c r="U12" s="4"/>
      <c r="V12" s="4"/>
      <c r="W12" s="17"/>
    </row>
    <row r="13" spans="2:23" s="36" customFormat="1" ht="19.5">
      <c r="B13" s="37" t="str">
        <f>'TOT-0111'!B14</f>
        <v>Desde el 01 al 31 de enero de 2011</v>
      </c>
      <c r="C13" s="38"/>
      <c r="D13" s="40"/>
      <c r="E13" s="40"/>
      <c r="F13" s="40"/>
      <c r="G13" s="40"/>
      <c r="H13" s="40"/>
      <c r="I13" s="41"/>
      <c r="J13" s="170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126"/>
      <c r="V13" s="126"/>
      <c r="W13" s="42"/>
    </row>
    <row r="14" spans="1:23" ht="16.5" customHeight="1">
      <c r="A14" s="5"/>
      <c r="B14" s="50"/>
      <c r="C14" s="4"/>
      <c r="D14" s="4"/>
      <c r="E14" s="66"/>
      <c r="F14" s="66"/>
      <c r="G14" s="4"/>
      <c r="H14" s="4"/>
      <c r="I14" s="4"/>
      <c r="J14" s="449"/>
      <c r="K14" s="4"/>
      <c r="L14" s="4"/>
      <c r="M14" s="4"/>
      <c r="N14" s="5"/>
      <c r="O14" s="5"/>
      <c r="P14" s="4"/>
      <c r="Q14" s="4"/>
      <c r="R14" s="4"/>
      <c r="S14" s="4"/>
      <c r="T14" s="4"/>
      <c r="U14" s="4"/>
      <c r="V14" s="4"/>
      <c r="W14" s="17"/>
    </row>
    <row r="15" spans="1:23" ht="16.5" customHeight="1">
      <c r="A15" s="5"/>
      <c r="B15" s="50"/>
      <c r="C15" s="4"/>
      <c r="D15" s="4"/>
      <c r="E15" s="66"/>
      <c r="F15" s="66"/>
      <c r="G15" s="4"/>
      <c r="H15" s="4"/>
      <c r="I15" s="140"/>
      <c r="J15" s="4"/>
      <c r="K15" s="1"/>
      <c r="M15" s="4"/>
      <c r="N15" s="5"/>
      <c r="O15" s="5"/>
      <c r="P15" s="4"/>
      <c r="Q15" s="4"/>
      <c r="R15" s="4"/>
      <c r="S15" s="4"/>
      <c r="T15" s="4"/>
      <c r="U15" s="4"/>
      <c r="V15" s="4"/>
      <c r="W15" s="17"/>
    </row>
    <row r="16" spans="1:23" ht="16.5" customHeight="1">
      <c r="A16" s="5"/>
      <c r="B16" s="50"/>
      <c r="C16" s="4"/>
      <c r="D16" s="4"/>
      <c r="E16" s="66"/>
      <c r="F16" s="66"/>
      <c r="G16" s="4"/>
      <c r="H16" s="4"/>
      <c r="I16" s="140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W16" s="17"/>
    </row>
    <row r="17" spans="1:23" ht="16.5" customHeight="1" thickBot="1">
      <c r="A17" s="5"/>
      <c r="B17" s="50"/>
      <c r="C17" s="160" t="s">
        <v>89</v>
      </c>
      <c r="D17" s="54" t="s">
        <v>90</v>
      </c>
      <c r="E17" s="66"/>
      <c r="F17" s="66"/>
      <c r="G17" s="4"/>
      <c r="H17" s="4"/>
      <c r="I17" s="4"/>
      <c r="J17" s="449"/>
      <c r="K17" s="4"/>
      <c r="L17" s="4"/>
      <c r="M17" s="4"/>
      <c r="N17" s="5"/>
      <c r="O17" s="5"/>
      <c r="P17" s="4"/>
      <c r="Q17" s="4"/>
      <c r="R17" s="4"/>
      <c r="S17" s="4"/>
      <c r="T17" s="4"/>
      <c r="U17" s="4"/>
      <c r="V17" s="4"/>
      <c r="W17" s="17"/>
    </row>
    <row r="18" spans="2:23" s="32" customFormat="1" ht="16.5" customHeight="1" thickBot="1">
      <c r="B18" s="450"/>
      <c r="C18" s="33"/>
      <c r="D18" s="451"/>
      <c r="E18" s="459"/>
      <c r="F18" s="601"/>
      <c r="G18" s="603"/>
      <c r="H18" s="33"/>
      <c r="I18" s="33"/>
      <c r="J18" s="454"/>
      <c r="K18" s="33"/>
      <c r="L18" s="33"/>
      <c r="M18" s="33"/>
      <c r="N18" s="636" t="s">
        <v>36</v>
      </c>
      <c r="P18" s="33"/>
      <c r="Q18" s="33"/>
      <c r="R18" s="33"/>
      <c r="S18" s="33"/>
      <c r="T18" s="33"/>
      <c r="U18" s="33"/>
      <c r="V18" s="33"/>
      <c r="W18" s="455"/>
    </row>
    <row r="19" spans="2:23" s="32" customFormat="1" ht="16.5" customHeight="1">
      <c r="B19" s="450"/>
      <c r="C19" s="33"/>
      <c r="D19" s="791"/>
      <c r="E19" s="459" t="s">
        <v>39</v>
      </c>
      <c r="F19" s="460">
        <v>0.025</v>
      </c>
      <c r="G19" s="457"/>
      <c r="H19" s="33"/>
      <c r="I19" s="200"/>
      <c r="J19" s="201"/>
      <c r="K19" s="637" t="s">
        <v>109</v>
      </c>
      <c r="L19" s="638"/>
      <c r="M19" s="639">
        <v>111.585</v>
      </c>
      <c r="N19" s="640">
        <v>200</v>
      </c>
      <c r="R19" s="33"/>
      <c r="S19" s="33"/>
      <c r="T19" s="33"/>
      <c r="U19" s="33"/>
      <c r="V19" s="33"/>
      <c r="W19" s="455"/>
    </row>
    <row r="20" spans="2:23" s="32" customFormat="1" ht="16.5" customHeight="1">
      <c r="B20" s="450"/>
      <c r="C20" s="33"/>
      <c r="D20" s="791"/>
      <c r="E20" s="451" t="s">
        <v>37</v>
      </c>
      <c r="F20" s="33">
        <f>MID(B13,16,2)*24</f>
        <v>744</v>
      </c>
      <c r="G20" s="33" t="s">
        <v>38</v>
      </c>
      <c r="H20" s="33"/>
      <c r="I20" s="33"/>
      <c r="J20" s="33"/>
      <c r="K20" s="641" t="s">
        <v>80</v>
      </c>
      <c r="L20" s="642"/>
      <c r="M20" s="643" t="s">
        <v>341</v>
      </c>
      <c r="N20" s="644">
        <v>100</v>
      </c>
      <c r="O20" s="33"/>
      <c r="P20" s="632"/>
      <c r="Q20" s="33"/>
      <c r="R20" s="33"/>
      <c r="S20" s="33"/>
      <c r="T20" s="33"/>
      <c r="U20" s="33"/>
      <c r="V20" s="33"/>
      <c r="W20" s="455"/>
    </row>
    <row r="21" spans="2:23" s="32" customFormat="1" ht="16.5" customHeight="1" thickBot="1">
      <c r="B21" s="450"/>
      <c r="C21" s="33"/>
      <c r="D21" s="791"/>
      <c r="E21" s="451" t="s">
        <v>40</v>
      </c>
      <c r="F21" s="33">
        <v>0.56</v>
      </c>
      <c r="G21" s="32" t="s">
        <v>106</v>
      </c>
      <c r="H21" s="33"/>
      <c r="I21" s="33"/>
      <c r="J21" s="33"/>
      <c r="K21" s="645" t="s">
        <v>110</v>
      </c>
      <c r="L21" s="646"/>
      <c r="M21" s="647">
        <v>89.269</v>
      </c>
      <c r="N21" s="648">
        <v>40</v>
      </c>
      <c r="O21" s="33"/>
      <c r="P21" s="632"/>
      <c r="Q21" s="33"/>
      <c r="R21" s="33"/>
      <c r="S21" s="33"/>
      <c r="T21" s="33"/>
      <c r="U21" s="33"/>
      <c r="V21" s="33"/>
      <c r="W21" s="455"/>
    </row>
    <row r="22" spans="2:23" s="32" customFormat="1" ht="16.5" customHeight="1">
      <c r="B22" s="450"/>
      <c r="C22" s="33"/>
      <c r="D22" s="33"/>
      <c r="E22" s="46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455"/>
    </row>
    <row r="23" spans="1:23" ht="16.5" customHeight="1">
      <c r="A23" s="5"/>
      <c r="B23" s="50"/>
      <c r="C23" s="160" t="s">
        <v>93</v>
      </c>
      <c r="D23" s="3" t="s">
        <v>120</v>
      </c>
      <c r="I23" s="4"/>
      <c r="J23" s="32"/>
      <c r="O23" s="4"/>
      <c r="P23" s="4"/>
      <c r="Q23" s="4"/>
      <c r="R23" s="4"/>
      <c r="S23" s="4"/>
      <c r="T23" s="4"/>
      <c r="V23" s="4"/>
      <c r="W23" s="17"/>
    </row>
    <row r="24" spans="1:23" ht="10.5" customHeight="1" thickBot="1">
      <c r="A24" s="5"/>
      <c r="B24" s="50"/>
      <c r="C24" s="66"/>
      <c r="D24" s="3"/>
      <c r="I24" s="4"/>
      <c r="J24" s="32"/>
      <c r="O24" s="4"/>
      <c r="P24" s="4"/>
      <c r="Q24" s="4"/>
      <c r="R24" s="4"/>
      <c r="S24" s="4"/>
      <c r="T24" s="4"/>
      <c r="V24" s="4"/>
      <c r="W24" s="17"/>
    </row>
    <row r="25" spans="2:23" s="32" customFormat="1" ht="16.5" customHeight="1" thickBot="1" thickTop="1">
      <c r="B25" s="450"/>
      <c r="C25" s="453"/>
      <c r="D25"/>
      <c r="E25"/>
      <c r="F25"/>
      <c r="G25"/>
      <c r="H25"/>
      <c r="I25" s="464" t="s">
        <v>44</v>
      </c>
      <c r="J25" s="649">
        <f>+V62*F19</f>
        <v>22003.606</v>
      </c>
      <c r="L25"/>
      <c r="S25"/>
      <c r="T25"/>
      <c r="U25"/>
      <c r="W25" s="455"/>
    </row>
    <row r="26" spans="2:23" s="32" customFormat="1" ht="11.25" customHeight="1" thickTop="1">
      <c r="B26" s="450"/>
      <c r="C26" s="453"/>
      <c r="D26" s="33"/>
      <c r="E26" s="46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/>
      <c r="W26" s="455"/>
    </row>
    <row r="27" spans="1:23" ht="16.5" customHeight="1">
      <c r="A27" s="5"/>
      <c r="B27" s="50"/>
      <c r="C27" s="160" t="s">
        <v>94</v>
      </c>
      <c r="D27" s="3" t="s">
        <v>121</v>
      </c>
      <c r="E27" s="202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17"/>
    </row>
    <row r="28" spans="1:23" ht="13.5" customHeight="1" thickBot="1">
      <c r="A28" s="32"/>
      <c r="B28" s="50"/>
      <c r="C28" s="453"/>
      <c r="D28" s="453"/>
      <c r="E28" s="513"/>
      <c r="F28" s="463"/>
      <c r="G28" s="514"/>
      <c r="H28" s="514"/>
      <c r="I28" s="515"/>
      <c r="J28" s="515"/>
      <c r="K28" s="515"/>
      <c r="L28" s="515"/>
      <c r="M28" s="515"/>
      <c r="N28" s="515"/>
      <c r="O28" s="516"/>
      <c r="P28" s="515"/>
      <c r="Q28" s="515"/>
      <c r="R28" s="650"/>
      <c r="S28" s="651"/>
      <c r="T28" s="652"/>
      <c r="U28" s="652"/>
      <c r="V28" s="652"/>
      <c r="W28" s="225"/>
    </row>
    <row r="29" spans="1:26" s="5" customFormat="1" ht="33.75" customHeight="1" thickBot="1" thickTop="1">
      <c r="A29" s="90"/>
      <c r="B29" s="95"/>
      <c r="C29" s="123" t="s">
        <v>12</v>
      </c>
      <c r="D29" s="119" t="s">
        <v>26</v>
      </c>
      <c r="E29" s="118" t="s">
        <v>27</v>
      </c>
      <c r="F29" s="120" t="s">
        <v>28</v>
      </c>
      <c r="G29" s="121" t="s">
        <v>13</v>
      </c>
      <c r="H29" s="129" t="s">
        <v>15</v>
      </c>
      <c r="I29" s="118" t="s">
        <v>16</v>
      </c>
      <c r="J29" s="118" t="s">
        <v>17</v>
      </c>
      <c r="K29" s="119" t="s">
        <v>29</v>
      </c>
      <c r="L29" s="119" t="s">
        <v>30</v>
      </c>
      <c r="M29" s="88" t="s">
        <v>97</v>
      </c>
      <c r="N29" s="118" t="s">
        <v>31</v>
      </c>
      <c r="O29" s="527" t="s">
        <v>32</v>
      </c>
      <c r="P29" s="129" t="s">
        <v>33</v>
      </c>
      <c r="Q29" s="528" t="s">
        <v>19</v>
      </c>
      <c r="R29" s="529" t="s">
        <v>98</v>
      </c>
      <c r="S29" s="530"/>
      <c r="T29" s="531" t="s">
        <v>21</v>
      </c>
      <c r="U29" s="132" t="s">
        <v>72</v>
      </c>
      <c r="V29" s="121" t="s">
        <v>23</v>
      </c>
      <c r="W29" s="17"/>
      <c r="Y29"/>
      <c r="Z29"/>
    </row>
    <row r="30" spans="1:23" ht="16.5" customHeight="1" thickTop="1">
      <c r="A30" s="5"/>
      <c r="B30" s="50"/>
      <c r="C30" s="10"/>
      <c r="D30" s="10"/>
      <c r="E30" s="10"/>
      <c r="F30" s="10"/>
      <c r="G30" s="532"/>
      <c r="H30" s="533"/>
      <c r="I30" s="10"/>
      <c r="J30" s="10"/>
      <c r="K30" s="10"/>
      <c r="L30" s="10"/>
      <c r="M30" s="10"/>
      <c r="N30" s="534"/>
      <c r="O30" s="653"/>
      <c r="P30" s="133"/>
      <c r="Q30" s="535"/>
      <c r="R30" s="536"/>
      <c r="S30" s="537"/>
      <c r="T30" s="538"/>
      <c r="U30" s="534"/>
      <c r="V30" s="539"/>
      <c r="W30" s="17"/>
    </row>
    <row r="31" spans="1:23" ht="16.5" customHeight="1">
      <c r="A31" s="5"/>
      <c r="B31" s="50"/>
      <c r="C31" s="753" t="s">
        <v>182</v>
      </c>
      <c r="D31" s="540"/>
      <c r="E31" s="541"/>
      <c r="F31" s="542"/>
      <c r="G31" s="543"/>
      <c r="H31" s="544">
        <f>F31*$F$21</f>
        <v>0</v>
      </c>
      <c r="I31" s="545"/>
      <c r="J31" s="545"/>
      <c r="K31" s="290">
        <f>IF(D31="","",(J31-I31)*24)</f>
      </c>
      <c r="L31" s="14">
        <f>IF(D31="","",(J31-I31)*24*60)</f>
      </c>
      <c r="M31" s="13"/>
      <c r="N31" s="8">
        <f>IF(D31="","",IF(OR(M31="P",M31="RP"),"--","NO"))</f>
      </c>
      <c r="O31" s="654">
        <f>IF(D31="","","NO")</f>
      </c>
      <c r="P31" s="546">
        <f>200*IF(O31="SI",1,0.1)*IF(M31="P",0.1,1)</f>
        <v>20</v>
      </c>
      <c r="Q31" s="547" t="str">
        <f>IF(M31="P",H31*P31*ROUND(L31/60,2),"--")</f>
        <v>--</v>
      </c>
      <c r="R31" s="548" t="str">
        <f>IF(AND(M31="F",N31="NO"),H31*P31,"--")</f>
        <v>--</v>
      </c>
      <c r="S31" s="549" t="str">
        <f>IF(M31="F",H31*P31*ROUND(L31/60,2),"--")</f>
        <v>--</v>
      </c>
      <c r="T31" s="362" t="str">
        <f>IF(M31="RF",H31*P31*ROUND(L31/60,2),"--")</f>
        <v>--</v>
      </c>
      <c r="U31" s="300">
        <f>IF(D31="","","SI")</f>
      </c>
      <c r="V31" s="301">
        <f>IF(D31="","",SUM(Q31:T31)*IF(U31="SI",1,2))</f>
      </c>
      <c r="W31" s="225"/>
    </row>
    <row r="32" spans="1:23" ht="16.5" customHeight="1">
      <c r="A32" s="5"/>
      <c r="B32" s="50"/>
      <c r="C32" s="753" t="s">
        <v>183</v>
      </c>
      <c r="D32" s="540"/>
      <c r="E32" s="541"/>
      <c r="F32" s="542"/>
      <c r="G32" s="543"/>
      <c r="H32" s="544">
        <f>F32*$F$21</f>
        <v>0</v>
      </c>
      <c r="I32" s="545"/>
      <c r="J32" s="545"/>
      <c r="K32" s="290">
        <f>IF(D32="","",(J32-I32)*24)</f>
      </c>
      <c r="L32" s="14">
        <f>IF(D32="","",(J32-I32)*24*60)</f>
      </c>
      <c r="M32" s="13"/>
      <c r="N32" s="8">
        <f>IF(D32="","",IF(OR(M32="P",M32="RP"),"--","NO"))</f>
      </c>
      <c r="O32" s="654">
        <f>IF(D32="","","NO")</f>
      </c>
      <c r="P32" s="546">
        <f>200*IF(O32="SI",1,0.1)*IF(M32="P",0.1,1)</f>
        <v>20</v>
      </c>
      <c r="Q32" s="547" t="str">
        <f>IF(M32="P",H32*P32*ROUND(L32/60,2),"--")</f>
        <v>--</v>
      </c>
      <c r="R32" s="548" t="str">
        <f>IF(AND(M32="F",N32="NO"),H32*P32,"--")</f>
        <v>--</v>
      </c>
      <c r="S32" s="549" t="str">
        <f>IF(M32="F",H32*P32*ROUND(L32/60,2),"--")</f>
        <v>--</v>
      </c>
      <c r="T32" s="362" t="str">
        <f>IF(M32="RF",H32*P32*ROUND(L32/60,2),"--")</f>
        <v>--</v>
      </c>
      <c r="U32" s="300">
        <f>IF(D32="","","SI")</f>
      </c>
      <c r="V32" s="301">
        <f>IF(D32="","",SUM(Q32:T32)*IF(U32="SI",1,2))</f>
      </c>
      <c r="W32" s="225"/>
    </row>
    <row r="33" spans="1:23" ht="16.5" customHeight="1" thickBot="1">
      <c r="A33" s="32"/>
      <c r="B33" s="50"/>
      <c r="C33" s="550"/>
      <c r="D33" s="551"/>
      <c r="E33" s="552"/>
      <c r="F33" s="553"/>
      <c r="G33" s="554"/>
      <c r="H33" s="555"/>
      <c r="I33" s="556"/>
      <c r="J33" s="557"/>
      <c r="K33" s="558"/>
      <c r="L33" s="559"/>
      <c r="M33" s="560"/>
      <c r="N33" s="9"/>
      <c r="O33" s="655"/>
      <c r="P33" s="561"/>
      <c r="Q33" s="562"/>
      <c r="R33" s="563"/>
      <c r="S33" s="564"/>
      <c r="T33" s="565"/>
      <c r="U33" s="566"/>
      <c r="V33" s="567"/>
      <c r="W33" s="225"/>
    </row>
    <row r="34" spans="1:23" ht="16.5" customHeight="1" thickBot="1" thickTop="1">
      <c r="A34" s="32"/>
      <c r="B34" s="50"/>
      <c r="C34" s="98"/>
      <c r="D34" s="202"/>
      <c r="E34" s="202"/>
      <c r="F34" s="393"/>
      <c r="G34" s="568"/>
      <c r="H34" s="569"/>
      <c r="I34" s="570"/>
      <c r="J34" s="571"/>
      <c r="K34" s="572"/>
      <c r="L34" s="573"/>
      <c r="M34" s="569"/>
      <c r="N34" s="574"/>
      <c r="O34" s="191"/>
      <c r="P34" s="575"/>
      <c r="Q34" s="576"/>
      <c r="R34" s="577"/>
      <c r="S34" s="577"/>
      <c r="T34" s="577"/>
      <c r="U34" s="192"/>
      <c r="V34" s="578">
        <f>SUM(V30:V33)</f>
        <v>0</v>
      </c>
      <c r="W34" s="225"/>
    </row>
    <row r="35" spans="1:23" ht="16.5" customHeight="1" thickBot="1" thickTop="1">
      <c r="A35" s="32"/>
      <c r="B35" s="50"/>
      <c r="C35" s="98"/>
      <c r="D35" s="202"/>
      <c r="E35" s="202"/>
      <c r="F35" s="393"/>
      <c r="G35" s="568"/>
      <c r="H35" s="569"/>
      <c r="I35" s="570"/>
      <c r="L35" s="573"/>
      <c r="M35" s="569"/>
      <c r="N35" s="579"/>
      <c r="O35" s="580"/>
      <c r="P35" s="575"/>
      <c r="Q35" s="576"/>
      <c r="R35" s="577"/>
      <c r="S35" s="577"/>
      <c r="T35" s="577"/>
      <c r="U35" s="192"/>
      <c r="V35" s="192"/>
      <c r="W35" s="225"/>
    </row>
    <row r="36" spans="2:23" s="5" customFormat="1" ht="33.75" customHeight="1" thickBot="1" thickTop="1">
      <c r="B36" s="50"/>
      <c r="C36" s="84" t="s">
        <v>12</v>
      </c>
      <c r="D36" s="86" t="s">
        <v>26</v>
      </c>
      <c r="E36" s="962" t="s">
        <v>27</v>
      </c>
      <c r="F36" s="964"/>
      <c r="G36" s="132" t="s">
        <v>13</v>
      </c>
      <c r="H36" s="129" t="s">
        <v>15</v>
      </c>
      <c r="I36" s="85" t="s">
        <v>16</v>
      </c>
      <c r="J36" s="345" t="s">
        <v>17</v>
      </c>
      <c r="K36" s="347" t="s">
        <v>35</v>
      </c>
      <c r="L36" s="347" t="s">
        <v>30</v>
      </c>
      <c r="M36" s="88" t="s">
        <v>18</v>
      </c>
      <c r="N36" s="962" t="s">
        <v>31</v>
      </c>
      <c r="O36" s="963"/>
      <c r="P36" s="135" t="s">
        <v>36</v>
      </c>
      <c r="Q36" s="348" t="s">
        <v>68</v>
      </c>
      <c r="R36" s="178" t="s">
        <v>34</v>
      </c>
      <c r="S36" s="349"/>
      <c r="T36" s="134" t="s">
        <v>21</v>
      </c>
      <c r="U36" s="132" t="s">
        <v>72</v>
      </c>
      <c r="V36" s="121" t="s">
        <v>23</v>
      </c>
      <c r="W36" s="6"/>
    </row>
    <row r="37" spans="2:23" s="5" customFormat="1" ht="16.5" customHeight="1" thickTop="1">
      <c r="B37" s="50"/>
      <c r="C37" s="7"/>
      <c r="D37" s="357"/>
      <c r="E37" s="965"/>
      <c r="F37" s="966"/>
      <c r="G37" s="357"/>
      <c r="H37" s="358"/>
      <c r="I37" s="357"/>
      <c r="J37" s="357"/>
      <c r="K37" s="357"/>
      <c r="L37" s="357"/>
      <c r="M37" s="357"/>
      <c r="N37" s="957"/>
      <c r="O37" s="958"/>
      <c r="P37" s="359"/>
      <c r="Q37" s="360"/>
      <c r="R37" s="189"/>
      <c r="S37" s="361"/>
      <c r="T37" s="362"/>
      <c r="U37" s="357"/>
      <c r="V37" s="363"/>
      <c r="W37" s="6"/>
    </row>
    <row r="38" spans="2:23" s="5" customFormat="1" ht="16.5" customHeight="1">
      <c r="B38" s="50"/>
      <c r="C38" s="753" t="s">
        <v>182</v>
      </c>
      <c r="D38" s="357" t="s">
        <v>312</v>
      </c>
      <c r="E38" s="965" t="s">
        <v>313</v>
      </c>
      <c r="F38" s="966"/>
      <c r="G38" s="657">
        <v>132</v>
      </c>
      <c r="H38" s="130">
        <f>IF(G38=500,$M$19,IF(G38=220,$M$20,$M$21))</f>
        <v>89.269</v>
      </c>
      <c r="I38" s="658">
        <v>40545.32152777778</v>
      </c>
      <c r="J38" s="659">
        <v>40545.73819444444</v>
      </c>
      <c r="K38" s="367">
        <f>IF(D38="","",(J38-I38)*24)</f>
        <v>9.999999999941792</v>
      </c>
      <c r="L38" s="368">
        <f>IF(D38="","",ROUND((J38-I38)*24*60,0))</f>
        <v>600</v>
      </c>
      <c r="M38" s="500" t="s">
        <v>275</v>
      </c>
      <c r="N38" s="955" t="str">
        <f>IF(D38="","",IF(OR(M38="P",M38="RP"),"--","NO"))</f>
        <v>--</v>
      </c>
      <c r="O38" s="956"/>
      <c r="P38" s="660">
        <f>IF(G38=500,$N$19,IF(G38=220,$N$20,$N$21))</f>
        <v>40</v>
      </c>
      <c r="Q38" s="661">
        <f>IF(M38="P",H38*P38*ROUND(L38/60,2)*0.1,"--")</f>
        <v>3570.7600000000007</v>
      </c>
      <c r="R38" s="189" t="str">
        <f>IF(AND(M38="F",N38="NO"),H38*P38,"--")</f>
        <v>--</v>
      </c>
      <c r="S38" s="361" t="str">
        <f>IF(M38="F",H38*P38*ROUND(L38/60,2),"--")</f>
        <v>--</v>
      </c>
      <c r="T38" s="362" t="str">
        <f>IF(M38="RF",H38*P38*ROUND(L38/60,2),"--")</f>
        <v>--</v>
      </c>
      <c r="U38" s="662" t="str">
        <f>IF(D38="","","SI")</f>
        <v>SI</v>
      </c>
      <c r="V38" s="369">
        <f>IF(D38="","",SUM(Q38:T38)*IF(U38="SI",1,2))</f>
        <v>3570.7600000000007</v>
      </c>
      <c r="W38" s="6"/>
    </row>
    <row r="39" spans="2:23" s="5" customFormat="1" ht="16.5" customHeight="1">
      <c r="B39" s="50"/>
      <c r="C39" s="753" t="s">
        <v>183</v>
      </c>
      <c r="D39" s="357" t="s">
        <v>314</v>
      </c>
      <c r="E39" s="965" t="s">
        <v>315</v>
      </c>
      <c r="F39" s="966"/>
      <c r="G39" s="657">
        <v>132</v>
      </c>
      <c r="H39" s="130">
        <f aca="true" t="shared" si="0" ref="H39:H45">IF(G39=500,$M$19,IF(G39=220,$M$20,$M$21))</f>
        <v>89.269</v>
      </c>
      <c r="I39" s="658">
        <v>40550.43125</v>
      </c>
      <c r="J39" s="659">
        <v>40550.57152777778</v>
      </c>
      <c r="K39" s="367">
        <f aca="true" t="shared" si="1" ref="K39:K45">IF(D39="","",(J39-I39)*24)</f>
        <v>3.366666666639503</v>
      </c>
      <c r="L39" s="368">
        <f aca="true" t="shared" si="2" ref="L39:L45">IF(D39="","",ROUND((J39-I39)*24*60,0))</f>
        <v>202</v>
      </c>
      <c r="M39" s="500" t="s">
        <v>275</v>
      </c>
      <c r="N39" s="955" t="str">
        <f aca="true" t="shared" si="3" ref="N39:N45">IF(D39="","",IF(OR(M39="P",M39="RP"),"--","NO"))</f>
        <v>--</v>
      </c>
      <c r="O39" s="956"/>
      <c r="P39" s="660">
        <f aca="true" t="shared" si="4" ref="P39:P45">IF(G39=500,$N$19,IF(G39=220,$N$20,$N$21))</f>
        <v>40</v>
      </c>
      <c r="Q39" s="661">
        <f aca="true" t="shared" si="5" ref="Q39:Q45">IF(M39="P",H39*P39*ROUND(L39/60,2)*0.1,"--")</f>
        <v>1203.3461200000002</v>
      </c>
      <c r="R39" s="189" t="str">
        <f aca="true" t="shared" si="6" ref="R39:R45">IF(AND(M39="F",N39="NO"),H39*P39,"--")</f>
        <v>--</v>
      </c>
      <c r="S39" s="361" t="str">
        <f aca="true" t="shared" si="7" ref="S39:S45">IF(M39="F",H39*P39*ROUND(L39/60,2),"--")</f>
        <v>--</v>
      </c>
      <c r="T39" s="362" t="str">
        <f aca="true" t="shared" si="8" ref="T39:T45">IF(M39="RF",H39*P39*ROUND(L39/60,2),"--")</f>
        <v>--</v>
      </c>
      <c r="U39" s="662" t="str">
        <f aca="true" t="shared" si="9" ref="U39:U45">IF(D39="","","SI")</f>
        <v>SI</v>
      </c>
      <c r="V39" s="369">
        <f aca="true" t="shared" si="10" ref="V39:V45">IF(D39="","",SUM(Q39:T39)*IF(U39="SI",1,2))</f>
        <v>1203.3461200000002</v>
      </c>
      <c r="W39" s="6"/>
    </row>
    <row r="40" spans="2:23" s="5" customFormat="1" ht="16.5" customHeight="1">
      <c r="B40" s="50"/>
      <c r="C40" s="753" t="s">
        <v>184</v>
      </c>
      <c r="D40" s="357" t="s">
        <v>312</v>
      </c>
      <c r="E40" s="965" t="s">
        <v>316</v>
      </c>
      <c r="F40" s="966"/>
      <c r="G40" s="657">
        <v>132</v>
      </c>
      <c r="H40" s="130">
        <f t="shared" si="0"/>
        <v>89.269</v>
      </c>
      <c r="I40" s="658">
        <v>40554.436111111114</v>
      </c>
      <c r="J40" s="659">
        <v>40554.44652777778</v>
      </c>
      <c r="K40" s="367">
        <f t="shared" si="1"/>
        <v>0.24999999994179234</v>
      </c>
      <c r="L40" s="368">
        <f t="shared" si="2"/>
        <v>15</v>
      </c>
      <c r="M40" s="500" t="s">
        <v>275</v>
      </c>
      <c r="N40" s="955" t="str">
        <f t="shared" si="3"/>
        <v>--</v>
      </c>
      <c r="O40" s="956"/>
      <c r="P40" s="660">
        <f t="shared" si="4"/>
        <v>40</v>
      </c>
      <c r="Q40" s="661">
        <f t="shared" si="5"/>
        <v>89.269</v>
      </c>
      <c r="R40" s="189" t="str">
        <f t="shared" si="6"/>
        <v>--</v>
      </c>
      <c r="S40" s="361" t="str">
        <f t="shared" si="7"/>
        <v>--</v>
      </c>
      <c r="T40" s="362" t="str">
        <f t="shared" si="8"/>
        <v>--</v>
      </c>
      <c r="U40" s="662" t="str">
        <f t="shared" si="9"/>
        <v>SI</v>
      </c>
      <c r="V40" s="369">
        <f t="shared" si="10"/>
        <v>89.269</v>
      </c>
      <c r="W40" s="6"/>
    </row>
    <row r="41" spans="2:23" s="5" customFormat="1" ht="16.5" customHeight="1">
      <c r="B41" s="50"/>
      <c r="C41" s="753" t="s">
        <v>185</v>
      </c>
      <c r="D41" s="357" t="s">
        <v>317</v>
      </c>
      <c r="E41" s="965" t="s">
        <v>318</v>
      </c>
      <c r="F41" s="966"/>
      <c r="G41" s="657">
        <v>132</v>
      </c>
      <c r="H41" s="130">
        <f t="shared" si="0"/>
        <v>89.269</v>
      </c>
      <c r="I41" s="658">
        <v>40556.34583333333</v>
      </c>
      <c r="J41" s="659">
        <v>40556.78402777778</v>
      </c>
      <c r="K41" s="367">
        <f t="shared" si="1"/>
        <v>10.516666666720994</v>
      </c>
      <c r="L41" s="368">
        <f t="shared" si="2"/>
        <v>631</v>
      </c>
      <c r="M41" s="500" t="s">
        <v>275</v>
      </c>
      <c r="N41" s="955" t="str">
        <f t="shared" si="3"/>
        <v>--</v>
      </c>
      <c r="O41" s="956"/>
      <c r="P41" s="660">
        <f t="shared" si="4"/>
        <v>40</v>
      </c>
      <c r="Q41" s="661">
        <f t="shared" si="5"/>
        <v>3756.43952</v>
      </c>
      <c r="R41" s="189" t="str">
        <f t="shared" si="6"/>
        <v>--</v>
      </c>
      <c r="S41" s="361" t="str">
        <f t="shared" si="7"/>
        <v>--</v>
      </c>
      <c r="T41" s="362" t="str">
        <f t="shared" si="8"/>
        <v>--</v>
      </c>
      <c r="U41" s="662" t="str">
        <f t="shared" si="9"/>
        <v>SI</v>
      </c>
      <c r="V41" s="369">
        <f t="shared" si="10"/>
        <v>3756.43952</v>
      </c>
      <c r="W41" s="6"/>
    </row>
    <row r="42" spans="2:23" s="5" customFormat="1" ht="16.5" customHeight="1">
      <c r="B42" s="50"/>
      <c r="C42" s="753" t="s">
        <v>186</v>
      </c>
      <c r="D42" s="357" t="s">
        <v>314</v>
      </c>
      <c r="E42" s="965" t="s">
        <v>319</v>
      </c>
      <c r="F42" s="966"/>
      <c r="G42" s="657">
        <v>132</v>
      </c>
      <c r="H42" s="130">
        <f t="shared" si="0"/>
        <v>89.269</v>
      </c>
      <c r="I42" s="658">
        <v>40557.345138888886</v>
      </c>
      <c r="J42" s="659">
        <v>40557.73888888889</v>
      </c>
      <c r="K42" s="367">
        <f t="shared" si="1"/>
        <v>9.45000000006985</v>
      </c>
      <c r="L42" s="368">
        <f t="shared" si="2"/>
        <v>567</v>
      </c>
      <c r="M42" s="500" t="s">
        <v>275</v>
      </c>
      <c r="N42" s="955" t="str">
        <f t="shared" si="3"/>
        <v>--</v>
      </c>
      <c r="O42" s="956"/>
      <c r="P42" s="660">
        <f t="shared" si="4"/>
        <v>40</v>
      </c>
      <c r="Q42" s="661">
        <f t="shared" si="5"/>
        <v>3374.3682000000003</v>
      </c>
      <c r="R42" s="189" t="str">
        <f t="shared" si="6"/>
        <v>--</v>
      </c>
      <c r="S42" s="361" t="str">
        <f t="shared" si="7"/>
        <v>--</v>
      </c>
      <c r="T42" s="362" t="str">
        <f t="shared" si="8"/>
        <v>--</v>
      </c>
      <c r="U42" s="662" t="str">
        <f t="shared" si="9"/>
        <v>SI</v>
      </c>
      <c r="V42" s="369">
        <f>IF(D42="","",SUM(Q42:T42)*IF(U42="SI",1,2))</f>
        <v>3374.3682000000003</v>
      </c>
      <c r="W42" s="6"/>
    </row>
    <row r="43" spans="2:23" s="5" customFormat="1" ht="16.5" customHeight="1">
      <c r="B43" s="50"/>
      <c r="C43" s="753" t="s">
        <v>187</v>
      </c>
      <c r="D43" s="357" t="s">
        <v>312</v>
      </c>
      <c r="E43" s="965" t="s">
        <v>320</v>
      </c>
      <c r="F43" s="966"/>
      <c r="G43" s="657">
        <v>132</v>
      </c>
      <c r="H43" s="130">
        <f t="shared" si="0"/>
        <v>89.269</v>
      </c>
      <c r="I43" s="658">
        <v>40559.37777777778</v>
      </c>
      <c r="J43" s="659">
        <v>40559.51944444444</v>
      </c>
      <c r="K43" s="367">
        <f t="shared" si="1"/>
        <v>3.3999999999068677</v>
      </c>
      <c r="L43" s="368">
        <f t="shared" si="2"/>
        <v>204</v>
      </c>
      <c r="M43" s="500" t="s">
        <v>275</v>
      </c>
      <c r="N43" s="955" t="str">
        <f t="shared" si="3"/>
        <v>--</v>
      </c>
      <c r="O43" s="956"/>
      <c r="P43" s="660">
        <f t="shared" si="4"/>
        <v>40</v>
      </c>
      <c r="Q43" s="661">
        <f t="shared" si="5"/>
        <v>1214.0584000000001</v>
      </c>
      <c r="R43" s="189" t="str">
        <f t="shared" si="6"/>
        <v>--</v>
      </c>
      <c r="S43" s="361" t="str">
        <f t="shared" si="7"/>
        <v>--</v>
      </c>
      <c r="T43" s="362" t="str">
        <f t="shared" si="8"/>
        <v>--</v>
      </c>
      <c r="U43" s="662" t="str">
        <f t="shared" si="9"/>
        <v>SI</v>
      </c>
      <c r="V43" s="369">
        <f t="shared" si="10"/>
        <v>1214.0584000000001</v>
      </c>
      <c r="W43" s="6"/>
    </row>
    <row r="44" spans="2:23" s="5" customFormat="1" ht="16.5" customHeight="1">
      <c r="B44" s="50"/>
      <c r="C44" s="753" t="s">
        <v>188</v>
      </c>
      <c r="D44" s="357"/>
      <c r="E44" s="965"/>
      <c r="F44" s="966"/>
      <c r="G44" s="657"/>
      <c r="H44" s="130">
        <f t="shared" si="0"/>
        <v>89.269</v>
      </c>
      <c r="I44" s="658"/>
      <c r="J44" s="659"/>
      <c r="K44" s="367">
        <f t="shared" si="1"/>
      </c>
      <c r="L44" s="368">
        <f t="shared" si="2"/>
      </c>
      <c r="M44" s="500"/>
      <c r="N44" s="955">
        <f t="shared" si="3"/>
      </c>
      <c r="O44" s="956"/>
      <c r="P44" s="660">
        <f t="shared" si="4"/>
        <v>40</v>
      </c>
      <c r="Q44" s="661" t="str">
        <f t="shared" si="5"/>
        <v>--</v>
      </c>
      <c r="R44" s="189" t="str">
        <f t="shared" si="6"/>
        <v>--</v>
      </c>
      <c r="S44" s="361" t="str">
        <f t="shared" si="7"/>
        <v>--</v>
      </c>
      <c r="T44" s="362" t="str">
        <f t="shared" si="8"/>
        <v>--</v>
      </c>
      <c r="U44" s="662">
        <f t="shared" si="9"/>
      </c>
      <c r="V44" s="369">
        <f t="shared" si="10"/>
      </c>
      <c r="W44" s="6"/>
    </row>
    <row r="45" spans="2:23" s="5" customFormat="1" ht="16.5" customHeight="1">
      <c r="B45" s="50"/>
      <c r="C45" s="753" t="s">
        <v>189</v>
      </c>
      <c r="D45" s="357"/>
      <c r="E45" s="965"/>
      <c r="F45" s="966"/>
      <c r="G45" s="657"/>
      <c r="H45" s="130">
        <f t="shared" si="0"/>
        <v>89.269</v>
      </c>
      <c r="I45" s="658"/>
      <c r="J45" s="659"/>
      <c r="K45" s="367">
        <f t="shared" si="1"/>
      </c>
      <c r="L45" s="368">
        <f t="shared" si="2"/>
      </c>
      <c r="M45" s="500"/>
      <c r="N45" s="955">
        <f t="shared" si="3"/>
      </c>
      <c r="O45" s="956"/>
      <c r="P45" s="660">
        <f t="shared" si="4"/>
        <v>40</v>
      </c>
      <c r="Q45" s="661" t="str">
        <f t="shared" si="5"/>
        <v>--</v>
      </c>
      <c r="R45" s="189" t="str">
        <f t="shared" si="6"/>
        <v>--</v>
      </c>
      <c r="S45" s="361" t="str">
        <f t="shared" si="7"/>
        <v>--</v>
      </c>
      <c r="T45" s="362" t="str">
        <f t="shared" si="8"/>
        <v>--</v>
      </c>
      <c r="U45" s="662">
        <f t="shared" si="9"/>
      </c>
      <c r="V45" s="369">
        <f t="shared" si="10"/>
      </c>
      <c r="W45" s="6"/>
    </row>
    <row r="46" spans="2:28" s="5" customFormat="1" ht="16.5" customHeight="1" thickBot="1">
      <c r="B46" s="50"/>
      <c r="C46" s="550"/>
      <c r="D46" s="664"/>
      <c r="E46" s="960"/>
      <c r="F46" s="961"/>
      <c r="G46" s="665"/>
      <c r="H46" s="666"/>
      <c r="I46" s="667"/>
      <c r="J46" s="668"/>
      <c r="K46" s="669"/>
      <c r="L46" s="670"/>
      <c r="M46" s="671"/>
      <c r="N46" s="953"/>
      <c r="O46" s="954"/>
      <c r="P46" s="672"/>
      <c r="Q46" s="673"/>
      <c r="R46" s="674"/>
      <c r="S46" s="675"/>
      <c r="T46" s="676"/>
      <c r="U46" s="677"/>
      <c r="V46" s="678"/>
      <c r="W46" s="6"/>
      <c r="X46"/>
      <c r="Y46"/>
      <c r="Z46"/>
      <c r="AA46"/>
      <c r="AB46"/>
    </row>
    <row r="47" spans="1:23" ht="17.25" thickBot="1" thickTop="1">
      <c r="A47" s="32"/>
      <c r="B47" s="450"/>
      <c r="C47" s="453"/>
      <c r="D47" s="582"/>
      <c r="E47" s="583"/>
      <c r="F47" s="584"/>
      <c r="G47" s="585"/>
      <c r="H47" s="585"/>
      <c r="I47" s="583"/>
      <c r="J47" s="442"/>
      <c r="K47" s="442"/>
      <c r="L47" s="583"/>
      <c r="M47" s="583"/>
      <c r="N47" s="583"/>
      <c r="O47" s="586"/>
      <c r="P47" s="583"/>
      <c r="Q47" s="583"/>
      <c r="R47" s="587"/>
      <c r="S47" s="588"/>
      <c r="T47" s="588"/>
      <c r="U47" s="589"/>
      <c r="V47" s="578">
        <f>SUM(V38:V46)</f>
        <v>13208.241240000001</v>
      </c>
      <c r="W47" s="590"/>
    </row>
    <row r="48" spans="1:23" ht="17.25" thickBot="1" thickTop="1">
      <c r="A48" s="32"/>
      <c r="B48" s="450"/>
      <c r="C48" s="453"/>
      <c r="D48" s="582"/>
      <c r="E48" s="583"/>
      <c r="F48" s="584"/>
      <c r="G48" s="585"/>
      <c r="H48" s="585"/>
      <c r="I48" s="464" t="s">
        <v>41</v>
      </c>
      <c r="J48" s="649">
        <f>+V47+V34</f>
        <v>13208.241240000001</v>
      </c>
      <c r="L48" s="583"/>
      <c r="M48" s="583"/>
      <c r="N48" s="583"/>
      <c r="O48" s="586"/>
      <c r="P48" s="583"/>
      <c r="Q48" s="583"/>
      <c r="R48" s="587"/>
      <c r="S48" s="588"/>
      <c r="T48" s="588"/>
      <c r="U48" s="589"/>
      <c r="W48" s="590"/>
    </row>
    <row r="49" spans="1:23" ht="13.5" customHeight="1" thickTop="1">
      <c r="A49" s="32"/>
      <c r="B49" s="450"/>
      <c r="C49" s="453"/>
      <c r="D49" s="582"/>
      <c r="E49" s="583"/>
      <c r="F49" s="584"/>
      <c r="G49" s="585"/>
      <c r="H49" s="585"/>
      <c r="I49" s="583"/>
      <c r="J49" s="442"/>
      <c r="K49" s="442"/>
      <c r="L49" s="583"/>
      <c r="M49" s="583"/>
      <c r="N49" s="583"/>
      <c r="O49" s="586"/>
      <c r="P49" s="583"/>
      <c r="Q49" s="583"/>
      <c r="R49" s="587"/>
      <c r="S49" s="588"/>
      <c r="T49" s="588"/>
      <c r="U49" s="589"/>
      <c r="W49" s="590"/>
    </row>
    <row r="50" spans="1:23" ht="16.5" customHeight="1">
      <c r="A50" s="32"/>
      <c r="B50" s="450"/>
      <c r="C50" s="591" t="s">
        <v>99</v>
      </c>
      <c r="D50" s="592" t="s">
        <v>122</v>
      </c>
      <c r="E50" s="583"/>
      <c r="F50" s="584"/>
      <c r="G50" s="585"/>
      <c r="H50" s="585"/>
      <c r="I50" s="583"/>
      <c r="J50" s="442"/>
      <c r="K50" s="442"/>
      <c r="L50" s="583"/>
      <c r="M50" s="583"/>
      <c r="N50" s="583"/>
      <c r="O50" s="586"/>
      <c r="P50" s="583"/>
      <c r="Q50" s="583"/>
      <c r="R50" s="587"/>
      <c r="S50" s="588"/>
      <c r="T50" s="588"/>
      <c r="U50" s="589"/>
      <c r="W50" s="590"/>
    </row>
    <row r="51" spans="1:23" ht="16.5" customHeight="1">
      <c r="A51" s="32"/>
      <c r="B51" s="450"/>
      <c r="C51" s="591"/>
      <c r="D51" s="582"/>
      <c r="E51" s="583"/>
      <c r="F51" s="584"/>
      <c r="G51" s="585"/>
      <c r="H51" s="585"/>
      <c r="I51" s="583"/>
      <c r="J51" s="442"/>
      <c r="K51" s="442"/>
      <c r="L51" s="583"/>
      <c r="M51" s="583"/>
      <c r="N51" s="583"/>
      <c r="O51" s="586"/>
      <c r="P51" s="583"/>
      <c r="Q51" s="583"/>
      <c r="R51" s="583"/>
      <c r="S51" s="587"/>
      <c r="T51" s="588"/>
      <c r="W51" s="590"/>
    </row>
    <row r="52" spans="2:23" s="32" customFormat="1" ht="16.5" customHeight="1">
      <c r="B52" s="450"/>
      <c r="C52" s="453"/>
      <c r="D52" s="593" t="s">
        <v>107</v>
      </c>
      <c r="E52" s="515" t="s">
        <v>108</v>
      </c>
      <c r="F52" s="515" t="s">
        <v>42</v>
      </c>
      <c r="G52" s="594" t="s">
        <v>126</v>
      </c>
      <c r="H52"/>
      <c r="I52" s="139"/>
      <c r="J52" s="605" t="s">
        <v>60</v>
      </c>
      <c r="K52" s="605"/>
      <c r="L52" s="515" t="s">
        <v>42</v>
      </c>
      <c r="M52" t="s">
        <v>111</v>
      </c>
      <c r="O52" s="594" t="s">
        <v>128</v>
      </c>
      <c r="P52"/>
      <c r="Q52" s="598"/>
      <c r="R52" s="598"/>
      <c r="S52" s="33"/>
      <c r="T52"/>
      <c r="U52"/>
      <c r="V52"/>
      <c r="W52" s="590"/>
    </row>
    <row r="53" spans="2:23" s="32" customFormat="1" ht="16.5" customHeight="1">
      <c r="B53" s="450"/>
      <c r="C53" s="453"/>
      <c r="D53" s="143" t="s">
        <v>112</v>
      </c>
      <c r="E53" s="143">
        <v>300</v>
      </c>
      <c r="F53" s="679">
        <v>500</v>
      </c>
      <c r="G53" s="959">
        <f>+E53*$F$20*$F$21</f>
        <v>124992.00000000001</v>
      </c>
      <c r="H53" s="959"/>
      <c r="I53" s="959"/>
      <c r="J53" s="680" t="s">
        <v>113</v>
      </c>
      <c r="K53" s="680"/>
      <c r="L53" s="143">
        <v>500</v>
      </c>
      <c r="M53" s="143">
        <v>2</v>
      </c>
      <c r="O53" s="959">
        <f>+M53*$F$20*$M$19</f>
        <v>166038.47999999998</v>
      </c>
      <c r="P53" s="959"/>
      <c r="Q53" s="959"/>
      <c r="R53" s="959"/>
      <c r="S53" s="959"/>
      <c r="T53" s="959"/>
      <c r="U53" s="959"/>
      <c r="V53"/>
      <c r="W53" s="590"/>
    </row>
    <row r="54" spans="2:23" s="32" customFormat="1" ht="16.5" customHeight="1">
      <c r="B54" s="450"/>
      <c r="C54" s="453"/>
      <c r="D54" s="143" t="s">
        <v>114</v>
      </c>
      <c r="E54" s="142">
        <v>300</v>
      </c>
      <c r="F54" s="679">
        <v>500</v>
      </c>
      <c r="G54" s="959">
        <f>+E54*$F$20*$F$21</f>
        <v>124992.00000000001</v>
      </c>
      <c r="H54" s="959"/>
      <c r="I54" s="959"/>
      <c r="J54" s="680" t="s">
        <v>113</v>
      </c>
      <c r="K54" s="680"/>
      <c r="L54" s="143">
        <v>132</v>
      </c>
      <c r="M54" s="143">
        <v>9</v>
      </c>
      <c r="O54" s="959">
        <f>+M54*$F$20*$M$21</f>
        <v>597745.224</v>
      </c>
      <c r="P54" s="959"/>
      <c r="Q54" s="959"/>
      <c r="R54" s="959"/>
      <c r="S54" s="959"/>
      <c r="T54" s="959"/>
      <c r="U54" s="959"/>
      <c r="V54"/>
      <c r="W54" s="590"/>
    </row>
    <row r="55" spans="2:23" s="32" customFormat="1" ht="16.5" customHeight="1">
      <c r="B55" s="450"/>
      <c r="C55" s="453"/>
      <c r="D55" s="141" t="s">
        <v>115</v>
      </c>
      <c r="E55" s="142">
        <v>300</v>
      </c>
      <c r="F55" s="679">
        <v>500</v>
      </c>
      <c r="G55" s="959">
        <f>+E55*$F$20*$F$21</f>
        <v>124992.00000000001</v>
      </c>
      <c r="H55" s="959"/>
      <c r="I55" s="959"/>
      <c r="J55" s="680" t="s">
        <v>116</v>
      </c>
      <c r="K55" s="680"/>
      <c r="L55" s="143">
        <v>132</v>
      </c>
      <c r="M55" s="143">
        <v>8</v>
      </c>
      <c r="O55" s="959">
        <f>+M55*$F$20*$M$21</f>
        <v>531329.088</v>
      </c>
      <c r="P55" s="959"/>
      <c r="Q55" s="959"/>
      <c r="R55" s="959"/>
      <c r="S55" s="959"/>
      <c r="T55" s="959"/>
      <c r="U55" s="959"/>
      <c r="V55"/>
      <c r="W55" s="590"/>
    </row>
    <row r="56" spans="1:23" ht="16.5" customHeight="1">
      <c r="A56" s="32"/>
      <c r="B56" s="450"/>
      <c r="C56" s="453"/>
      <c r="D56" s="141" t="s">
        <v>117</v>
      </c>
      <c r="E56" s="142">
        <v>300</v>
      </c>
      <c r="F56" s="679">
        <v>500</v>
      </c>
      <c r="G56" s="959">
        <f>+E56*$F$20*$F$21</f>
        <v>124992.00000000001</v>
      </c>
      <c r="H56" s="959"/>
      <c r="I56" s="959"/>
      <c r="J56" s="680" t="s">
        <v>118</v>
      </c>
      <c r="K56" s="680"/>
      <c r="L56" s="143">
        <v>132</v>
      </c>
      <c r="M56" s="143">
        <v>5</v>
      </c>
      <c r="O56" s="967">
        <f>+M56*$F$20*$M$21</f>
        <v>332080.68</v>
      </c>
      <c r="P56" s="967"/>
      <c r="Q56" s="967"/>
      <c r="R56" s="967"/>
      <c r="S56" s="967"/>
      <c r="T56" s="967"/>
      <c r="U56" s="967"/>
      <c r="W56" s="590"/>
    </row>
    <row r="57" spans="1:23" ht="16.5" customHeight="1">
      <c r="A57" s="32"/>
      <c r="B57" s="450"/>
      <c r="C57" s="453"/>
      <c r="D57" s="141" t="s">
        <v>209</v>
      </c>
      <c r="E57" s="142">
        <v>600</v>
      </c>
      <c r="F57" s="679">
        <v>500</v>
      </c>
      <c r="G57" s="967">
        <f>+E57*$F$20*$F$21</f>
        <v>249984.00000000003</v>
      </c>
      <c r="H57" s="967"/>
      <c r="I57" s="967"/>
      <c r="M57" s="143"/>
      <c r="O57" s="959">
        <f>SUM(O53:P56)</f>
        <v>1627193.4719999998</v>
      </c>
      <c r="P57" s="959"/>
      <c r="Q57" s="959"/>
      <c r="R57" s="959"/>
      <c r="S57" s="959"/>
      <c r="T57" s="959"/>
      <c r="U57" s="959"/>
      <c r="W57" s="590"/>
    </row>
    <row r="58" spans="1:23" ht="16.5" customHeight="1">
      <c r="A58" s="32"/>
      <c r="B58" s="450"/>
      <c r="C58" s="453"/>
      <c r="D58" s="141"/>
      <c r="E58" s="142"/>
      <c r="F58" s="679"/>
      <c r="G58" s="959">
        <f>SUM(G53:G57)</f>
        <v>749952.0000000001</v>
      </c>
      <c r="H58" s="959"/>
      <c r="I58" s="959"/>
      <c r="M58" s="143"/>
      <c r="N58" s="139"/>
      <c r="O58" s="139"/>
      <c r="P58" s="633"/>
      <c r="Q58" s="633"/>
      <c r="R58" s="633"/>
      <c r="S58" s="633"/>
      <c r="W58" s="590"/>
    </row>
    <row r="59" spans="1:23" ht="16.5" customHeight="1">
      <c r="A59" s="32"/>
      <c r="B59" s="450"/>
      <c r="C59" s="453"/>
      <c r="D59" s="141"/>
      <c r="E59" s="142"/>
      <c r="F59" s="679"/>
      <c r="G59" s="880"/>
      <c r="H59" s="880"/>
      <c r="I59" s="880"/>
      <c r="M59" s="143"/>
      <c r="N59" s="139"/>
      <c r="O59" s="139"/>
      <c r="P59" s="633"/>
      <c r="Q59" s="633"/>
      <c r="R59" s="633"/>
      <c r="S59" s="633"/>
      <c r="W59" s="590"/>
    </row>
    <row r="60" spans="1:23" ht="16.5" customHeight="1">
      <c r="A60" s="32"/>
      <c r="B60" s="450"/>
      <c r="C60" s="968" t="s">
        <v>360</v>
      </c>
      <c r="D60" s="968"/>
      <c r="E60" s="142" t="s">
        <v>359</v>
      </c>
      <c r="F60" s="890">
        <v>10066</v>
      </c>
      <c r="G60" s="880"/>
      <c r="H60" s="880"/>
      <c r="I60" s="880"/>
      <c r="M60" s="143"/>
      <c r="N60" s="139"/>
      <c r="O60" s="139"/>
      <c r="P60" s="633"/>
      <c r="Q60" s="633"/>
      <c r="R60" s="633"/>
      <c r="S60" s="633"/>
      <c r="W60" s="590"/>
    </row>
    <row r="61" spans="1:23" ht="16.5" customHeight="1" thickBot="1">
      <c r="A61" s="32"/>
      <c r="B61" s="450"/>
      <c r="C61" s="453"/>
      <c r="D61" s="593"/>
      <c r="E61" s="606"/>
      <c r="F61" s="606"/>
      <c r="G61" s="515"/>
      <c r="I61" s="596"/>
      <c r="J61" s="594"/>
      <c r="L61" s="595"/>
      <c r="M61" s="596"/>
      <c r="N61" s="597"/>
      <c r="O61" s="598"/>
      <c r="P61" s="598"/>
      <c r="Q61" s="598"/>
      <c r="R61" s="598"/>
      <c r="S61" s="598"/>
      <c r="W61" s="590"/>
    </row>
    <row r="62" spans="1:23" ht="16.5" customHeight="1" thickBot="1" thickTop="1">
      <c r="A62" s="32"/>
      <c r="B62" s="450"/>
      <c r="C62" s="453"/>
      <c r="D62" s="515"/>
      <c r="E62" s="634"/>
      <c r="F62" s="634"/>
      <c r="G62" s="600"/>
      <c r="H62" s="170"/>
      <c r="I62" s="464" t="s">
        <v>43</v>
      </c>
      <c r="J62" s="649">
        <f>+G58+O57+F60</f>
        <v>2387211.472</v>
      </c>
      <c r="L62" s="602"/>
      <c r="M62" s="170"/>
      <c r="N62" s="603"/>
      <c r="O62" s="633"/>
      <c r="P62" s="633"/>
      <c r="Q62" s="633"/>
      <c r="R62" s="633"/>
      <c r="S62" s="633"/>
      <c r="U62" s="464" t="s">
        <v>355</v>
      </c>
      <c r="V62" s="649">
        <v>880144.24</v>
      </c>
      <c r="W62" s="590"/>
    </row>
    <row r="63" spans="1:23" ht="16.5" customHeight="1" thickTop="1">
      <c r="A63" s="32"/>
      <c r="B63" s="450"/>
      <c r="C63" s="453"/>
      <c r="D63" s="442"/>
      <c r="E63" s="458"/>
      <c r="F63" s="515"/>
      <c r="G63" s="515"/>
      <c r="H63" s="516"/>
      <c r="J63" s="515"/>
      <c r="L63" s="607"/>
      <c r="M63" s="597"/>
      <c r="N63" s="597"/>
      <c r="O63" s="598"/>
      <c r="P63" s="598"/>
      <c r="Q63" s="598"/>
      <c r="R63" s="598"/>
      <c r="S63" s="598"/>
      <c r="W63" s="590"/>
    </row>
    <row r="64" spans="2:23" ht="16.5" customHeight="1">
      <c r="B64" s="450"/>
      <c r="C64" s="591" t="s">
        <v>101</v>
      </c>
      <c r="D64" s="608" t="s">
        <v>102</v>
      </c>
      <c r="E64" s="515"/>
      <c r="F64" s="609"/>
      <c r="G64" s="514"/>
      <c r="H64" s="442"/>
      <c r="I64" s="442"/>
      <c r="J64" s="442"/>
      <c r="K64" s="515"/>
      <c r="L64" s="515"/>
      <c r="M64" s="442"/>
      <c r="N64" s="515"/>
      <c r="O64" s="442"/>
      <c r="P64" s="442"/>
      <c r="Q64" s="442"/>
      <c r="R64" s="442"/>
      <c r="S64" s="442"/>
      <c r="T64" s="442"/>
      <c r="U64" s="442"/>
      <c r="W64" s="590"/>
    </row>
    <row r="65" spans="2:23" s="32" customFormat="1" ht="16.5" customHeight="1">
      <c r="B65" s="450"/>
      <c r="C65" s="453"/>
      <c r="D65" s="593" t="s">
        <v>103</v>
      </c>
      <c r="E65" s="610">
        <f>10*J48*J25/J62</f>
        <v>1217.4411006596881</v>
      </c>
      <c r="G65" s="514"/>
      <c r="L65" s="515"/>
      <c r="N65" s="515"/>
      <c r="O65" s="516"/>
      <c r="V65"/>
      <c r="W65" s="590"/>
    </row>
    <row r="66" spans="2:23" s="32" customFormat="1" ht="12.75" customHeight="1">
      <c r="B66" s="450"/>
      <c r="C66" s="453"/>
      <c r="E66" s="611"/>
      <c r="F66" s="463"/>
      <c r="G66" s="514"/>
      <c r="J66" s="514"/>
      <c r="K66" s="526"/>
      <c r="L66" s="515"/>
      <c r="M66" s="515"/>
      <c r="N66" s="515"/>
      <c r="O66" s="516"/>
      <c r="P66" s="515"/>
      <c r="Q66" s="515"/>
      <c r="R66" s="525"/>
      <c r="S66" s="525"/>
      <c r="T66" s="525"/>
      <c r="U66" s="612"/>
      <c r="V66"/>
      <c r="W66" s="590"/>
    </row>
    <row r="67" spans="2:23" ht="16.5" customHeight="1">
      <c r="B67" s="450"/>
      <c r="C67" s="453"/>
      <c r="D67" s="613" t="s">
        <v>271</v>
      </c>
      <c r="E67" s="614"/>
      <c r="F67" s="463"/>
      <c r="G67" s="514"/>
      <c r="H67" s="442"/>
      <c r="I67" s="442"/>
      <c r="N67" s="515"/>
      <c r="O67" s="516"/>
      <c r="P67" s="515"/>
      <c r="Q67" s="515"/>
      <c r="R67" s="596"/>
      <c r="S67" s="596"/>
      <c r="T67" s="596"/>
      <c r="U67" s="597"/>
      <c r="W67" s="590"/>
    </row>
    <row r="68" spans="2:23" ht="13.5" customHeight="1" thickBot="1">
      <c r="B68" s="450"/>
      <c r="C68" s="453"/>
      <c r="D68" s="613"/>
      <c r="E68" s="614"/>
      <c r="F68" s="463"/>
      <c r="G68" s="514"/>
      <c r="H68" s="442"/>
      <c r="I68" s="442"/>
      <c r="N68" s="515"/>
      <c r="O68" s="516"/>
      <c r="P68" s="515"/>
      <c r="Q68" s="515"/>
      <c r="R68" s="596"/>
      <c r="S68" s="596"/>
      <c r="T68" s="596"/>
      <c r="U68" s="597"/>
      <c r="W68" s="590"/>
    </row>
    <row r="69" spans="2:23" s="615" customFormat="1" ht="21" thickBot="1" thickTop="1">
      <c r="B69" s="616"/>
      <c r="C69" s="617"/>
      <c r="D69" s="618"/>
      <c r="E69" s="619"/>
      <c r="F69" s="620"/>
      <c r="G69" s="621"/>
      <c r="I69" s="622" t="s">
        <v>104</v>
      </c>
      <c r="J69" s="623">
        <f>IF(E65&gt;3*J25,J25*3,E65)</f>
        <v>1217.4411006596881</v>
      </c>
      <c r="M69" s="879" t="s">
        <v>358</v>
      </c>
      <c r="N69" s="624"/>
      <c r="O69" s="625"/>
      <c r="P69" s="624"/>
      <c r="Q69" s="624"/>
      <c r="R69" s="626"/>
      <c r="S69" s="626"/>
      <c r="T69" s="626"/>
      <c r="U69" s="627"/>
      <c r="V69"/>
      <c r="W69" s="628"/>
    </row>
    <row r="70" spans="2:23" ht="16.5" customHeight="1" thickBot="1" thickTop="1">
      <c r="B70" s="57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193"/>
      <c r="W70" s="629"/>
    </row>
    <row r="71" spans="2:23" ht="16.5" customHeight="1" thickTop="1">
      <c r="B71" s="1"/>
      <c r="C71" s="73"/>
      <c r="W71" s="1"/>
    </row>
  </sheetData>
  <sheetProtection password="CC12"/>
  <mergeCells count="34">
    <mergeCell ref="C60:D60"/>
    <mergeCell ref="E43:F43"/>
    <mergeCell ref="E44:F44"/>
    <mergeCell ref="E45:F45"/>
    <mergeCell ref="O56:U56"/>
    <mergeCell ref="O57:U57"/>
    <mergeCell ref="O54:U54"/>
    <mergeCell ref="O55:U55"/>
    <mergeCell ref="G57:I57"/>
    <mergeCell ref="G58:I58"/>
    <mergeCell ref="G54:I54"/>
    <mergeCell ref="G55:I55"/>
    <mergeCell ref="G56:I56"/>
    <mergeCell ref="N36:O36"/>
    <mergeCell ref="E36:F36"/>
    <mergeCell ref="E37:F37"/>
    <mergeCell ref="E38:F38"/>
    <mergeCell ref="E39:F39"/>
    <mergeCell ref="E40:F40"/>
    <mergeCell ref="N37:O37"/>
    <mergeCell ref="N38:O38"/>
    <mergeCell ref="N39:O39"/>
    <mergeCell ref="N40:O40"/>
    <mergeCell ref="O53:U53"/>
    <mergeCell ref="E46:F46"/>
    <mergeCell ref="E41:F41"/>
    <mergeCell ref="E42:F42"/>
    <mergeCell ref="G53:I53"/>
    <mergeCell ref="N46:O46"/>
    <mergeCell ref="N45:O45"/>
    <mergeCell ref="N41:O41"/>
    <mergeCell ref="N42:O42"/>
    <mergeCell ref="N43:O43"/>
    <mergeCell ref="N44:O44"/>
  </mergeCells>
  <printOptions horizontalCentered="1" verticalCentered="1"/>
  <pageMargins left="0.3937007874015748" right="0.1968503937007874" top="0.3937007874015748" bottom="0.4330708661417323" header="0.2755905511811024" footer="0.2755905511811024"/>
  <pageSetup fitToHeight="1" fitToWidth="1" orientation="landscape" paperSize="9" scale="43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goyola</cp:lastModifiedBy>
  <cp:lastPrinted>2012-06-07T12:43:48Z</cp:lastPrinted>
  <dcterms:created xsi:type="dcterms:W3CDTF">1998-04-21T14:04:37Z</dcterms:created>
  <dcterms:modified xsi:type="dcterms:W3CDTF">2013-01-23T16:23:23Z</dcterms:modified>
  <cp:category/>
  <cp:version/>
  <cp:contentType/>
  <cp:contentStatus/>
</cp:coreProperties>
</file>