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96" activeTab="4"/>
  </bookViews>
  <sheets>
    <sheet name="tot-0510-SUP" sheetId="1" r:id="rId1"/>
    <sheet name="SU (YACYLEC) " sheetId="2" r:id="rId2"/>
    <sheet name="SU (LITSA)" sheetId="3" r:id="rId3"/>
    <sheet name="SU (TIBA)" sheetId="4" r:id="rId4"/>
    <sheet name="SU (CTM)" sheetId="5" r:id="rId5"/>
  </sheets>
  <definedNames>
    <definedName name="_xlnm.Print_Area" localSheetId="4">'SU (CTM)'!$A$1:$W$53</definedName>
    <definedName name="_xlnm.Print_Area" localSheetId="2">'SU (LITSA)'!$A$1:$AD$64</definedName>
    <definedName name="_xlnm.Print_Area" localSheetId="3">'SU (TIBA)'!$A$1:$W$78</definedName>
    <definedName name="_xlnm.Print_Area" localSheetId="1">'SU (YACYLEC) '!$A$1:$AD$68</definedName>
    <definedName name="_xlnm.Print_Area" localSheetId="0">'tot-0510-SUP'!$A$1:$K$26</definedName>
    <definedName name="INICIO" localSheetId="4">'SU (CTM)'!INICIO</definedName>
    <definedName name="INICIO" localSheetId="1">'SU (YACYLEC) '!INICIO</definedName>
    <definedName name="INICIO">[0]!INICIO</definedName>
    <definedName name="XX" localSheetId="1">'SU (YACYLEC) 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<sst xmlns="http://schemas.openxmlformats.org/spreadsheetml/2006/main" count="427" uniqueCount="173">
  <si>
    <t>SISTEMA DE TRANSPORTE DE ENERGÍA ELÉCTRICA EN ALTA TENSIÓN</t>
  </si>
  <si>
    <t>TRANSENER S.A.</t>
  </si>
  <si>
    <t>C</t>
  </si>
  <si>
    <t>500/132</t>
  </si>
  <si>
    <t>TRAFO 1</t>
  </si>
  <si>
    <t>RINCÓN</t>
  </si>
  <si>
    <t>500/132/33</t>
  </si>
  <si>
    <t>BAHÍA BLANCA 500</t>
  </si>
  <si>
    <t>OLAVARRÍA 500</t>
  </si>
  <si>
    <t>CAMPANA 500</t>
  </si>
  <si>
    <t>AUTOTRAFO T1CA</t>
  </si>
  <si>
    <t>LÍNEA A PEDRO LURO</t>
  </si>
  <si>
    <t>LÍNEA A NORTE 2</t>
  </si>
  <si>
    <t>LÍNEA A PUNTA ALTA</t>
  </si>
  <si>
    <t>LÍNEA A DORREGO</t>
  </si>
  <si>
    <t>LÍNEA A PRINGLES</t>
  </si>
  <si>
    <t>LÍNEA A PIGÜE</t>
  </si>
  <si>
    <t>LÍNEA A G. CHAVEZ</t>
  </si>
  <si>
    <t>LÍNEA A VILLA LÍA</t>
  </si>
  <si>
    <t>LÍNEA A ZÁRATE</t>
  </si>
  <si>
    <t>LÍNEA A CAMPANA</t>
  </si>
  <si>
    <t>EQUIPO</t>
  </si>
  <si>
    <t xml:space="preserve">ENTE NACIONAL REGULADOR </t>
  </si>
  <si>
    <t>DE LA ELECTRICIDAD</t>
  </si>
  <si>
    <t>LÍNEAS</t>
  </si>
  <si>
    <t>Transportista Independiente YACYLEC S.A.</t>
  </si>
  <si>
    <t>Transportista Independiente LITSA</t>
  </si>
  <si>
    <t>4.-</t>
  </si>
  <si>
    <t>SUPERVISIÓN</t>
  </si>
  <si>
    <t>Transportista Independiente TIBA S.A.</t>
  </si>
  <si>
    <t xml:space="preserve">TOTAL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</si>
  <si>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</si>
  <si>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</si>
  <si>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</si>
  <si>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</si>
  <si>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</si>
  <si>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</si>
  <si>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</si>
  <si>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</si>
  <si>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</si>
  <si>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</si>
  <si>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</si>
  <si>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</si>
  <si>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</si>
  <si>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</si>
  <si>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</si>
  <si>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</si>
  <si>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</si>
  <si>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Informó
enTérm.</t>
  </si>
  <si>
    <t>TOTAL
PENALIZAC.</t>
  </si>
  <si>
    <t>REDUCC.
RESTANTE</t>
  </si>
  <si>
    <t>PENALIZAC.
PROGRAM.</t>
  </si>
  <si>
    <t>PENALIZACION FORZADA
Por Salida      1ras 5 hs.     hs. Restantes</t>
  </si>
  <si>
    <t>ESTACIÓN
TRANSFORMADORA</t>
  </si>
  <si>
    <t>POT.
[MVA]</t>
  </si>
  <si>
    <t>Hs
Indisp.</t>
  </si>
  <si>
    <t>E.N.S.</t>
  </si>
  <si>
    <t>Salida en 220 kV en $/h</t>
  </si>
  <si>
    <t>PENALIZAC. FORZADA
Por Salida  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</si>
  <si>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</si>
  <si>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</si>
  <si>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</si>
  <si>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</si>
  <si>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</si>
  <si>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</si>
  <si>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</si>
  <si>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</si>
  <si>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</si>
  <si>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</si>
  <si>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</si>
  <si>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</si>
  <si>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Remuneración SALIDA 132 kV             =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</si>
  <si>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</si>
  <si>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</si>
  <si>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</si>
  <si>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</si>
  <si>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</si>
  <si>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</si>
  <si>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</si>
  <si>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</si>
  <si>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</si>
  <si>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</si>
  <si>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</si>
  <si>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</si>
  <si>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</si>
  <si>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</si>
  <si>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</si>
  <si>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</si>
  <si>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</si>
  <si>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 xml:space="preserve"> Rincón - Salto Grande</t>
  </si>
  <si>
    <t xml:space="preserve"> Rincón - San Isidro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</si>
  <si>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</si>
  <si>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</si>
  <si>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</si>
  <si>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</si>
  <si>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Rincón - TR06</t>
  </si>
  <si>
    <t>E.T.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</si>
  <si>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</si>
  <si>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</si>
  <si>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Rincón</t>
  </si>
  <si>
    <t>Ituzaingó, Ita Ibate, Virasoro</t>
  </si>
  <si>
    <t>e)</t>
  </si>
  <si>
    <t>SANCIÓN</t>
  </si>
  <si>
    <t>Sanción calculada</t>
  </si>
  <si>
    <t>TOTAL A PENALIZAR A TRANSENER S.A POR SUPERVISIÓN A L.I.T.S.A.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</si>
  <si>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</si>
  <si>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</si>
  <si>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</si>
  <si>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</si>
  <si>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</si>
  <si>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</si>
  <si>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</si>
  <si>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</si>
  <si>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</si>
  <si>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</si>
  <si>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</si>
  <si>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</si>
  <si>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</si>
  <si>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</si>
  <si>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</si>
  <si>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</si>
  <si>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</si>
  <si>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</si>
  <si>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RINCON - PASO DE LA PATRIA</t>
  </si>
  <si>
    <t>4.1.- Transportista Independiente YACYLEC S.A.</t>
  </si>
  <si>
    <t>4.2.- Transportista Independiente L.I.T.S.A.</t>
  </si>
  <si>
    <t xml:space="preserve">Salida en 500 kV en $/h </t>
  </si>
  <si>
    <t>Salida en 132 kV en $/h</t>
  </si>
  <si>
    <t>TOTAL A PENALIZAR A TRANSENER S.A POR SUPERVISIÓN A T.I.B.A.</t>
  </si>
  <si>
    <t>LÍNEA A PETROQUÍMICA 3</t>
  </si>
  <si>
    <t>500/132/13,8</t>
  </si>
  <si>
    <t>F</t>
  </si>
  <si>
    <t>LÍNEA A BARKER</t>
  </si>
  <si>
    <t>Valores remuneratorios según Res. ENRE N° 618/01 - 544/01 - 533/01</t>
  </si>
  <si>
    <t>Salto Grande</t>
  </si>
  <si>
    <t>Trafo 2 500/132 kV</t>
  </si>
  <si>
    <t>$/hora</t>
  </si>
  <si>
    <t>Remuneración SALIDA 500 kV             =</t>
  </si>
  <si>
    <t>Salto Grande - TR02</t>
  </si>
  <si>
    <t>Rincon</t>
  </si>
  <si>
    <t>TOTAL A PENALIZAR A TRANSENER S.A POR SUPERVISIÓN A C.T.M.</t>
  </si>
  <si>
    <t>P</t>
  </si>
  <si>
    <t>SI</t>
  </si>
  <si>
    <t>Desde el 01 al 31 de octubre de 2005</t>
  </si>
  <si>
    <t>Transportista IndependienteCTM</t>
  </si>
  <si>
    <t>I</t>
  </si>
  <si>
    <t>XV</t>
  </si>
  <si>
    <t>XVI</t>
  </si>
  <si>
    <t>II</t>
  </si>
  <si>
    <t>(DTE 05/10)</t>
  </si>
  <si>
    <t>(DTE 10/05)</t>
  </si>
  <si>
    <t>IV</t>
  </si>
  <si>
    <t>XI</t>
  </si>
  <si>
    <t>XII</t>
  </si>
  <si>
    <t>XIII</t>
  </si>
  <si>
    <t>XIV</t>
  </si>
  <si>
    <t>XVII</t>
  </si>
  <si>
    <t>XVIII</t>
  </si>
  <si>
    <t>XIX</t>
  </si>
  <si>
    <t>XX</t>
  </si>
  <si>
    <t>XXI</t>
  </si>
  <si>
    <t>XXII</t>
  </si>
  <si>
    <t>XXIII</t>
  </si>
  <si>
    <t>XXIX</t>
  </si>
  <si>
    <t>XXX</t>
  </si>
  <si>
    <t>4.2.- Transportista Independiente CTM S.A.</t>
  </si>
  <si>
    <t>SANCIÓN al T.I.</t>
  </si>
  <si>
    <t>SALIDAS</t>
  </si>
  <si>
    <t>--</t>
  </si>
  <si>
    <t>AUTOTRAFO T2CA</t>
  </si>
  <si>
    <t>TOTAL DE PENALIZACIONES - SUPERVISION</t>
  </si>
  <si>
    <t>SEGÚN 2.2.3. Anexo V.2.</t>
  </si>
  <si>
    <t>ANEXO V.1.b.  a la Resolución E.N.R.E.   N° 122 /2008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</si>
</sst>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b/>
      <i/>
      <u val="single"/>
      <sz val="12"/>
      <name val="Arial"/>
      <family val="0"/>
    </font>
    <font>
      <sz val="12"/>
      <name val="MS Sans Serif"/>
      <family val="0"/>
    </font>
    <font>
      <b/>
      <sz val="11"/>
      <name val="Times New Roman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50"/>
      <name val="Times New Roman"/>
      <family val="0"/>
    </font>
    <font>
      <sz val="11"/>
      <color indexed="5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22" fontId="4" fillId="0" borderId="3" xfId="0" applyNumberFormat="1" applyFont="1" applyBorder="1" applyAlignment="1">
      <alignment horizontal="center"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179" fontId="4" fillId="0" borderId="4" xfId="0" applyNumberFormat="1" applyFont="1" applyBorder="1" applyAlignment="1" applyProtection="1" quotePrefix="1">
      <alignment horizontal="center"/>
      <protection/>
    </xf>
    <xf numFmtId="4" fontId="5" fillId="0" borderId="4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72" fontId="4" fillId="0" borderId="5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6" fontId="4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2" fillId="0" borderId="0" xfId="0" applyFont="1" applyFill="1" applyBorder="1" applyAlignment="1" applyProtection="1">
      <alignment horizontal="centerContinuous"/>
      <protection/>
    </xf>
    <xf numFmtId="0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7" fontId="13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7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176" fontId="29" fillId="0" borderId="18" xfId="0" applyNumberFormat="1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172" fontId="29" fillId="0" borderId="14" xfId="0" applyNumberFormat="1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 quotePrefix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/>
    </xf>
    <xf numFmtId="0" fontId="29" fillId="0" borderId="14" xfId="0" applyFont="1" applyBorder="1" applyAlignment="1" applyProtection="1">
      <alignment horizontal="center" vertical="center" wrapText="1"/>
      <protection/>
    </xf>
    <xf numFmtId="176" fontId="17" fillId="0" borderId="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34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173" fontId="26" fillId="0" borderId="0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left"/>
      <protection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/>
    </xf>
    <xf numFmtId="172" fontId="26" fillId="0" borderId="2" xfId="0" applyNumberFormat="1" applyFont="1" applyBorder="1" applyAlignment="1" applyProtection="1">
      <alignment/>
      <protection/>
    </xf>
    <xf numFmtId="172" fontId="26" fillId="0" borderId="1" xfId="0" applyNumberFormat="1" applyFont="1" applyBorder="1" applyAlignment="1" applyProtection="1">
      <alignment horizontal="center"/>
      <protection/>
    </xf>
    <xf numFmtId="0" fontId="26" fillId="0" borderId="20" xfId="0" applyFont="1" applyBorder="1" applyAlignment="1">
      <alignment horizontal="center"/>
    </xf>
    <xf numFmtId="172" fontId="38" fillId="0" borderId="4" xfId="0" applyNumberFormat="1" applyFont="1" applyBorder="1" applyAlignment="1" applyProtection="1">
      <alignment horizontal="center"/>
      <protection/>
    </xf>
    <xf numFmtId="0" fontId="26" fillId="0" borderId="4" xfId="0" applyFont="1" applyBorder="1" applyAlignment="1" applyProtection="1">
      <alignment horizontal="center"/>
      <protection/>
    </xf>
    <xf numFmtId="173" fontId="26" fillId="0" borderId="4" xfId="0" applyNumberFormat="1" applyFont="1" applyBorder="1" applyAlignment="1" applyProtection="1">
      <alignment horizontal="center"/>
      <protection/>
    </xf>
    <xf numFmtId="176" fontId="26" fillId="0" borderId="4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172" fontId="38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center"/>
      <protection/>
    </xf>
    <xf numFmtId="179" fontId="26" fillId="0" borderId="0" xfId="0" applyNumberFormat="1" applyFont="1" applyBorder="1" applyAlignment="1" applyProtection="1" quotePrefix="1">
      <alignment horizontal="center"/>
      <protection/>
    </xf>
    <xf numFmtId="2" fontId="26" fillId="0" borderId="21" xfId="0" applyNumberFormat="1" applyFont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2" fontId="39" fillId="0" borderId="0" xfId="0" applyNumberFormat="1" applyFont="1" applyBorder="1" applyAlignment="1" applyProtection="1">
      <alignment horizontal="left"/>
      <protection/>
    </xf>
    <xf numFmtId="176" fontId="39" fillId="0" borderId="0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173" fontId="39" fillId="0" borderId="0" xfId="0" applyNumberFormat="1" applyFont="1" applyBorder="1" applyAlignment="1" applyProtection="1">
      <alignment horizontal="center"/>
      <protection/>
    </xf>
    <xf numFmtId="179" fontId="39" fillId="0" borderId="0" xfId="0" applyNumberFormat="1" applyFont="1" applyBorder="1" applyAlignment="1" applyProtection="1" quotePrefix="1">
      <alignment horizont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Border="1" applyAlignment="1" applyProtection="1">
      <alignment horizontal="center"/>
      <protection/>
    </xf>
    <xf numFmtId="176" fontId="39" fillId="0" borderId="0" xfId="0" applyNumberFormat="1" applyFont="1" applyBorder="1" applyAlignment="1" applyProtection="1" quotePrefix="1">
      <alignment horizontal="center"/>
      <protection/>
    </xf>
    <xf numFmtId="4" fontId="39" fillId="0" borderId="0" xfId="0" applyNumberFormat="1" applyFont="1" applyBorder="1" applyAlignment="1" applyProtection="1">
      <alignment horizontal="center"/>
      <protection/>
    </xf>
    <xf numFmtId="7" fontId="39" fillId="0" borderId="0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40" fillId="0" borderId="0" xfId="0" applyNumberFormat="1" applyFont="1" applyBorder="1" applyAlignment="1" applyProtection="1">
      <alignment horizontal="left"/>
      <protection/>
    </xf>
    <xf numFmtId="2" fontId="37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 quotePrefix="1">
      <alignment horizontal="center"/>
      <protection/>
    </xf>
    <xf numFmtId="4" fontId="38" fillId="0" borderId="0" xfId="0" applyNumberFormat="1" applyFont="1" applyBorder="1" applyAlignment="1" applyProtection="1">
      <alignment horizontal="center"/>
      <protection/>
    </xf>
    <xf numFmtId="176" fontId="39" fillId="0" borderId="0" xfId="0" applyNumberFormat="1" applyFont="1" applyBorder="1" applyAlignment="1" applyProtection="1" quotePrefix="1">
      <alignment horizontal="right"/>
      <protection/>
    </xf>
    <xf numFmtId="0" fontId="26" fillId="0" borderId="0" xfId="0" applyFont="1" applyAlignment="1">
      <alignment horizontal="centerContinuous"/>
    </xf>
    <xf numFmtId="7" fontId="26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 applyProtection="1">
      <alignment horizontal="left"/>
      <protection/>
    </xf>
    <xf numFmtId="1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7" fontId="26" fillId="0" borderId="0" xfId="0" applyNumberFormat="1" applyFont="1" applyAlignment="1">
      <alignment horizontal="right"/>
    </xf>
    <xf numFmtId="0" fontId="35" fillId="0" borderId="0" xfId="0" applyFont="1" applyAlignment="1" quotePrefix="1">
      <alignment/>
    </xf>
    <xf numFmtId="7" fontId="26" fillId="0" borderId="0" xfId="0" applyNumberFormat="1" applyFont="1" applyBorder="1" applyAlignment="1" applyProtection="1">
      <alignment horizontal="center"/>
      <protection/>
    </xf>
    <xf numFmtId="7" fontId="26" fillId="0" borderId="0" xfId="0" applyNumberFormat="1" applyFont="1" applyBorder="1" applyAlignment="1" applyProtection="1">
      <alignment horizontal="left"/>
      <protection/>
    </xf>
    <xf numFmtId="0" fontId="26" fillId="0" borderId="17" xfId="0" applyFont="1" applyFill="1" applyBorder="1" applyAlignment="1">
      <alignment/>
    </xf>
    <xf numFmtId="0" fontId="0" fillId="0" borderId="9" xfId="0" applyBorder="1" applyAlignment="1">
      <alignment/>
    </xf>
    <xf numFmtId="0" fontId="4" fillId="0" borderId="22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3" fillId="3" borderId="18" xfId="0" applyFont="1" applyFill="1" applyBorder="1" applyAlignment="1" applyProtection="1">
      <alignment horizontal="center" vertical="center"/>
      <protection/>
    </xf>
    <xf numFmtId="176" fontId="44" fillId="3" borderId="1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4" fillId="3" borderId="7" xfId="0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14" fillId="0" borderId="12" xfId="0" applyFont="1" applyFill="1" applyBorder="1" applyAlignment="1">
      <alignment/>
    </xf>
    <xf numFmtId="0" fontId="29" fillId="0" borderId="18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172" fontId="4" fillId="0" borderId="23" xfId="0" applyNumberFormat="1" applyFont="1" applyBorder="1" applyAlignment="1" applyProtection="1">
      <alignment horizontal="center"/>
      <protection/>
    </xf>
    <xf numFmtId="1" fontId="4" fillId="0" borderId="25" xfId="0" applyNumberFormat="1" applyFont="1" applyBorder="1" applyAlignment="1" applyProtection="1" quotePrefix="1">
      <alignment horizontal="center"/>
      <protection/>
    </xf>
    <xf numFmtId="22" fontId="4" fillId="0" borderId="4" xfId="0" applyNumberFormat="1" applyFont="1" applyFill="1" applyBorder="1" applyAlignment="1">
      <alignment horizontal="center"/>
    </xf>
    <xf numFmtId="22" fontId="4" fillId="0" borderId="4" xfId="0" applyNumberFormat="1" applyFont="1" applyFill="1" applyBorder="1" applyAlignment="1" applyProtection="1">
      <alignment horizontal="center"/>
      <protection/>
    </xf>
    <xf numFmtId="4" fontId="4" fillId="0" borderId="4" xfId="0" applyNumberFormat="1" applyFont="1" applyFill="1" applyBorder="1" applyAlignment="1" applyProtection="1">
      <alignment horizontal="center"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>
      <alignment horizontal="center"/>
    </xf>
    <xf numFmtId="4" fontId="17" fillId="0" borderId="26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7" fillId="0" borderId="18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72" fontId="4" fillId="0" borderId="1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>
      <alignment horizontal="center"/>
    </xf>
    <xf numFmtId="176" fontId="43" fillId="3" borderId="18" xfId="0" applyNumberFormat="1" applyFont="1" applyFill="1" applyBorder="1" applyAlignment="1" applyProtection="1">
      <alignment horizontal="center" vertical="center"/>
      <protection/>
    </xf>
    <xf numFmtId="0" fontId="51" fillId="4" borderId="18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 applyProtection="1">
      <alignment horizontal="center"/>
      <protection/>
    </xf>
    <xf numFmtId="0" fontId="48" fillId="5" borderId="18" xfId="0" applyFont="1" applyFill="1" applyBorder="1" applyAlignment="1" applyProtection="1">
      <alignment horizontal="center" vertical="center"/>
      <protection/>
    </xf>
    <xf numFmtId="172" fontId="50" fillId="5" borderId="1" xfId="0" applyNumberFormat="1" applyFont="1" applyFill="1" applyBorder="1" applyAlignment="1" applyProtection="1">
      <alignment horizontal="center"/>
      <protection/>
    </xf>
    <xf numFmtId="0" fontId="52" fillId="4" borderId="1" xfId="0" applyFont="1" applyFill="1" applyBorder="1" applyAlignment="1" applyProtection="1">
      <alignment horizontal="center"/>
      <protection/>
    </xf>
    <xf numFmtId="2" fontId="52" fillId="4" borderId="1" xfId="0" applyNumberFormat="1" applyFont="1" applyFill="1" applyBorder="1" applyAlignment="1">
      <alignment horizontal="center"/>
    </xf>
    <xf numFmtId="0" fontId="42" fillId="6" borderId="13" xfId="0" applyFont="1" applyFill="1" applyBorder="1" applyAlignment="1" applyProtection="1">
      <alignment horizontal="centerContinuous" vertical="center" wrapText="1"/>
      <protection/>
    </xf>
    <xf numFmtId="0" fontId="42" fillId="6" borderId="14" xfId="0" applyFont="1" applyFill="1" applyBorder="1" applyAlignment="1">
      <alignment horizontal="centerContinuous" vertical="center"/>
    </xf>
    <xf numFmtId="176" fontId="41" fillId="6" borderId="28" xfId="0" applyNumberFormat="1" applyFont="1" applyFill="1" applyBorder="1" applyAlignment="1" applyProtection="1" quotePrefix="1">
      <alignment horizontal="center"/>
      <protection/>
    </xf>
    <xf numFmtId="176" fontId="41" fillId="6" borderId="29" xfId="0" applyNumberFormat="1" applyFont="1" applyFill="1" applyBorder="1" applyAlignment="1" applyProtection="1" quotePrefix="1">
      <alignment horizontal="center"/>
      <protection/>
    </xf>
    <xf numFmtId="176" fontId="49" fillId="7" borderId="1" xfId="0" applyNumberFormat="1" applyFont="1" applyFill="1" applyBorder="1" applyAlignment="1" applyProtection="1" quotePrefix="1">
      <alignment horizontal="center"/>
      <protection/>
    </xf>
    <xf numFmtId="0" fontId="48" fillId="7" borderId="18" xfId="0" applyFont="1" applyFill="1" applyBorder="1" applyAlignment="1">
      <alignment horizontal="center" vertical="center" wrapText="1"/>
    </xf>
    <xf numFmtId="172" fontId="44" fillId="3" borderId="1" xfId="0" applyNumberFormat="1" applyFont="1" applyFill="1" applyBorder="1" applyAlignment="1" applyProtection="1">
      <alignment horizontal="center"/>
      <protection/>
    </xf>
    <xf numFmtId="172" fontId="44" fillId="3" borderId="4" xfId="0" applyNumberFormat="1" applyFont="1" applyFill="1" applyBorder="1" applyAlignment="1" applyProtection="1">
      <alignment horizontal="center"/>
      <protection/>
    </xf>
    <xf numFmtId="176" fontId="50" fillId="7" borderId="4" xfId="0" applyNumberFormat="1" applyFont="1" applyFill="1" applyBorder="1" applyAlignment="1" applyProtection="1" quotePrefix="1">
      <alignment horizontal="center"/>
      <protection/>
    </xf>
    <xf numFmtId="173" fontId="54" fillId="3" borderId="4" xfId="0" applyNumberFormat="1" applyFont="1" applyFill="1" applyBorder="1" applyAlignment="1" applyProtection="1">
      <alignment horizontal="center"/>
      <protection/>
    </xf>
    <xf numFmtId="176" fontId="55" fillId="5" borderId="1" xfId="0" applyNumberFormat="1" applyFont="1" applyFill="1" applyBorder="1" applyAlignment="1" applyProtection="1">
      <alignment horizontal="center"/>
      <protection/>
    </xf>
    <xf numFmtId="176" fontId="55" fillId="5" borderId="4" xfId="0" applyNumberFormat="1" applyFont="1" applyFill="1" applyBorder="1" applyAlignment="1" applyProtection="1">
      <alignment horizontal="center"/>
      <protection/>
    </xf>
    <xf numFmtId="0" fontId="26" fillId="0" borderId="27" xfId="0" applyFont="1" applyBorder="1" applyAlignment="1">
      <alignment horizontal="center"/>
    </xf>
    <xf numFmtId="0" fontId="54" fillId="3" borderId="1" xfId="0" applyFont="1" applyFill="1" applyBorder="1" applyAlignment="1" applyProtection="1">
      <alignment horizontal="center"/>
      <protection/>
    </xf>
    <xf numFmtId="22" fontId="4" fillId="0" borderId="1" xfId="0" applyNumberFormat="1" applyFont="1" applyBorder="1" applyAlignment="1">
      <alignment horizontal="center"/>
    </xf>
    <xf numFmtId="172" fontId="26" fillId="0" borderId="27" xfId="0" applyNumberFormat="1" applyFont="1" applyBorder="1" applyAlignment="1" applyProtection="1">
      <alignment horizontal="center"/>
      <protection/>
    </xf>
    <xf numFmtId="172" fontId="54" fillId="3" borderId="27" xfId="0" applyNumberFormat="1" applyFont="1" applyFill="1" applyBorder="1" applyAlignment="1" applyProtection="1">
      <alignment horizontal="center"/>
      <protection/>
    </xf>
    <xf numFmtId="0" fontId="55" fillId="5" borderId="27" xfId="0" applyFont="1" applyFill="1" applyBorder="1" applyAlignment="1">
      <alignment horizontal="center"/>
    </xf>
    <xf numFmtId="2" fontId="55" fillId="8" borderId="18" xfId="0" applyNumberFormat="1" applyFont="1" applyFill="1" applyBorder="1" applyAlignment="1" applyProtection="1">
      <alignment horizontal="center"/>
      <protection/>
    </xf>
    <xf numFmtId="2" fontId="45" fillId="9" borderId="18" xfId="0" applyNumberFormat="1" applyFont="1" applyFill="1" applyBorder="1" applyAlignment="1" applyProtection="1">
      <alignment horizontal="center"/>
      <protection/>
    </xf>
    <xf numFmtId="0" fontId="56" fillId="7" borderId="13" xfId="0" applyFont="1" applyFill="1" applyBorder="1" applyAlignment="1" applyProtection="1">
      <alignment horizontal="centerContinuous" vertical="center" wrapText="1"/>
      <protection/>
    </xf>
    <xf numFmtId="0" fontId="57" fillId="7" borderId="19" xfId="0" applyFont="1" applyFill="1" applyBorder="1" applyAlignment="1">
      <alignment horizontal="centerContinuous"/>
    </xf>
    <xf numFmtId="0" fontId="56" fillId="7" borderId="14" xfId="0" applyFont="1" applyFill="1" applyBorder="1" applyAlignment="1">
      <alignment horizontal="centerContinuous" vertical="center"/>
    </xf>
    <xf numFmtId="2" fontId="58" fillId="7" borderId="18" xfId="0" applyNumberFormat="1" applyFont="1" applyFill="1" applyBorder="1" applyAlignment="1" applyProtection="1">
      <alignment horizontal="center"/>
      <protection/>
    </xf>
    <xf numFmtId="0" fontId="48" fillId="8" borderId="18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Continuous" vertical="center" wrapText="1"/>
    </xf>
    <xf numFmtId="0" fontId="59" fillId="10" borderId="19" xfId="0" applyFont="1" applyFill="1" applyBorder="1" applyAlignment="1">
      <alignment horizontal="centerContinuous"/>
    </xf>
    <xf numFmtId="0" fontId="48" fillId="10" borderId="14" xfId="0" applyFont="1" applyFill="1" applyBorder="1" applyAlignment="1">
      <alignment horizontal="centerContinuous" vertical="center"/>
    </xf>
    <xf numFmtId="2" fontId="55" fillId="10" borderId="18" xfId="0" applyNumberFormat="1" applyFont="1" applyFill="1" applyBorder="1" applyAlignment="1" applyProtection="1">
      <alignment horizontal="center"/>
      <protection/>
    </xf>
    <xf numFmtId="0" fontId="48" fillId="11" borderId="18" xfId="0" applyFont="1" applyFill="1" applyBorder="1" applyAlignment="1">
      <alignment horizontal="centerContinuous" vertical="center" wrapText="1"/>
    </xf>
    <xf numFmtId="2" fontId="55" fillId="11" borderId="18" xfId="0" applyNumberFormat="1" applyFont="1" applyFill="1" applyBorder="1" applyAlignment="1" applyProtection="1">
      <alignment horizontal="center"/>
      <protection/>
    </xf>
    <xf numFmtId="0" fontId="48" fillId="12" borderId="18" xfId="0" applyFont="1" applyFill="1" applyBorder="1" applyAlignment="1">
      <alignment horizontal="centerContinuous" vertical="center" wrapText="1"/>
    </xf>
    <xf numFmtId="2" fontId="55" fillId="12" borderId="18" xfId="0" applyNumberFormat="1" applyFont="1" applyFill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centerContinuous"/>
      <protection/>
    </xf>
    <xf numFmtId="0" fontId="47" fillId="3" borderId="1" xfId="0" applyFont="1" applyFill="1" applyBorder="1" applyAlignment="1">
      <alignment horizontal="center"/>
    </xf>
    <xf numFmtId="176" fontId="47" fillId="3" borderId="1" xfId="0" applyNumberFormat="1" applyFont="1" applyFill="1" applyBorder="1" applyAlignment="1" applyProtection="1">
      <alignment horizontal="center"/>
      <protection/>
    </xf>
    <xf numFmtId="176" fontId="47" fillId="3" borderId="4" xfId="0" applyNumberFormat="1" applyFont="1" applyFill="1" applyBorder="1" applyAlignment="1" applyProtection="1">
      <alignment horizontal="center"/>
      <protection/>
    </xf>
    <xf numFmtId="183" fontId="13" fillId="0" borderId="0" xfId="0" applyNumberFormat="1" applyFont="1" applyBorder="1" applyAlignment="1">
      <alignment horizontal="right"/>
    </xf>
    <xf numFmtId="184" fontId="26" fillId="0" borderId="9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7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 horizontal="left"/>
      <protection/>
    </xf>
    <xf numFmtId="7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 horizontal="right"/>
    </xf>
    <xf numFmtId="10" fontId="26" fillId="0" borderId="0" xfId="0" applyNumberFormat="1" applyFont="1" applyBorder="1" applyAlignment="1" applyProtection="1">
      <alignment horizontal="right"/>
      <protection/>
    </xf>
    <xf numFmtId="0" fontId="48" fillId="13" borderId="13" xfId="0" applyFont="1" applyFill="1" applyBorder="1" applyAlignment="1" applyProtection="1">
      <alignment horizontal="centerContinuous" vertical="center" wrapText="1"/>
      <protection/>
    </xf>
    <xf numFmtId="0" fontId="48" fillId="13" borderId="14" xfId="0" applyFont="1" applyFill="1" applyBorder="1" applyAlignment="1">
      <alignment horizontal="centerContinuous" vertical="center"/>
    </xf>
    <xf numFmtId="0" fontId="50" fillId="13" borderId="30" xfId="0" applyFont="1" applyFill="1" applyBorder="1" applyAlignment="1">
      <alignment horizontal="center"/>
    </xf>
    <xf numFmtId="0" fontId="50" fillId="13" borderId="31" xfId="0" applyFont="1" applyFill="1" applyBorder="1" applyAlignment="1">
      <alignment horizontal="left"/>
    </xf>
    <xf numFmtId="176" fontId="49" fillId="13" borderId="32" xfId="0" applyNumberFormat="1" applyFont="1" applyFill="1" applyBorder="1" applyAlignment="1" applyProtection="1" quotePrefix="1">
      <alignment horizontal="center"/>
      <protection/>
    </xf>
    <xf numFmtId="176" fontId="49" fillId="13" borderId="6" xfId="0" applyNumberFormat="1" applyFont="1" applyFill="1" applyBorder="1" applyAlignment="1" applyProtection="1" quotePrefix="1">
      <alignment horizontal="center"/>
      <protection/>
    </xf>
    <xf numFmtId="176" fontId="50" fillId="13" borderId="33" xfId="0" applyNumberFormat="1" applyFont="1" applyFill="1" applyBorder="1" applyAlignment="1" applyProtection="1" quotePrefix="1">
      <alignment horizontal="center"/>
      <protection/>
    </xf>
    <xf numFmtId="176" fontId="50" fillId="13" borderId="25" xfId="0" applyNumberFormat="1" applyFont="1" applyFill="1" applyBorder="1" applyAlignment="1" applyProtection="1" quotePrefix="1">
      <alignment horizontal="center"/>
      <protection/>
    </xf>
    <xf numFmtId="0" fontId="48" fillId="14" borderId="18" xfId="0" applyFont="1" applyFill="1" applyBorder="1" applyAlignment="1">
      <alignment horizontal="center" vertical="center" wrapText="1"/>
    </xf>
    <xf numFmtId="2" fontId="49" fillId="14" borderId="1" xfId="0" applyNumberFormat="1" applyFont="1" applyFill="1" applyBorder="1" applyAlignment="1">
      <alignment horizontal="center"/>
    </xf>
    <xf numFmtId="2" fontId="50" fillId="14" borderId="4" xfId="0" applyNumberFormat="1" applyFont="1" applyFill="1" applyBorder="1" applyAlignment="1">
      <alignment horizontal="center"/>
    </xf>
    <xf numFmtId="0" fontId="48" fillId="7" borderId="18" xfId="0" applyFont="1" applyFill="1" applyBorder="1" applyAlignment="1">
      <alignment horizontal="centerContinuous" vertical="center" wrapText="1"/>
    </xf>
    <xf numFmtId="0" fontId="44" fillId="3" borderId="27" xfId="0" applyFont="1" applyFill="1" applyBorder="1" applyAlignment="1">
      <alignment horizontal="center"/>
    </xf>
    <xf numFmtId="0" fontId="50" fillId="14" borderId="27" xfId="0" applyFont="1" applyFill="1" applyBorder="1" applyAlignment="1">
      <alignment horizontal="center"/>
    </xf>
    <xf numFmtId="0" fontId="50" fillId="7" borderId="27" xfId="0" applyFont="1" applyFill="1" applyBorder="1" applyAlignment="1">
      <alignment horizontal="left"/>
    </xf>
    <xf numFmtId="0" fontId="60" fillId="0" borderId="0" xfId="0" applyFont="1" applyBorder="1" applyAlignment="1" quotePrefix="1">
      <alignment horizontal="left"/>
    </xf>
    <xf numFmtId="0" fontId="26" fillId="0" borderId="12" xfId="0" applyFont="1" applyFill="1" applyBorder="1" applyAlignment="1">
      <alignment/>
    </xf>
    <xf numFmtId="181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 quotePrefix="1">
      <alignment horizontal="center"/>
      <protection/>
    </xf>
    <xf numFmtId="0" fontId="26" fillId="0" borderId="0" xfId="0" applyFont="1" applyAlignment="1" quotePrefix="1">
      <alignment/>
    </xf>
    <xf numFmtId="181" fontId="26" fillId="0" borderId="0" xfId="0" applyNumberFormat="1" applyFont="1" applyBorder="1" applyAlignment="1" applyProtection="1">
      <alignment horizontal="centerContinuous"/>
      <protection/>
    </xf>
    <xf numFmtId="176" fontId="67" fillId="7" borderId="34" xfId="0" applyNumberFormat="1" applyFont="1" applyFill="1" applyBorder="1" applyAlignment="1" applyProtection="1" quotePrefix="1">
      <alignment horizontal="center"/>
      <protection/>
    </xf>
    <xf numFmtId="181" fontId="39" fillId="0" borderId="0" xfId="0" applyNumberFormat="1" applyFont="1" applyBorder="1" applyAlignment="1" applyProtection="1">
      <alignment horizontal="centerContinuous"/>
      <protection/>
    </xf>
    <xf numFmtId="7" fontId="39" fillId="0" borderId="3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39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4" fontId="13" fillId="0" borderId="13" xfId="0" applyNumberFormat="1" applyFont="1" applyBorder="1" applyAlignment="1" applyProtection="1">
      <alignment horizontal="center" vertical="center"/>
      <protection/>
    </xf>
    <xf numFmtId="7" fontId="61" fillId="0" borderId="14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62" fillId="0" borderId="0" xfId="0" applyNumberFormat="1" applyFont="1" applyBorder="1" applyAlignment="1" applyProtection="1">
      <alignment horizontal="center" vertical="center"/>
      <protection/>
    </xf>
    <xf numFmtId="176" fontId="63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12" xfId="0" applyNumberFormat="1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64" fillId="0" borderId="0" xfId="0" applyFont="1" applyAlignment="1">
      <alignment horizontal="right" vertical="top"/>
    </xf>
    <xf numFmtId="0" fontId="65" fillId="0" borderId="0" xfId="0" applyFont="1" applyFill="1" applyAlignment="1">
      <alignment/>
    </xf>
    <xf numFmtId="0" fontId="66" fillId="0" borderId="0" xfId="0" applyFont="1" applyAlignment="1">
      <alignment horizontal="centerContinuous"/>
    </xf>
    <xf numFmtId="0" fontId="65" fillId="0" borderId="0" xfId="0" applyFont="1" applyAlignment="1">
      <alignment horizontal="centerContinuous"/>
    </xf>
    <xf numFmtId="0" fontId="65" fillId="0" borderId="0" xfId="0" applyFont="1" applyAlignment="1">
      <alignment/>
    </xf>
    <xf numFmtId="176" fontId="12" fillId="0" borderId="13" xfId="0" applyNumberFormat="1" applyFont="1" applyBorder="1" applyAlignment="1" applyProtection="1">
      <alignment horizontal="center"/>
      <protection/>
    </xf>
    <xf numFmtId="181" fontId="26" fillId="0" borderId="14" xfId="0" applyNumberFormat="1" applyFont="1" applyBorder="1" applyAlignment="1" applyProtection="1">
      <alignment horizontal="centerContinuous"/>
      <protection/>
    </xf>
    <xf numFmtId="0" fontId="49" fillId="8" borderId="27" xfId="0" applyFont="1" applyFill="1" applyBorder="1" applyAlignment="1">
      <alignment horizontal="center"/>
    </xf>
    <xf numFmtId="0" fontId="53" fillId="9" borderId="27" xfId="0" applyFont="1" applyFill="1" applyBorder="1" applyAlignment="1">
      <alignment horizontal="center"/>
    </xf>
    <xf numFmtId="176" fontId="67" fillId="7" borderId="30" xfId="0" applyNumberFormat="1" applyFont="1" applyFill="1" applyBorder="1" applyAlignment="1" applyProtection="1" quotePrefix="1">
      <alignment horizontal="center"/>
      <protection/>
    </xf>
    <xf numFmtId="4" fontId="67" fillId="7" borderId="22" xfId="0" applyNumberFormat="1" applyFont="1" applyFill="1" applyBorder="1" applyAlignment="1" applyProtection="1">
      <alignment horizontal="center"/>
      <protection/>
    </xf>
    <xf numFmtId="176" fontId="49" fillId="10" borderId="30" xfId="0" applyNumberFormat="1" applyFont="1" applyFill="1" applyBorder="1" applyAlignment="1" applyProtection="1" quotePrefix="1">
      <alignment horizontal="center"/>
      <protection/>
    </xf>
    <xf numFmtId="176" fontId="49" fillId="10" borderId="34" xfId="0" applyNumberFormat="1" applyFont="1" applyFill="1" applyBorder="1" applyAlignment="1" applyProtection="1" quotePrefix="1">
      <alignment horizontal="center"/>
      <protection/>
    </xf>
    <xf numFmtId="4" fontId="49" fillId="10" borderId="22" xfId="0" applyNumberFormat="1" applyFont="1" applyFill="1" applyBorder="1" applyAlignment="1" applyProtection="1">
      <alignment horizontal="center"/>
      <protection/>
    </xf>
    <xf numFmtId="4" fontId="49" fillId="11" borderId="27" xfId="0" applyNumberFormat="1" applyFont="1" applyFill="1" applyBorder="1" applyAlignment="1" applyProtection="1">
      <alignment horizontal="center"/>
      <protection/>
    </xf>
    <xf numFmtId="4" fontId="49" fillId="12" borderId="27" xfId="0" applyNumberFormat="1" applyFont="1" applyFill="1" applyBorder="1" applyAlignment="1" applyProtection="1">
      <alignment horizontal="center"/>
      <protection/>
    </xf>
    <xf numFmtId="0" fontId="4" fillId="0" borderId="22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49" fillId="8" borderId="1" xfId="0" applyNumberFormat="1" applyFont="1" applyFill="1" applyBorder="1" applyAlignment="1" applyProtection="1">
      <alignment horizontal="center"/>
      <protection/>
    </xf>
    <xf numFmtId="2" fontId="53" fillId="9" borderId="1" xfId="0" applyNumberFormat="1" applyFont="1" applyFill="1" applyBorder="1" applyAlignment="1" applyProtection="1">
      <alignment horizontal="center"/>
      <protection/>
    </xf>
    <xf numFmtId="176" fontId="67" fillId="7" borderId="28" xfId="0" applyNumberFormat="1" applyFont="1" applyFill="1" applyBorder="1" applyAlignment="1" applyProtection="1" quotePrefix="1">
      <alignment horizontal="center"/>
      <protection/>
    </xf>
    <xf numFmtId="176" fontId="67" fillId="7" borderId="36" xfId="0" applyNumberFormat="1" applyFont="1" applyFill="1" applyBorder="1" applyAlignment="1" applyProtection="1" quotePrefix="1">
      <alignment horizontal="center"/>
      <protection/>
    </xf>
    <xf numFmtId="4" fontId="67" fillId="7" borderId="2" xfId="0" applyNumberFormat="1" applyFont="1" applyFill="1" applyBorder="1" applyAlignment="1" applyProtection="1">
      <alignment horizontal="center"/>
      <protection/>
    </xf>
    <xf numFmtId="176" fontId="49" fillId="10" borderId="28" xfId="0" applyNumberFormat="1" applyFont="1" applyFill="1" applyBorder="1" applyAlignment="1" applyProtection="1" quotePrefix="1">
      <alignment horizontal="center"/>
      <protection/>
    </xf>
    <xf numFmtId="176" fontId="49" fillId="10" borderId="36" xfId="0" applyNumberFormat="1" applyFont="1" applyFill="1" applyBorder="1" applyAlignment="1" applyProtection="1" quotePrefix="1">
      <alignment horizontal="center"/>
      <protection/>
    </xf>
    <xf numFmtId="4" fontId="49" fillId="10" borderId="2" xfId="0" applyNumberFormat="1" applyFont="1" applyFill="1" applyBorder="1" applyAlignment="1" applyProtection="1">
      <alignment horizontal="center"/>
      <protection/>
    </xf>
    <xf numFmtId="4" fontId="49" fillId="11" borderId="1" xfId="0" applyNumberFormat="1" applyFont="1" applyFill="1" applyBorder="1" applyAlignment="1" applyProtection="1">
      <alignment horizontal="center"/>
      <protection/>
    </xf>
    <xf numFmtId="4" fontId="49" fillId="12" borderId="1" xfId="0" applyNumberFormat="1" applyFont="1" applyFill="1" applyBorder="1" applyAlignment="1" applyProtection="1">
      <alignment horizontal="center"/>
      <protection/>
    </xf>
    <xf numFmtId="2" fontId="49" fillId="8" borderId="4" xfId="0" applyNumberFormat="1" applyFont="1" applyFill="1" applyBorder="1" applyAlignment="1" applyProtection="1">
      <alignment horizontal="center"/>
      <protection/>
    </xf>
    <xf numFmtId="2" fontId="53" fillId="9" borderId="4" xfId="0" applyNumberFormat="1" applyFont="1" applyFill="1" applyBorder="1" applyAlignment="1" applyProtection="1">
      <alignment horizontal="center"/>
      <protection/>
    </xf>
    <xf numFmtId="176" fontId="67" fillId="7" borderId="37" xfId="0" applyNumberFormat="1" applyFont="1" applyFill="1" applyBorder="1" applyAlignment="1" applyProtection="1" quotePrefix="1">
      <alignment horizontal="center"/>
      <protection/>
    </xf>
    <xf numFmtId="176" fontId="67" fillId="7" borderId="38" xfId="0" applyNumberFormat="1" applyFont="1" applyFill="1" applyBorder="1" applyAlignment="1" applyProtection="1" quotePrefix="1">
      <alignment horizontal="center"/>
      <protection/>
    </xf>
    <xf numFmtId="4" fontId="67" fillId="7" borderId="26" xfId="0" applyNumberFormat="1" applyFont="1" applyFill="1" applyBorder="1" applyAlignment="1" applyProtection="1">
      <alignment horizontal="center"/>
      <protection/>
    </xf>
    <xf numFmtId="176" fontId="49" fillId="10" borderId="37" xfId="0" applyNumberFormat="1" applyFont="1" applyFill="1" applyBorder="1" applyAlignment="1" applyProtection="1" quotePrefix="1">
      <alignment horizontal="center"/>
      <protection/>
    </xf>
    <xf numFmtId="176" fontId="49" fillId="10" borderId="38" xfId="0" applyNumberFormat="1" applyFont="1" applyFill="1" applyBorder="1" applyAlignment="1" applyProtection="1" quotePrefix="1">
      <alignment horizontal="center"/>
      <protection/>
    </xf>
    <xf numFmtId="4" fontId="49" fillId="10" borderId="26" xfId="0" applyNumberFormat="1" applyFont="1" applyFill="1" applyBorder="1" applyAlignment="1" applyProtection="1">
      <alignment horizontal="center"/>
      <protection/>
    </xf>
    <xf numFmtId="4" fontId="49" fillId="11" borderId="4" xfId="0" applyNumberFormat="1" applyFont="1" applyFill="1" applyBorder="1" applyAlignment="1" applyProtection="1">
      <alignment horizontal="center"/>
      <protection/>
    </xf>
    <xf numFmtId="4" fontId="49" fillId="12" borderId="4" xfId="0" applyNumberFormat="1" applyFont="1" applyFill="1" applyBorder="1" applyAlignment="1" applyProtection="1">
      <alignment horizontal="center"/>
      <protection/>
    </xf>
    <xf numFmtId="176" fontId="30" fillId="0" borderId="4" xfId="0" applyNumberFormat="1" applyFont="1" applyFill="1" applyBorder="1" applyAlignment="1">
      <alignment horizontal="center"/>
    </xf>
    <xf numFmtId="7" fontId="16" fillId="0" borderId="18" xfId="0" applyNumberFormat="1" applyFont="1" applyBorder="1" applyAlignment="1" applyProtection="1">
      <alignment horizontal="right"/>
      <protection/>
    </xf>
    <xf numFmtId="2" fontId="55" fillId="0" borderId="19" xfId="0" applyNumberFormat="1" applyFont="1" applyFill="1" applyBorder="1" applyAlignment="1" applyProtection="1">
      <alignment horizontal="center"/>
      <protection/>
    </xf>
    <xf numFmtId="2" fontId="45" fillId="0" borderId="19" xfId="0" applyNumberFormat="1" applyFont="1" applyFill="1" applyBorder="1" applyAlignment="1" applyProtection="1">
      <alignment horizontal="center"/>
      <protection/>
    </xf>
    <xf numFmtId="2" fontId="58" fillId="0" borderId="19" xfId="0" applyNumberFormat="1" applyFont="1" applyFill="1" applyBorder="1" applyAlignment="1" applyProtection="1">
      <alignment horizontal="center"/>
      <protection/>
    </xf>
    <xf numFmtId="0" fontId="43" fillId="15" borderId="18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Continuous" vertical="center"/>
      <protection/>
    </xf>
    <xf numFmtId="0" fontId="29" fillId="0" borderId="19" xfId="0" applyFont="1" applyFill="1" applyBorder="1" applyAlignment="1" applyProtection="1">
      <alignment horizontal="centerContinuous" vertical="center"/>
      <protection/>
    </xf>
    <xf numFmtId="0" fontId="48" fillId="15" borderId="39" xfId="0" applyFont="1" applyFill="1" applyBorder="1" applyAlignment="1">
      <alignment vertical="center" wrapText="1"/>
    </xf>
    <xf numFmtId="0" fontId="48" fillId="15" borderId="40" xfId="0" applyFont="1" applyFill="1" applyBorder="1" applyAlignment="1">
      <alignment vertical="center" wrapText="1"/>
    </xf>
    <xf numFmtId="0" fontId="48" fillId="15" borderId="21" xfId="0" applyFont="1" applyFill="1" applyBorder="1" applyAlignment="1">
      <alignment vertical="center" wrapText="1"/>
    </xf>
    <xf numFmtId="0" fontId="47" fillId="15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50" fillId="15" borderId="41" xfId="0" applyFont="1" applyFill="1" applyBorder="1" applyAlignment="1">
      <alignment horizontal="left"/>
    </xf>
    <xf numFmtId="0" fontId="50" fillId="15" borderId="0" xfId="0" applyFont="1" applyFill="1" applyBorder="1" applyAlignment="1">
      <alignment horizontal="left"/>
    </xf>
    <xf numFmtId="0" fontId="50" fillId="15" borderId="42" xfId="0" applyFont="1" applyFill="1" applyBorder="1" applyAlignment="1">
      <alignment horizontal="left"/>
    </xf>
    <xf numFmtId="176" fontId="47" fillId="15" borderId="1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49" fillId="15" borderId="41" xfId="0" applyNumberFormat="1" applyFont="1" applyFill="1" applyBorder="1" applyAlignment="1" applyProtection="1" quotePrefix="1">
      <alignment horizontal="center"/>
      <protection/>
    </xf>
    <xf numFmtId="176" fontId="49" fillId="15" borderId="0" xfId="0" applyNumberFormat="1" applyFont="1" applyFill="1" applyBorder="1" applyAlignment="1" applyProtection="1" quotePrefix="1">
      <alignment horizontal="center"/>
      <protection/>
    </xf>
    <xf numFmtId="176" fontId="49" fillId="15" borderId="42" xfId="0" applyNumberFormat="1" applyFont="1" applyFill="1" applyBorder="1" applyAlignment="1" applyProtection="1" quotePrefix="1">
      <alignment horizontal="center"/>
      <protection/>
    </xf>
    <xf numFmtId="176" fontId="47" fillId="15" borderId="4" xfId="0" applyNumberFormat="1" applyFont="1" applyFill="1" applyBorder="1" applyAlignment="1" applyProtection="1">
      <alignment horizontal="center"/>
      <protection/>
    </xf>
    <xf numFmtId="176" fontId="4" fillId="0" borderId="43" xfId="0" applyNumberFormat="1" applyFont="1" applyBorder="1" applyAlignment="1" applyProtection="1">
      <alignment horizontal="centerContinuous"/>
      <protection/>
    </xf>
    <xf numFmtId="176" fontId="4" fillId="0" borderId="26" xfId="0" applyNumberFormat="1" applyFont="1" applyBorder="1" applyAlignment="1" applyProtection="1">
      <alignment horizontal="centerContinuous"/>
      <protection/>
    </xf>
    <xf numFmtId="176" fontId="50" fillId="15" borderId="43" xfId="0" applyNumberFormat="1" applyFont="1" applyFill="1" applyBorder="1" applyAlignment="1" applyProtection="1" quotePrefix="1">
      <alignment horizontal="center"/>
      <protection/>
    </xf>
    <xf numFmtId="176" fontId="50" fillId="15" borderId="44" xfId="0" applyNumberFormat="1" applyFont="1" applyFill="1" applyBorder="1" applyAlignment="1" applyProtection="1" quotePrefix="1">
      <alignment horizontal="center"/>
      <protection/>
    </xf>
    <xf numFmtId="176" fontId="50" fillId="15" borderId="26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7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78" fontId="26" fillId="0" borderId="0" xfId="0" applyNumberFormat="1" applyFont="1" applyBorder="1" applyAlignment="1" applyProtection="1">
      <alignment horizontal="center"/>
      <protection/>
    </xf>
    <xf numFmtId="7" fontId="26" fillId="0" borderId="35" xfId="0" applyNumberFormat="1" applyFont="1" applyBorder="1" applyAlignment="1">
      <alignment horizontal="centerContinuous"/>
    </xf>
    <xf numFmtId="0" fontId="22" fillId="0" borderId="0" xfId="0" applyFont="1" applyFill="1" applyBorder="1" applyAlignment="1" applyProtection="1">
      <alignment horizontal="center"/>
      <protection/>
    </xf>
    <xf numFmtId="0" fontId="16" fillId="0" borderId="45" xfId="0" applyFont="1" applyBorder="1" applyAlignment="1">
      <alignment horizontal="centerContinuous"/>
    </xf>
    <xf numFmtId="0" fontId="16" fillId="0" borderId="46" xfId="0" applyFont="1" applyBorder="1" applyAlignment="1">
      <alignment horizontal="centerContinuous"/>
    </xf>
    <xf numFmtId="180" fontId="16" fillId="0" borderId="47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Continuous"/>
    </xf>
    <xf numFmtId="0" fontId="16" fillId="0" borderId="49" xfId="0" applyFont="1" applyBorder="1" applyAlignment="1">
      <alignment horizontal="centerContinuous"/>
    </xf>
    <xf numFmtId="180" fontId="16" fillId="0" borderId="50" xfId="0" applyNumberFormat="1" applyFont="1" applyFill="1" applyBorder="1" applyAlignment="1">
      <alignment horizontal="center"/>
    </xf>
    <xf numFmtId="0" fontId="16" fillId="0" borderId="51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6" fillId="0" borderId="0" xfId="0" applyNumberFormat="1" applyFont="1" applyBorder="1" applyAlignment="1" applyProtection="1">
      <alignment horizontal="centerContinuous"/>
      <protection/>
    </xf>
    <xf numFmtId="0" fontId="22" fillId="0" borderId="0" xfId="0" applyFont="1" applyFill="1" applyBorder="1" applyAlignment="1" applyProtection="1">
      <alignment horizontal="left"/>
      <protection/>
    </xf>
    <xf numFmtId="1" fontId="0" fillId="0" borderId="53" xfId="0" applyNumberFormat="1" applyBorder="1" applyAlignment="1">
      <alignment horizontal="center"/>
    </xf>
    <xf numFmtId="1" fontId="16" fillId="0" borderId="47" xfId="0" applyNumberFormat="1" applyFont="1" applyBorder="1" applyAlignment="1">
      <alignment horizontal="center"/>
    </xf>
    <xf numFmtId="1" fontId="16" fillId="0" borderId="50" xfId="0" applyNumberFormat="1" applyFont="1" applyFill="1" applyBorder="1" applyAlignment="1">
      <alignment horizontal="center"/>
    </xf>
    <xf numFmtId="181" fontId="12" fillId="0" borderId="14" xfId="0" applyNumberFormat="1" applyFont="1" applyBorder="1" applyAlignment="1" applyProtection="1">
      <alignment horizontal="centerContinuous"/>
      <protection/>
    </xf>
    <xf numFmtId="2" fontId="55" fillId="0" borderId="44" xfId="0" applyNumberFormat="1" applyFont="1" applyFill="1" applyBorder="1" applyAlignment="1" applyProtection="1">
      <alignment horizontal="center"/>
      <protection/>
    </xf>
    <xf numFmtId="2" fontId="45" fillId="0" borderId="44" xfId="0" applyNumberFormat="1" applyFont="1" applyFill="1" applyBorder="1" applyAlignment="1" applyProtection="1">
      <alignment horizontal="center"/>
      <protection/>
    </xf>
    <xf numFmtId="2" fontId="58" fillId="0" borderId="44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4" xfId="0" applyNumberFormat="1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 horizontal="center"/>
    </xf>
    <xf numFmtId="0" fontId="6" fillId="0" borderId="5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172" fontId="5" fillId="0" borderId="23" xfId="0" applyNumberFormat="1" applyFont="1" applyBorder="1" applyAlignment="1" applyProtection="1" quotePrefix="1">
      <alignment horizontal="center"/>
      <protection/>
    </xf>
    <xf numFmtId="176" fontId="44" fillId="3" borderId="23" xfId="0" applyNumberFormat="1" applyFont="1" applyFill="1" applyBorder="1" applyAlignment="1" applyProtection="1">
      <alignment horizontal="center"/>
      <protection/>
    </xf>
    <xf numFmtId="22" fontId="4" fillId="0" borderId="33" xfId="0" applyNumberFormat="1" applyFont="1" applyBorder="1" applyAlignment="1">
      <alignment horizontal="center"/>
    </xf>
    <xf numFmtId="22" fontId="4" fillId="0" borderId="23" xfId="0" applyNumberFormat="1" applyFont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 quotePrefix="1">
      <alignment horizontal="center"/>
      <protection/>
    </xf>
    <xf numFmtId="172" fontId="4" fillId="0" borderId="23" xfId="0" applyNumberFormat="1" applyFont="1" applyFill="1" applyBorder="1" applyAlignment="1" applyProtection="1" quotePrefix="1">
      <alignment horizontal="center"/>
      <protection/>
    </xf>
    <xf numFmtId="176" fontId="4" fillId="0" borderId="55" xfId="0" applyNumberFormat="1" applyFont="1" applyBorder="1" applyAlignment="1" applyProtection="1">
      <alignment horizontal="center"/>
      <protection/>
    </xf>
    <xf numFmtId="176" fontId="4" fillId="0" borderId="54" xfId="0" applyNumberFormat="1" applyFont="1" applyBorder="1" applyAlignment="1" applyProtection="1">
      <alignment horizontal="center"/>
      <protection/>
    </xf>
    <xf numFmtId="172" fontId="50" fillId="5" borderId="23" xfId="0" applyNumberFormat="1" applyFont="1" applyFill="1" applyBorder="1" applyAlignment="1" applyProtection="1">
      <alignment horizontal="center"/>
      <protection/>
    </xf>
    <xf numFmtId="2" fontId="52" fillId="4" borderId="23" xfId="0" applyNumberFormat="1" applyFont="1" applyFill="1" applyBorder="1" applyAlignment="1">
      <alignment horizontal="center"/>
    </xf>
    <xf numFmtId="176" fontId="41" fillId="6" borderId="33" xfId="0" applyNumberFormat="1" applyFont="1" applyFill="1" applyBorder="1" applyAlignment="1" applyProtection="1" quotePrefix="1">
      <alignment horizontal="center"/>
      <protection/>
    </xf>
    <xf numFmtId="176" fontId="41" fillId="6" borderId="25" xfId="0" applyNumberFormat="1" applyFont="1" applyFill="1" applyBorder="1" applyAlignment="1" applyProtection="1" quotePrefix="1">
      <alignment horizontal="center"/>
      <protection/>
    </xf>
    <xf numFmtId="176" fontId="49" fillId="7" borderId="23" xfId="0" applyNumberFormat="1" applyFont="1" applyFill="1" applyBorder="1" applyAlignment="1" applyProtection="1" quotePrefix="1">
      <alignment horizontal="center"/>
      <protection/>
    </xf>
    <xf numFmtId="176" fontId="4" fillId="0" borderId="23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right"/>
    </xf>
    <xf numFmtId="0" fontId="64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180" fontId="16" fillId="0" borderId="56" xfId="0" applyNumberFormat="1" applyFont="1" applyBorder="1" applyAlignment="1">
      <alignment horizontal="center"/>
    </xf>
    <xf numFmtId="1" fontId="16" fillId="0" borderId="56" xfId="0" applyNumberFormat="1" applyFont="1" applyBorder="1" applyAlignment="1">
      <alignment horizontal="center"/>
    </xf>
    <xf numFmtId="0" fontId="70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7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22" fontId="4" fillId="0" borderId="28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" fontId="26" fillId="0" borderId="0" xfId="0" applyNumberFormat="1" applyFont="1" applyBorder="1" applyAlignment="1" applyProtection="1">
      <alignment horizontal="left"/>
      <protection/>
    </xf>
    <xf numFmtId="0" fontId="16" fillId="0" borderId="57" xfId="0" applyFont="1" applyBorder="1" applyAlignment="1">
      <alignment horizontal="centerContinuous"/>
    </xf>
    <xf numFmtId="180" fontId="16" fillId="0" borderId="58" xfId="0" applyNumberFormat="1" applyFont="1" applyBorder="1" applyAlignment="1">
      <alignment horizontal="center"/>
    </xf>
    <xf numFmtId="1" fontId="16" fillId="0" borderId="58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Continuous"/>
    </xf>
    <xf numFmtId="0" fontId="4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22" fontId="4" fillId="2" borderId="5" xfId="0" applyNumberFormat="1" applyFont="1" applyFill="1" applyBorder="1" applyAlignment="1">
      <alignment horizontal="center"/>
    </xf>
    <xf numFmtId="22" fontId="4" fillId="0" borderId="5" xfId="0" applyNumberFormat="1" applyFont="1" applyFill="1" applyBorder="1" applyAlignment="1">
      <alignment horizontal="center"/>
    </xf>
    <xf numFmtId="173" fontId="54" fillId="3" borderId="0" xfId="0" applyNumberFormat="1" applyFont="1" applyFill="1" applyBorder="1" applyAlignment="1" applyProtection="1">
      <alignment horizontal="center"/>
      <protection/>
    </xf>
    <xf numFmtId="176" fontId="55" fillId="5" borderId="0" xfId="0" applyNumberFormat="1" applyFont="1" applyFill="1" applyBorder="1" applyAlignment="1" applyProtection="1">
      <alignment horizontal="center"/>
      <protection/>
    </xf>
    <xf numFmtId="176" fontId="67" fillId="7" borderId="43" xfId="0" applyNumberFormat="1" applyFont="1" applyFill="1" applyBorder="1" applyAlignment="1" applyProtection="1" quotePrefix="1">
      <alignment horizontal="center"/>
      <protection/>
    </xf>
    <xf numFmtId="176" fontId="67" fillId="7" borderId="44" xfId="0" applyNumberFormat="1" applyFont="1" applyFill="1" applyBorder="1" applyAlignment="1" applyProtection="1" quotePrefix="1">
      <alignment horizontal="center"/>
      <protection/>
    </xf>
    <xf numFmtId="176" fontId="49" fillId="10" borderId="43" xfId="0" applyNumberFormat="1" applyFont="1" applyFill="1" applyBorder="1" applyAlignment="1" applyProtection="1" quotePrefix="1">
      <alignment horizontal="center"/>
      <protection/>
    </xf>
    <xf numFmtId="176" fontId="49" fillId="10" borderId="44" xfId="0" applyNumberFormat="1" applyFont="1" applyFill="1" applyBorder="1" applyAlignment="1" applyProtection="1" quotePrefix="1">
      <alignment horizontal="center"/>
      <protection/>
    </xf>
    <xf numFmtId="4" fontId="5" fillId="0" borderId="42" xfId="0" applyNumberFormat="1" applyFont="1" applyBorder="1" applyAlignment="1" applyProtection="1">
      <alignment horizontal="center"/>
      <protection/>
    </xf>
    <xf numFmtId="7" fontId="16" fillId="0" borderId="4" xfId="0" applyNumberFormat="1" applyFont="1" applyBorder="1" applyAlignment="1" applyProtection="1">
      <alignment horizontal="right"/>
      <protection/>
    </xf>
    <xf numFmtId="2" fontId="49" fillId="8" borderId="26" xfId="0" applyNumberFormat="1" applyFont="1" applyFill="1" applyBorder="1" applyAlignment="1" applyProtection="1">
      <alignment horizontal="center"/>
      <protection/>
    </xf>
    <xf numFmtId="4" fontId="67" fillId="7" borderId="0" xfId="0" applyNumberFormat="1" applyFont="1" applyFill="1" applyBorder="1" applyAlignment="1" applyProtection="1">
      <alignment horizontal="center"/>
      <protection/>
    </xf>
    <xf numFmtId="176" fontId="49" fillId="10" borderId="0" xfId="0" applyNumberFormat="1" applyFont="1" applyFill="1" applyBorder="1" applyAlignment="1" applyProtection="1" quotePrefix="1">
      <alignment horizontal="center"/>
      <protection/>
    </xf>
    <xf numFmtId="4" fontId="49" fillId="10" borderId="0" xfId="0" applyNumberFormat="1" applyFont="1" applyFill="1" applyBorder="1" applyAlignment="1" applyProtection="1">
      <alignment horizontal="center"/>
      <protection/>
    </xf>
    <xf numFmtId="4" fontId="49" fillId="11" borderId="0" xfId="0" applyNumberFormat="1" applyFont="1" applyFill="1" applyBorder="1" applyAlignment="1" applyProtection="1">
      <alignment horizontal="center"/>
      <protection/>
    </xf>
    <xf numFmtId="4" fontId="49" fillId="12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2" fontId="15" fillId="0" borderId="19" xfId="0" applyNumberFormat="1" applyFont="1" applyFill="1" applyBorder="1" applyAlignment="1">
      <alignment horizontal="center"/>
    </xf>
    <xf numFmtId="172" fontId="26" fillId="0" borderId="27" xfId="0" applyNumberFormat="1" applyFont="1" applyBorder="1" applyAlignment="1" applyProtection="1">
      <alignment/>
      <protection/>
    </xf>
    <xf numFmtId="4" fontId="4" fillId="2" borderId="27" xfId="0" applyNumberFormat="1" applyFont="1" applyFill="1" applyBorder="1" applyAlignment="1" applyProtection="1" quotePrefix="1">
      <alignment horizontal="center"/>
      <protection/>
    </xf>
    <xf numFmtId="0" fontId="53" fillId="9" borderId="22" xfId="0" applyFont="1" applyFill="1" applyBorder="1" applyAlignment="1">
      <alignment horizontal="center"/>
    </xf>
    <xf numFmtId="176" fontId="49" fillId="13" borderId="60" xfId="0" applyNumberFormat="1" applyFont="1" applyFill="1" applyBorder="1" applyAlignment="1" applyProtection="1" quotePrefix="1">
      <alignment horizontal="center"/>
      <protection/>
    </xf>
    <xf numFmtId="176" fontId="39" fillId="0" borderId="0" xfId="0" applyNumberFormat="1" applyFont="1" applyBorder="1" applyAlignment="1" applyProtection="1">
      <alignment horizontal="left"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175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7" fontId="16" fillId="0" borderId="0" xfId="0" applyNumberFormat="1" applyFont="1" applyBorder="1" applyAlignment="1">
      <alignment horizontal="center"/>
    </xf>
    <xf numFmtId="0" fontId="36" fillId="0" borderId="0" xfId="0" applyFont="1" applyBorder="1" applyAlignment="1" applyProtection="1">
      <alignment horizontal="left"/>
      <protection/>
    </xf>
    <xf numFmtId="0" fontId="16" fillId="0" borderId="12" xfId="0" applyFont="1" applyBorder="1" applyAlignment="1">
      <alignment/>
    </xf>
    <xf numFmtId="7" fontId="36" fillId="0" borderId="35" xfId="0" applyNumberFormat="1" applyFont="1" applyBorder="1" applyAlignment="1">
      <alignment horizontal="center"/>
    </xf>
    <xf numFmtId="176" fontId="4" fillId="0" borderId="60" xfId="0" applyNumberFormat="1" applyFont="1" applyBorder="1" applyAlignment="1" applyProtection="1">
      <alignment horizontal="center"/>
      <protection/>
    </xf>
    <xf numFmtId="188" fontId="16" fillId="0" borderId="0" xfId="0" applyNumberFormat="1" applyFont="1" applyBorder="1" applyAlignment="1">
      <alignment horizontal="center"/>
    </xf>
    <xf numFmtId="179" fontId="12" fillId="0" borderId="0" xfId="0" applyNumberFormat="1" applyFont="1" applyBorder="1" applyAlignment="1" applyProtection="1">
      <alignment horizontal="center"/>
      <protection/>
    </xf>
    <xf numFmtId="176" fontId="12" fillId="0" borderId="0" xfId="0" applyNumberFormat="1" applyFont="1" applyBorder="1" applyAlignment="1" applyProtection="1">
      <alignment horizontal="center"/>
      <protection/>
    </xf>
    <xf numFmtId="176" fontId="26" fillId="0" borderId="54" xfId="0" applyNumberFormat="1" applyFont="1" applyBorder="1" applyAlignment="1" applyProtection="1">
      <alignment horizontal="center"/>
      <protection/>
    </xf>
    <xf numFmtId="176" fontId="26" fillId="0" borderId="55" xfId="0" applyNumberFormat="1" applyFont="1" applyBorder="1" applyAlignment="1" applyProtection="1">
      <alignment horizontal="center"/>
      <protection/>
    </xf>
    <xf numFmtId="176" fontId="4" fillId="0" borderId="54" xfId="0" applyNumberFormat="1" applyFont="1" applyBorder="1" applyAlignment="1" applyProtection="1">
      <alignment horizontal="center"/>
      <protection/>
    </xf>
    <xf numFmtId="176" fontId="4" fillId="0" borderId="55" xfId="0" applyNumberFormat="1" applyFont="1" applyBorder="1" applyAlignment="1" applyProtection="1">
      <alignment horizontal="center"/>
      <protection/>
    </xf>
    <xf numFmtId="0" fontId="29" fillId="0" borderId="13" xfId="0" applyFont="1" applyFill="1" applyBorder="1" applyAlignment="1" applyProtection="1" quotePrefix="1">
      <alignment horizontal="center" vertical="center" wrapText="1"/>
      <protection/>
    </xf>
    <xf numFmtId="0" fontId="29" fillId="0" borderId="14" xfId="0" applyFont="1" applyFill="1" applyBorder="1" applyAlignment="1" applyProtection="1" quotePrefix="1">
      <alignment horizontal="center" vertical="center" wrapText="1"/>
      <protection/>
    </xf>
    <xf numFmtId="172" fontId="26" fillId="0" borderId="20" xfId="0" applyNumberFormat="1" applyFont="1" applyBorder="1" applyAlignment="1" applyProtection="1">
      <alignment horizontal="center"/>
      <protection/>
    </xf>
    <xf numFmtId="172" fontId="26" fillId="0" borderId="22" xfId="0" applyNumberFormat="1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176" fontId="4" fillId="0" borderId="20" xfId="0" applyNumberFormat="1" applyFont="1" applyBorder="1" applyAlignment="1" applyProtection="1">
      <alignment horizontal="center"/>
      <protection/>
    </xf>
    <xf numFmtId="176" fontId="4" fillId="0" borderId="22" xfId="0" applyNumberFormat="1" applyFont="1" applyBorder="1" applyAlignment="1" applyProtection="1">
      <alignment horizontal="center"/>
      <protection/>
    </xf>
    <xf numFmtId="0" fontId="19" fillId="2" borderId="61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179" fontId="4" fillId="0" borderId="7" xfId="0" applyNumberFormat="1" applyFont="1" applyBorder="1" applyAlignment="1" applyProtection="1" quotePrefix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7" fontId="16" fillId="0" borderId="0" xfId="0" applyNumberFormat="1" applyFont="1" applyFill="1" applyBorder="1" applyAlignment="1">
      <alignment horizontal="center"/>
    </xf>
    <xf numFmtId="0" fontId="29" fillId="0" borderId="14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4" fillId="2" borderId="6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7" fontId="16" fillId="0" borderId="35" xfId="0" applyNumberFormat="1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76" fontId="4" fillId="0" borderId="61" xfId="0" applyNumberFormat="1" applyFont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333375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3409950"/>
          <a:ext cx="29432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7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5.140625" style="13" customWidth="1"/>
    <col min="2" max="2" width="13.57421875" style="13" customWidth="1"/>
    <col min="3" max="3" width="17.140625" style="13" customWidth="1"/>
    <col min="4" max="4" width="18.57421875" style="13" customWidth="1"/>
    <col min="5" max="5" width="17.57421875" style="13" customWidth="1"/>
    <col min="6" max="6" width="17.00390625" style="13" customWidth="1"/>
    <col min="7" max="7" width="19.8515625" style="13" customWidth="1"/>
    <col min="8" max="8" width="20.8515625" style="13" customWidth="1"/>
    <col min="9" max="9" width="21.00390625" style="13" customWidth="1"/>
    <col min="10" max="10" width="25.42187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51" customFormat="1" ht="26.25">
      <c r="B1" s="52"/>
      <c r="E1" s="10"/>
      <c r="K1" s="444"/>
    </row>
    <row r="2" spans="2:10" s="51" customFormat="1" ht="26.25">
      <c r="B2" s="52" t="s">
        <v>172</v>
      </c>
      <c r="C2" s="53"/>
      <c r="D2" s="54"/>
      <c r="E2" s="54"/>
      <c r="F2" s="54"/>
      <c r="G2" s="54"/>
      <c r="H2" s="54"/>
      <c r="I2" s="54"/>
      <c r="J2" s="54"/>
    </row>
    <row r="3" spans="3:19" ht="12.75">
      <c r="C3"/>
      <c r="D3" s="55"/>
      <c r="E3" s="55"/>
      <c r="F3" s="55"/>
      <c r="G3" s="55"/>
      <c r="H3" s="55"/>
      <c r="I3" s="55"/>
      <c r="J3" s="55"/>
      <c r="P3" s="11"/>
      <c r="Q3" s="11"/>
      <c r="R3" s="11"/>
      <c r="S3" s="11"/>
    </row>
    <row r="4" spans="1:19" s="58" customFormat="1" ht="11.25">
      <c r="A4" s="56" t="s">
        <v>22</v>
      </c>
      <c r="B4" s="5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s="58" customFormat="1" ht="11.25">
      <c r="A5" s="56" t="s">
        <v>23</v>
      </c>
      <c r="B5" s="5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2:19" s="51" customFormat="1" ht="11.25" customHeight="1">
      <c r="B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s="7" customFormat="1" ht="21">
      <c r="B7" s="129" t="s">
        <v>0</v>
      </c>
      <c r="C7" s="62"/>
      <c r="D7" s="5"/>
      <c r="E7" s="5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7" customFormat="1" ht="21">
      <c r="B9" s="129" t="s">
        <v>1</v>
      </c>
      <c r="C9" s="62"/>
      <c r="D9" s="5"/>
      <c r="E9" s="5"/>
      <c r="F9" s="5"/>
      <c r="G9" s="5"/>
      <c r="H9" s="5"/>
      <c r="I9" s="6"/>
      <c r="J9" s="6"/>
      <c r="K9" s="8"/>
      <c r="L9" s="8"/>
      <c r="M9" s="8"/>
      <c r="N9" s="8"/>
      <c r="O9" s="8"/>
      <c r="P9" s="8"/>
      <c r="Q9" s="8"/>
      <c r="R9" s="8"/>
      <c r="S9" s="8"/>
    </row>
    <row r="10" spans="4:19" ht="12.75">
      <c r="D10" s="64"/>
      <c r="E10" s="6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7" customFormat="1" ht="20.25">
      <c r="B11" s="129" t="s">
        <v>170</v>
      </c>
      <c r="C11" s="3"/>
      <c r="D11" s="63"/>
      <c r="E11" s="63"/>
      <c r="F11" s="5"/>
      <c r="G11" s="5"/>
      <c r="H11" s="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</row>
    <row r="12" spans="4:19" s="65" customFormat="1" ht="16.5" thickBot="1">
      <c r="D12" s="66"/>
      <c r="E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 s="65" customFormat="1" ht="16.5" thickTop="1">
      <c r="B13" s="68"/>
      <c r="C13" s="69"/>
      <c r="D13" s="69"/>
      <c r="E13" s="267"/>
      <c r="F13" s="69"/>
      <c r="G13" s="69"/>
      <c r="H13" s="69"/>
      <c r="I13" s="69"/>
      <c r="J13" s="70"/>
      <c r="K13" s="67"/>
      <c r="L13" s="67"/>
      <c r="M13" s="67"/>
      <c r="N13" s="67"/>
      <c r="O13" s="67"/>
      <c r="P13" s="67"/>
      <c r="Q13" s="67"/>
      <c r="R13" s="67"/>
      <c r="S13" s="67"/>
    </row>
    <row r="14" spans="2:19" s="12" customFormat="1" ht="19.5">
      <c r="B14" s="71" t="s">
        <v>143</v>
      </c>
      <c r="C14" s="72"/>
      <c r="D14" s="73"/>
      <c r="E14" s="268"/>
      <c r="F14" s="74"/>
      <c r="G14" s="74"/>
      <c r="H14" s="74"/>
      <c r="I14" s="75"/>
      <c r="J14" s="76"/>
      <c r="K14" s="77"/>
      <c r="L14" s="77"/>
      <c r="M14" s="77"/>
      <c r="N14" s="77"/>
      <c r="O14" s="77"/>
      <c r="P14" s="77"/>
      <c r="Q14" s="77"/>
      <c r="R14" s="77"/>
      <c r="S14" s="77"/>
    </row>
    <row r="15" spans="2:19" s="12" customFormat="1" ht="13.5" customHeight="1">
      <c r="B15" s="78"/>
      <c r="C15" s="79"/>
      <c r="D15" s="266"/>
      <c r="E15" s="269"/>
      <c r="F15" s="45"/>
      <c r="G15" s="45"/>
      <c r="H15" s="45"/>
      <c r="I15" s="77"/>
      <c r="J15" s="80"/>
      <c r="K15" s="77"/>
      <c r="L15" s="77"/>
      <c r="M15" s="77"/>
      <c r="N15" s="77"/>
      <c r="O15" s="77"/>
      <c r="P15" s="77"/>
      <c r="Q15" s="77"/>
      <c r="R15" s="77"/>
      <c r="S15" s="77"/>
    </row>
    <row r="16" spans="2:19" s="12" customFormat="1" ht="12.75" customHeight="1">
      <c r="B16" s="78"/>
      <c r="C16" s="81"/>
      <c r="D16" s="266"/>
      <c r="E16" s="270"/>
      <c r="F16" s="45"/>
      <c r="G16" s="45"/>
      <c r="H16" s="45"/>
      <c r="I16" s="82"/>
      <c r="J16" s="80"/>
      <c r="K16" s="77"/>
      <c r="L16" s="77"/>
      <c r="M16" s="77"/>
      <c r="N16" s="77"/>
      <c r="O16" s="77"/>
      <c r="P16" s="77"/>
      <c r="Q16" s="77"/>
      <c r="R16" s="77"/>
      <c r="S16" s="77"/>
    </row>
    <row r="17" spans="2:19" s="12" customFormat="1" ht="19.5">
      <c r="B17" s="78"/>
      <c r="C17" s="81" t="s">
        <v>27</v>
      </c>
      <c r="D17" s="271" t="s">
        <v>28</v>
      </c>
      <c r="E17" s="269"/>
      <c r="F17" s="45"/>
      <c r="G17" s="45"/>
      <c r="H17" s="45"/>
      <c r="I17" s="82"/>
      <c r="J17" s="80"/>
      <c r="K17" s="77"/>
      <c r="L17" s="77"/>
      <c r="M17" s="77"/>
      <c r="N17" s="77"/>
      <c r="O17" s="77"/>
      <c r="P17" s="77"/>
      <c r="Q17" s="77"/>
      <c r="R17" s="77"/>
      <c r="S17" s="77"/>
    </row>
    <row r="18" spans="2:19" s="12" customFormat="1" ht="19.5">
      <c r="B18" s="78"/>
      <c r="C18" s="81"/>
      <c r="D18" s="266">
        <v>41</v>
      </c>
      <c r="E18" s="270" t="s">
        <v>25</v>
      </c>
      <c r="F18" s="45"/>
      <c r="G18" s="45"/>
      <c r="H18" s="45"/>
      <c r="I18" s="82">
        <f>'SU (YACYLEC) '!K66</f>
        <v>313.59548672973733</v>
      </c>
      <c r="J18" s="80"/>
      <c r="K18" s="77"/>
      <c r="L18" s="77"/>
      <c r="M18" s="77"/>
      <c r="N18" s="77"/>
      <c r="O18" s="77"/>
      <c r="P18" s="77"/>
      <c r="Q18" s="77"/>
      <c r="R18" s="77"/>
      <c r="S18" s="77"/>
    </row>
    <row r="19" spans="2:19" s="12" customFormat="1" ht="19.5">
      <c r="B19" s="78"/>
      <c r="C19" s="81"/>
      <c r="D19" s="266">
        <v>42</v>
      </c>
      <c r="E19" s="270" t="s">
        <v>26</v>
      </c>
      <c r="F19" s="45"/>
      <c r="G19" s="45"/>
      <c r="H19" s="45"/>
      <c r="I19" s="82">
        <f>'SU (LITSA)'!K62</f>
        <v>1381.8000000000002</v>
      </c>
      <c r="J19" s="80"/>
      <c r="K19" s="77"/>
      <c r="L19" s="77"/>
      <c r="M19" s="77"/>
      <c r="N19" s="77"/>
      <c r="O19" s="77"/>
      <c r="P19" s="77"/>
      <c r="Q19" s="77"/>
      <c r="R19" s="77"/>
      <c r="S19" s="77"/>
    </row>
    <row r="20" spans="2:19" s="12" customFormat="1" ht="19.5">
      <c r="B20" s="78"/>
      <c r="C20" s="81"/>
      <c r="D20" s="266">
        <v>43</v>
      </c>
      <c r="E20" s="270" t="s">
        <v>29</v>
      </c>
      <c r="F20" s="45"/>
      <c r="G20" s="45"/>
      <c r="H20" s="45"/>
      <c r="I20" s="82">
        <f>'SU (TIBA)'!J77</f>
        <v>6843.088099999999</v>
      </c>
      <c r="J20" s="80"/>
      <c r="K20" s="77"/>
      <c r="L20" s="77"/>
      <c r="M20" s="77"/>
      <c r="N20" s="77"/>
      <c r="O20" s="77"/>
      <c r="P20" s="77"/>
      <c r="Q20" s="77"/>
      <c r="R20" s="77"/>
      <c r="S20" s="77"/>
    </row>
    <row r="21" spans="2:19" s="12" customFormat="1" ht="19.5">
      <c r="B21" s="78"/>
      <c r="C21" s="81"/>
      <c r="D21" s="266">
        <v>44</v>
      </c>
      <c r="E21" s="10" t="s">
        <v>144</v>
      </c>
      <c r="F21" s="45"/>
      <c r="G21" s="45"/>
      <c r="H21" s="45"/>
      <c r="I21" s="82">
        <f>'SU (CTM)'!J52</f>
        <v>2304.975</v>
      </c>
      <c r="J21" s="80"/>
      <c r="K21" s="77"/>
      <c r="L21" s="77"/>
      <c r="M21" s="77"/>
      <c r="N21" s="77"/>
      <c r="O21" s="77"/>
      <c r="P21" s="77"/>
      <c r="Q21" s="77"/>
      <c r="R21" s="77"/>
      <c r="S21" s="77"/>
    </row>
    <row r="22" spans="2:19" s="12" customFormat="1" ht="20.25" thickBot="1">
      <c r="B22" s="78"/>
      <c r="C22" s="79"/>
      <c r="D22" s="266"/>
      <c r="E22" s="269"/>
      <c r="F22" s="45"/>
      <c r="G22" s="45"/>
      <c r="H22" s="45"/>
      <c r="I22" s="77"/>
      <c r="J22" s="80"/>
      <c r="K22" s="77"/>
      <c r="L22" s="77"/>
      <c r="M22" s="77"/>
      <c r="N22" s="77"/>
      <c r="O22" s="77"/>
      <c r="P22" s="77"/>
      <c r="Q22" s="77"/>
      <c r="R22" s="77"/>
      <c r="S22" s="77"/>
    </row>
    <row r="23" spans="2:19" s="12" customFormat="1" ht="20.25" thickBot="1" thickTop="1">
      <c r="B23" s="78"/>
      <c r="C23" s="81"/>
      <c r="D23" s="81"/>
      <c r="F23" s="85" t="s">
        <v>30</v>
      </c>
      <c r="G23" s="86">
        <f>SUM(I16:I21)</f>
        <v>10843.458586729737</v>
      </c>
      <c r="H23" s="128"/>
      <c r="J23" s="80"/>
      <c r="K23" s="77"/>
      <c r="L23" s="77"/>
      <c r="M23" s="77"/>
      <c r="N23" s="77"/>
      <c r="O23" s="77"/>
      <c r="P23" s="77"/>
      <c r="Q23" s="77"/>
      <c r="R23" s="77"/>
      <c r="S23" s="77"/>
    </row>
    <row r="24" spans="2:19" s="12" customFormat="1" ht="9.75" customHeight="1" thickTop="1">
      <c r="B24" s="78"/>
      <c r="C24" s="81"/>
      <c r="D24" s="81"/>
      <c r="F24" s="303"/>
      <c r="G24" s="128"/>
      <c r="H24" s="128"/>
      <c r="J24" s="80"/>
      <c r="K24" s="77"/>
      <c r="L24" s="77"/>
      <c r="M24" s="77"/>
      <c r="N24" s="77"/>
      <c r="O24" s="77"/>
      <c r="P24" s="77"/>
      <c r="Q24" s="77"/>
      <c r="R24" s="77"/>
      <c r="S24" s="77"/>
    </row>
    <row r="25" spans="2:19" s="12" customFormat="1" ht="18.75">
      <c r="B25" s="78"/>
      <c r="C25" s="449" t="s">
        <v>133</v>
      </c>
      <c r="D25" s="81"/>
      <c r="F25" s="303"/>
      <c r="G25" s="128"/>
      <c r="H25" s="128"/>
      <c r="J25" s="80"/>
      <c r="K25" s="77"/>
      <c r="L25" s="77"/>
      <c r="M25" s="77"/>
      <c r="N25" s="77"/>
      <c r="O25" s="77"/>
      <c r="P25" s="77"/>
      <c r="Q25" s="77"/>
      <c r="R25" s="77"/>
      <c r="S25" s="77"/>
    </row>
    <row r="26" spans="2:19" s="65" customFormat="1" ht="10.5" customHeight="1" thickBot="1">
      <c r="B26" s="87"/>
      <c r="C26" s="88"/>
      <c r="D26" s="88"/>
      <c r="E26" s="89"/>
      <c r="F26" s="89"/>
      <c r="G26" s="89"/>
      <c r="H26" s="89"/>
      <c r="I26" s="89"/>
      <c r="J26" s="90"/>
      <c r="K26" s="67"/>
      <c r="L26" s="67"/>
      <c r="M26" s="91"/>
      <c r="N26" s="92"/>
      <c r="O26" s="92"/>
      <c r="P26" s="93"/>
      <c r="Q26" s="94"/>
      <c r="R26" s="67"/>
      <c r="S26" s="67"/>
    </row>
    <row r="27" spans="4:19" ht="13.5" thickTop="1">
      <c r="D27" s="11"/>
      <c r="F27" s="11"/>
      <c r="G27" s="11"/>
      <c r="H27" s="11"/>
      <c r="I27" s="11"/>
      <c r="J27" s="11"/>
      <c r="K27" s="11"/>
      <c r="L27" s="11"/>
      <c r="M27" s="44"/>
      <c r="N27" s="95"/>
      <c r="O27" s="95"/>
      <c r="P27" s="11"/>
      <c r="Q27" s="2"/>
      <c r="R27" s="11"/>
      <c r="S27" s="11"/>
    </row>
    <row r="28" spans="4:19" ht="12.75">
      <c r="D28" s="11"/>
      <c r="F28" s="11"/>
      <c r="G28" s="11"/>
      <c r="H28" s="11"/>
      <c r="I28" s="11"/>
      <c r="J28" s="11"/>
      <c r="K28" s="11"/>
      <c r="L28" s="11"/>
      <c r="M28" s="11"/>
      <c r="N28" s="96"/>
      <c r="O28" s="96"/>
      <c r="P28" s="97"/>
      <c r="Q28" s="2"/>
      <c r="R28" s="11"/>
      <c r="S28" s="11"/>
    </row>
    <row r="29" spans="4:19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6"/>
      <c r="O29" s="96"/>
      <c r="P29" s="97"/>
      <c r="Q29" s="2"/>
      <c r="R29" s="11"/>
      <c r="S29" s="11"/>
    </row>
    <row r="30" spans="4:19" ht="12.75">
      <c r="D30" s="11"/>
      <c r="E30" s="11"/>
      <c r="L30" s="11"/>
      <c r="M30" s="11"/>
      <c r="N30" s="11"/>
      <c r="O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4:19" ht="12.75">
      <c r="D33" s="11"/>
      <c r="E33" s="11"/>
      <c r="P33" s="11"/>
      <c r="Q33" s="11"/>
      <c r="R33" s="11"/>
      <c r="S33" s="11"/>
    </row>
    <row r="34" spans="4:19" ht="12.75">
      <c r="D34" s="11"/>
      <c r="E34" s="11"/>
      <c r="P34" s="11"/>
      <c r="Q34" s="11"/>
      <c r="R34" s="11"/>
      <c r="S34" s="11"/>
    </row>
    <row r="35" spans="4:19" ht="12.75">
      <c r="D35" s="11"/>
      <c r="E35" s="11"/>
      <c r="P35" s="11"/>
      <c r="Q35" s="11"/>
      <c r="R35" s="11"/>
      <c r="S35" s="11"/>
    </row>
    <row r="36" spans="16:19" ht="12.75">
      <c r="P36" s="11"/>
      <c r="Q36" s="11"/>
      <c r="R36" s="11"/>
      <c r="S36" s="11"/>
    </row>
    <row r="37" spans="16:19" ht="12.75">
      <c r="P37" s="11"/>
      <c r="Q37" s="11"/>
      <c r="R37" s="11"/>
      <c r="S37" s="1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AG68"/>
  <sheetViews>
    <sheetView zoomScale="75" zoomScaleNormal="75" workbookViewId="0" topLeftCell="F13">
      <selection activeCell="L22" sqref="L22"/>
    </sheetView>
  </sheetViews>
  <sheetFormatPr defaultColWidth="11.421875" defaultRowHeight="12.75"/>
  <cols>
    <col min="1" max="1" width="14.421875" style="0" customWidth="1"/>
    <col min="2" max="2" width="15.7109375" style="0" customWidth="1"/>
    <col min="3" max="3" width="7.14062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0" width="18.7109375" style="0" customWidth="1"/>
    <col min="11" max="11" width="24.7109375" style="0" customWidth="1"/>
    <col min="12" max="12" width="15.00390625" style="0" customWidth="1"/>
    <col min="13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AD1" s="444"/>
    </row>
    <row r="2" spans="1:23" ht="27" customHeight="1">
      <c r="A2" s="4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30" customFormat="1" ht="30.75">
      <c r="A3" s="327"/>
      <c r="B3" s="328" t="str">
        <f>'tot-0510-SUP'!B2</f>
        <v>ANEXO V.1.b.  a la Resolución E.N.R.E.   N° 122 /2008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B3" s="329"/>
      <c r="AC3" s="329"/>
      <c r="AD3" s="329"/>
    </row>
    <row r="4" spans="1:2" s="58" customFormat="1" ht="11.25">
      <c r="A4" s="56" t="s">
        <v>22</v>
      </c>
      <c r="B4" s="56"/>
    </row>
    <row r="5" spans="1:2" s="58" customFormat="1" ht="11.25">
      <c r="A5" s="56" t="s">
        <v>23</v>
      </c>
      <c r="B5" s="56"/>
    </row>
    <row r="6" s="58" customFormat="1" ht="12" thickBot="1">
      <c r="A6" s="56"/>
    </row>
    <row r="7" spans="1:30" ht="16.5" customHeight="1" thickTop="1">
      <c r="A7" s="13"/>
      <c r="B7" s="98"/>
      <c r="C7" s="99"/>
      <c r="D7" s="99"/>
      <c r="E7" s="100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80"/>
      <c r="X7" s="180"/>
      <c r="Y7" s="180"/>
      <c r="Z7" s="180"/>
      <c r="AA7" s="180"/>
      <c r="AB7" s="180"/>
      <c r="AC7" s="180"/>
      <c r="AD7" s="101"/>
    </row>
    <row r="8" spans="1:30" ht="20.25">
      <c r="A8" s="13"/>
      <c r="B8" s="83"/>
      <c r="C8" s="11"/>
      <c r="D8" s="4" t="s">
        <v>60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0"/>
      <c r="Q8" s="130"/>
      <c r="R8" s="11"/>
      <c r="S8" s="11"/>
      <c r="T8" s="11"/>
      <c r="U8" s="11"/>
      <c r="V8" s="11"/>
      <c r="AD8" s="102"/>
    </row>
    <row r="9" spans="1:30" ht="16.5" customHeight="1">
      <c r="A9" s="13"/>
      <c r="B9" s="8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D9" s="102"/>
    </row>
    <row r="10" spans="2:30" s="12" customFormat="1" ht="20.25">
      <c r="B10" s="78"/>
      <c r="C10" s="77"/>
      <c r="D10" s="4" t="s">
        <v>61</v>
      </c>
      <c r="E10" s="77"/>
      <c r="F10" s="77"/>
      <c r="G10" s="77"/>
      <c r="H10" s="77"/>
      <c r="N10" s="77"/>
      <c r="O10" s="77"/>
      <c r="P10" s="188"/>
      <c r="Q10" s="188"/>
      <c r="R10" s="77"/>
      <c r="S10" s="77"/>
      <c r="T10" s="77"/>
      <c r="U10" s="77"/>
      <c r="V10" s="77"/>
      <c r="W10"/>
      <c r="X10" s="77"/>
      <c r="Y10" s="77"/>
      <c r="Z10" s="77"/>
      <c r="AA10" s="77"/>
      <c r="AB10" s="77"/>
      <c r="AC10"/>
      <c r="AD10" s="189"/>
    </row>
    <row r="11" spans="1:30" ht="16.5" customHeight="1">
      <c r="A11" s="13"/>
      <c r="B11" s="8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AD11" s="102"/>
    </row>
    <row r="12" spans="2:30" s="12" customFormat="1" ht="20.25">
      <c r="B12" s="78"/>
      <c r="C12" s="77"/>
      <c r="D12" s="4" t="s">
        <v>124</v>
      </c>
      <c r="E12" s="77"/>
      <c r="F12" s="77"/>
      <c r="G12" s="77"/>
      <c r="H12" s="77"/>
      <c r="N12" s="77"/>
      <c r="O12" s="77"/>
      <c r="P12" s="188"/>
      <c r="Q12" s="188"/>
      <c r="R12" s="77"/>
      <c r="S12" s="77"/>
      <c r="T12" s="77"/>
      <c r="U12" s="77"/>
      <c r="V12" s="77"/>
      <c r="W12"/>
      <c r="X12" s="77"/>
      <c r="Y12" s="77"/>
      <c r="Z12" s="77"/>
      <c r="AA12" s="77"/>
      <c r="AB12" s="77"/>
      <c r="AC12"/>
      <c r="AD12" s="189"/>
    </row>
    <row r="13" spans="1:30" ht="16.5" customHeight="1">
      <c r="A13" s="13"/>
      <c r="B13" s="83"/>
      <c r="C13" s="11"/>
      <c r="D13" s="11"/>
      <c r="E13" s="13"/>
      <c r="F13" s="13"/>
      <c r="G13" s="13"/>
      <c r="H13" s="13"/>
      <c r="I13" s="103"/>
      <c r="J13" s="103"/>
      <c r="K13" s="103"/>
      <c r="L13" s="103"/>
      <c r="M13" s="103"/>
      <c r="N13" s="103"/>
      <c r="O13" s="103"/>
      <c r="P13" s="103"/>
      <c r="Q13" s="103"/>
      <c r="R13" s="11"/>
      <c r="S13" s="11"/>
      <c r="T13" s="11"/>
      <c r="U13" s="11"/>
      <c r="V13" s="11"/>
      <c r="AD13" s="102"/>
    </row>
    <row r="14" spans="2:30" s="12" customFormat="1" ht="19.5">
      <c r="B14" s="71" t="str">
        <f>'tot-0510-SUP'!B14</f>
        <v>Desde el 01 al 31 de octubre de 2005</v>
      </c>
      <c r="C14" s="72"/>
      <c r="D14" s="74"/>
      <c r="E14" s="74"/>
      <c r="F14" s="74"/>
      <c r="G14" s="74"/>
      <c r="H14" s="74"/>
      <c r="I14" s="75"/>
      <c r="J14" s="3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191"/>
      <c r="V14" s="191"/>
      <c r="W14"/>
      <c r="X14" s="192"/>
      <c r="Y14" s="192"/>
      <c r="Z14" s="192"/>
      <c r="AA14" s="192"/>
      <c r="AB14" s="191"/>
      <c r="AC14" s="3"/>
      <c r="AD14" s="76"/>
    </row>
    <row r="15" spans="1:30" ht="16.5" customHeight="1">
      <c r="A15" s="13"/>
      <c r="B15" s="83"/>
      <c r="C15" s="11"/>
      <c r="D15" s="11"/>
      <c r="E15" s="2"/>
      <c r="F15" s="2"/>
      <c r="G15" s="11"/>
      <c r="H15" s="11"/>
      <c r="I15" s="11"/>
      <c r="J15" s="131"/>
      <c r="K15" s="11"/>
      <c r="L15" s="11"/>
      <c r="M15" s="11"/>
      <c r="N15" s="13"/>
      <c r="O15" s="13"/>
      <c r="P15" s="11"/>
      <c r="Q15" s="11"/>
      <c r="R15" s="11"/>
      <c r="S15" s="11"/>
      <c r="T15" s="11"/>
      <c r="U15" s="11"/>
      <c r="V15" s="11"/>
      <c r="AD15" s="102"/>
    </row>
    <row r="16" spans="1:30" ht="16.5" customHeight="1">
      <c r="A16" s="13"/>
      <c r="B16" s="83"/>
      <c r="C16" s="11"/>
      <c r="D16" s="11"/>
      <c r="E16" s="2"/>
      <c r="F16" s="2"/>
      <c r="G16" s="11"/>
      <c r="H16" s="11"/>
      <c r="I16" s="132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AD16" s="102"/>
    </row>
    <row r="17" spans="1:30" ht="16.5" customHeight="1">
      <c r="A17" s="13"/>
      <c r="B17" s="83"/>
      <c r="C17" s="11"/>
      <c r="D17" s="11"/>
      <c r="E17" s="2"/>
      <c r="F17" s="2"/>
      <c r="G17" s="11"/>
      <c r="H17" s="11"/>
      <c r="I17" s="132"/>
      <c r="J17" s="11"/>
      <c r="K17" s="9"/>
      <c r="M17" s="11"/>
      <c r="N17" s="13"/>
      <c r="O17" s="13"/>
      <c r="P17" s="11"/>
      <c r="Q17" s="11"/>
      <c r="R17" s="11"/>
      <c r="S17" s="11"/>
      <c r="T17" s="11"/>
      <c r="U17" s="11"/>
      <c r="V17" s="11"/>
      <c r="AD17" s="102"/>
    </row>
    <row r="18" spans="1:30" ht="16.5" customHeight="1">
      <c r="A18" s="13"/>
      <c r="B18" s="83"/>
      <c r="C18" s="303" t="s">
        <v>62</v>
      </c>
      <c r="D18" s="10" t="s">
        <v>63</v>
      </c>
      <c r="E18" s="2"/>
      <c r="F18" s="2"/>
      <c r="G18" s="11"/>
      <c r="H18" s="11"/>
      <c r="I18" s="11"/>
      <c r="J18" s="131"/>
      <c r="K18" s="11"/>
      <c r="L18" s="11"/>
      <c r="M18" s="11"/>
      <c r="N18" s="13"/>
      <c r="O18" s="13"/>
      <c r="P18" s="11"/>
      <c r="Q18" s="11"/>
      <c r="R18" s="11"/>
      <c r="S18" s="11"/>
      <c r="T18" s="11"/>
      <c r="U18" s="11"/>
      <c r="V18" s="11"/>
      <c r="AD18" s="102"/>
    </row>
    <row r="19" spans="2:30" s="65" customFormat="1" ht="16.5" customHeight="1">
      <c r="B19" s="152"/>
      <c r="C19" s="67"/>
      <c r="D19" s="272"/>
      <c r="E19" s="273"/>
      <c r="F19" s="146"/>
      <c r="G19" s="67"/>
      <c r="H19" s="67"/>
      <c r="I19" s="67"/>
      <c r="J19" s="293"/>
      <c r="K19" s="67"/>
      <c r="L19" s="67"/>
      <c r="M19" s="67"/>
      <c r="P19" s="67"/>
      <c r="Q19" s="67"/>
      <c r="R19" s="67"/>
      <c r="S19" s="67"/>
      <c r="T19" s="67"/>
      <c r="U19" s="67"/>
      <c r="V19" s="67"/>
      <c r="W19"/>
      <c r="AD19" s="294"/>
    </row>
    <row r="20" spans="2:30" s="65" customFormat="1" ht="16.5" customHeight="1">
      <c r="B20" s="152"/>
      <c r="C20" s="67"/>
      <c r="D20" s="274" t="s">
        <v>64</v>
      </c>
      <c r="F20" s="321">
        <v>89.969</v>
      </c>
      <c r="G20" s="274" t="s">
        <v>65</v>
      </c>
      <c r="H20" s="67"/>
      <c r="I20" s="67"/>
      <c r="J20" s="136"/>
      <c r="K20" s="276" t="s">
        <v>66</v>
      </c>
      <c r="L20" s="277">
        <v>0.0065</v>
      </c>
      <c r="R20" s="67"/>
      <c r="S20" s="67"/>
      <c r="T20" s="67"/>
      <c r="U20" s="67"/>
      <c r="V20" s="67"/>
      <c r="W20"/>
      <c r="AD20" s="294"/>
    </row>
    <row r="21" spans="2:30" s="65" customFormat="1" ht="16.5" customHeight="1">
      <c r="B21" s="152"/>
      <c r="C21" s="67"/>
      <c r="D21" s="400" t="s">
        <v>106</v>
      </c>
      <c r="E21" s="400"/>
      <c r="F21" s="275">
        <v>4772817</v>
      </c>
      <c r="G21" s="275"/>
      <c r="H21" s="67"/>
      <c r="I21" s="67"/>
      <c r="J21" s="67"/>
      <c r="K21" s="272" t="s">
        <v>69</v>
      </c>
      <c r="L21" s="67">
        <v>744</v>
      </c>
      <c r="M21" s="67" t="s">
        <v>70</v>
      </c>
      <c r="N21" s="67"/>
      <c r="O21" s="445"/>
      <c r="P21" s="446"/>
      <c r="Q21" s="11"/>
      <c r="R21" s="67"/>
      <c r="S21" s="67"/>
      <c r="T21" s="67"/>
      <c r="U21" s="67"/>
      <c r="V21" s="67"/>
      <c r="W21"/>
      <c r="AD21" s="294"/>
    </row>
    <row r="22" spans="2:30" s="65" customFormat="1" ht="16.5" customHeight="1">
      <c r="B22" s="152"/>
      <c r="C22" s="67"/>
      <c r="D22" s="67"/>
      <c r="E22" s="14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/>
      <c r="AD22" s="294"/>
    </row>
    <row r="23" spans="1:30" ht="16.5" customHeight="1">
      <c r="A23" s="13"/>
      <c r="B23" s="83"/>
      <c r="C23" s="303" t="s">
        <v>72</v>
      </c>
      <c r="D23" s="66" t="s">
        <v>73</v>
      </c>
      <c r="I23" s="11"/>
      <c r="J23" s="65"/>
      <c r="O23" s="11"/>
      <c r="P23" s="11"/>
      <c r="Q23" s="11"/>
      <c r="R23" s="11"/>
      <c r="S23" s="11"/>
      <c r="T23" s="11"/>
      <c r="V23" s="11"/>
      <c r="X23" s="11"/>
      <c r="Y23" s="11"/>
      <c r="Z23" s="11"/>
      <c r="AA23" s="11"/>
      <c r="AB23" s="11"/>
      <c r="AC23" s="11"/>
      <c r="AD23" s="102"/>
    </row>
    <row r="24" spans="1:30" ht="10.5" customHeight="1" thickBot="1">
      <c r="A24" s="13"/>
      <c r="B24" s="83"/>
      <c r="C24" s="2"/>
      <c r="D24" s="66"/>
      <c r="I24" s="11"/>
      <c r="J24" s="65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2"/>
    </row>
    <row r="25" spans="2:30" s="65" customFormat="1" ht="16.5" customHeight="1" thickBot="1" thickTop="1">
      <c r="B25" s="152"/>
      <c r="C25" s="146"/>
      <c r="D25"/>
      <c r="E25"/>
      <c r="F25"/>
      <c r="G25"/>
      <c r="H25"/>
      <c r="I25"/>
      <c r="J25" s="331" t="s">
        <v>74</v>
      </c>
      <c r="K25" s="332">
        <f>F21*L20</f>
        <v>31023.3105</v>
      </c>
      <c r="L25"/>
      <c r="S25"/>
      <c r="T25"/>
      <c r="U25"/>
      <c r="W25"/>
      <c r="AD25" s="294"/>
    </row>
    <row r="26" spans="2:30" s="65" customFormat="1" ht="11.25" customHeight="1" thickTop="1">
      <c r="B26" s="152"/>
      <c r="C26" s="146"/>
      <c r="D26" s="67"/>
      <c r="E26" s="14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/>
      <c r="W26"/>
      <c r="AD26" s="294"/>
    </row>
    <row r="27" spans="1:30" ht="16.5" customHeight="1">
      <c r="A27" s="13"/>
      <c r="B27" s="83"/>
      <c r="C27" s="303" t="s">
        <v>75</v>
      </c>
      <c r="D27" s="66" t="s">
        <v>76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D27" s="102"/>
    </row>
    <row r="28" spans="1:30" ht="21.75" customHeight="1" thickBot="1">
      <c r="A28" s="13"/>
      <c r="B28" s="83"/>
      <c r="C28" s="11"/>
      <c r="D28" s="11"/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2"/>
    </row>
    <row r="29" spans="2:31" s="13" customFormat="1" ht="33.75" customHeight="1" thickBot="1" thickTop="1">
      <c r="B29" s="83"/>
      <c r="C29" s="106" t="s">
        <v>31</v>
      </c>
      <c r="D29" s="190" t="s">
        <v>24</v>
      </c>
      <c r="E29" s="111" t="s">
        <v>32</v>
      </c>
      <c r="F29" s="112" t="s">
        <v>33</v>
      </c>
      <c r="G29" s="107" t="s">
        <v>34</v>
      </c>
      <c r="H29" s="221" t="s">
        <v>35</v>
      </c>
      <c r="I29" s="224" t="s">
        <v>36</v>
      </c>
      <c r="J29" s="108" t="s">
        <v>37</v>
      </c>
      <c r="K29" s="109" t="s">
        <v>38</v>
      </c>
      <c r="L29" s="113" t="s">
        <v>39</v>
      </c>
      <c r="M29" s="114" t="s">
        <v>40</v>
      </c>
      <c r="N29" s="113" t="s">
        <v>77</v>
      </c>
      <c r="O29" s="113" t="s">
        <v>42</v>
      </c>
      <c r="P29" s="109" t="s">
        <v>43</v>
      </c>
      <c r="Q29" s="108" t="s">
        <v>44</v>
      </c>
      <c r="R29" s="252" t="s">
        <v>45</v>
      </c>
      <c r="S29" s="253" t="s">
        <v>46</v>
      </c>
      <c r="T29" s="248" t="s">
        <v>52</v>
      </c>
      <c r="U29" s="249"/>
      <c r="V29" s="250"/>
      <c r="W29" s="254" t="s">
        <v>78</v>
      </c>
      <c r="X29" s="255"/>
      <c r="Y29" s="256"/>
      <c r="Z29" s="258" t="s">
        <v>47</v>
      </c>
      <c r="AA29" s="260" t="s">
        <v>50</v>
      </c>
      <c r="AB29" s="115" t="s">
        <v>48</v>
      </c>
      <c r="AC29" s="123" t="s">
        <v>49</v>
      </c>
      <c r="AD29" s="104"/>
      <c r="AE29"/>
    </row>
    <row r="30" spans="1:30" ht="16.5" customHeight="1" thickTop="1">
      <c r="A30" s="13"/>
      <c r="B30" s="83"/>
      <c r="C30" s="138"/>
      <c r="D30" s="138"/>
      <c r="E30" s="139"/>
      <c r="F30" s="140"/>
      <c r="G30" s="243"/>
      <c r="H30" s="244"/>
      <c r="I30" s="245"/>
      <c r="J30" s="240"/>
      <c r="K30" s="141"/>
      <c r="L30" s="14"/>
      <c r="M30" s="14"/>
      <c r="N30" s="50"/>
      <c r="O30" s="50"/>
      <c r="P30" s="14"/>
      <c r="Q30" s="220"/>
      <c r="R30" s="333"/>
      <c r="S30" s="334"/>
      <c r="T30" s="335"/>
      <c r="U30" s="300"/>
      <c r="V30" s="336"/>
      <c r="W30" s="337"/>
      <c r="X30" s="338"/>
      <c r="Y30" s="339"/>
      <c r="Z30" s="340"/>
      <c r="AA30" s="341"/>
      <c r="AB30" s="342"/>
      <c r="AC30" s="343"/>
      <c r="AD30" s="102"/>
    </row>
    <row r="31" spans="1:30" ht="16.5" customHeight="1">
      <c r="A31" s="13"/>
      <c r="B31" s="83"/>
      <c r="C31" s="450" t="s">
        <v>145</v>
      </c>
      <c r="D31" s="465" t="s">
        <v>123</v>
      </c>
      <c r="E31" s="465">
        <v>500</v>
      </c>
      <c r="F31" s="465">
        <v>227</v>
      </c>
      <c r="G31" s="219" t="s">
        <v>2</v>
      </c>
      <c r="H31" s="241">
        <f>IF(G31="A",200,IF(G31="B",60,20))</f>
        <v>20</v>
      </c>
      <c r="I31" s="238">
        <f>IF(F31&gt;100,F31,100)*$F$20/100</f>
        <v>204.22963</v>
      </c>
      <c r="J31" s="467">
        <v>38634.33125</v>
      </c>
      <c r="K31" s="453">
        <v>38634.73819444444</v>
      </c>
      <c r="L31" s="344">
        <f>IF(D31="","",(K31-J31)*24)</f>
        <v>9.76666666654637</v>
      </c>
      <c r="M31" s="23">
        <f>IF(D31="","",ROUND((K31-J31)*24*60,0))</f>
        <v>586</v>
      </c>
      <c r="N31" s="20" t="s">
        <v>141</v>
      </c>
      <c r="O31" s="21" t="str">
        <f>IF(D31="","","--")</f>
        <v>--</v>
      </c>
      <c r="P31" s="17" t="str">
        <f>IF(D31="","","NO")</f>
        <v>NO</v>
      </c>
      <c r="Q31" s="17" t="str">
        <f>IF(D31="","",IF(OR(N31="P",N31="RP"),"--","NO"))</f>
        <v>--</v>
      </c>
      <c r="R31" s="345">
        <f>IF(N31="P",+I31*H31*ROUND(M31/60,2)/100,"--")</f>
        <v>399.0646970199999</v>
      </c>
      <c r="S31" s="346" t="str">
        <f>IF(N31="RP",I31*H31*ROUND(M31/60,2)*0.01*O31/100,"--")</f>
        <v>--</v>
      </c>
      <c r="T31" s="347" t="str">
        <f>IF(AND(N31="F",Q31="NO"),IF(P31="SI",1.2,1)*I31*H31,"--")</f>
        <v>--</v>
      </c>
      <c r="U31" s="348" t="str">
        <f>IF(AND(M31&gt;10,N31="F"),IF(M31&lt;=300,ROUND(M31/60,2),5)*I31*H31*IF(P31="SI",1.2,1),"--")</f>
        <v>--</v>
      </c>
      <c r="V31" s="349" t="str">
        <f>IF(AND(N31="F",M31&gt;300),IF(P31="SI",1.2,1)*(ROUND(M31/60,2)-5)*I31*H31*0.1,"--")</f>
        <v>--</v>
      </c>
      <c r="W31" s="350" t="str">
        <f>IF(AND(N31="R",Q31="NO"),IF(P31="SI",1.2,1)*I31*H31*O31/100,"--")</f>
        <v>--</v>
      </c>
      <c r="X31" s="351" t="str">
        <f>IF(AND(M31&gt;10,N31="R"),IF(M31&lt;=300,ROUND(M31/60,2),5)*I31*H31*O31/100*IF(P31="SI",1.2,1),"--")</f>
        <v>--</v>
      </c>
      <c r="Y31" s="352" t="str">
        <f>IF(AND(N31="R",M31&gt;300),IF(P31="SI",1.2,1)*(ROUND(M31/60,2)-5)*I31*H31*O31/100*0.1,"--")</f>
        <v>--</v>
      </c>
      <c r="Z31" s="353" t="str">
        <f>IF(N31="RF",IF(P31="SI",1.2,1)*ROUND(M31/60,2)*I31*H31*0.1,"--")</f>
        <v>--</v>
      </c>
      <c r="AA31" s="354" t="str">
        <f>IF(N31="RR",IF(P31="SI",1.2,1)*ROUND(M31/60,2)*I31*H31*O31/100*0.1,"--")</f>
        <v>--</v>
      </c>
      <c r="AB31" s="186" t="str">
        <f>IF(D31="","","SI")</f>
        <v>SI</v>
      </c>
      <c r="AC31" s="22">
        <f>IF(D31="","",SUM(R31:AA31)*IF(AB31="SI",1,2))</f>
        <v>399.0646970199999</v>
      </c>
      <c r="AD31" s="105"/>
    </row>
    <row r="32" spans="1:30" ht="16.5" customHeight="1">
      <c r="A32" s="13"/>
      <c r="B32" s="83"/>
      <c r="C32" s="450" t="s">
        <v>148</v>
      </c>
      <c r="D32" s="465" t="s">
        <v>123</v>
      </c>
      <c r="E32" s="465">
        <v>500</v>
      </c>
      <c r="F32" s="465">
        <v>227</v>
      </c>
      <c r="G32" s="219" t="s">
        <v>2</v>
      </c>
      <c r="H32" s="241">
        <f>IF(G32="A",200,IF(G32="B",60,20))</f>
        <v>20</v>
      </c>
      <c r="I32" s="238">
        <f>IF(F32&gt;100,F32,100)*$F$20/100</f>
        <v>204.22963</v>
      </c>
      <c r="J32" s="467">
        <v>38641.50277777778</v>
      </c>
      <c r="K32" s="453">
        <v>38641.7375</v>
      </c>
      <c r="L32" s="344">
        <f>IF(D32="","",(K32-J32)*24)</f>
        <v>5.633333333360497</v>
      </c>
      <c r="M32" s="23">
        <f>IF(D32="","",ROUND((K32-J32)*24*60,0))</f>
        <v>338</v>
      </c>
      <c r="N32" s="20" t="s">
        <v>141</v>
      </c>
      <c r="O32" s="21" t="str">
        <f>IF(D32="","","--")</f>
        <v>--</v>
      </c>
      <c r="P32" s="17" t="str">
        <f>IF(D32="","","NO")</f>
        <v>NO</v>
      </c>
      <c r="Q32" s="17" t="str">
        <f>IF(D32="","",IF(OR(N32="P",N32="RP"),"--","NO"))</f>
        <v>--</v>
      </c>
      <c r="R32" s="345">
        <f>IF(N32="P",+I32*H32*ROUND(M32/60,2)/100,"--")</f>
        <v>229.96256338</v>
      </c>
      <c r="S32" s="346" t="str">
        <f>IF(N32="RP",I32*H32*ROUND(M32/60,2)*0.01*O32/100,"--")</f>
        <v>--</v>
      </c>
      <c r="T32" s="347" t="str">
        <f>IF(AND(N32="F",Q32="NO"),IF(P32="SI",1.2,1)*I32*H32,"--")</f>
        <v>--</v>
      </c>
      <c r="U32" s="348" t="str">
        <f>IF(AND(M32&gt;10,N32="F"),IF(M32&lt;=300,ROUND(M32/60,2),5)*I32*H32*IF(P32="SI",1.2,1),"--")</f>
        <v>--</v>
      </c>
      <c r="V32" s="349" t="str">
        <f>IF(AND(N32="F",M32&gt;300),IF(P32="SI",1.2,1)*(ROUND(M32/60,2)-5)*I32*H32*0.1,"--")</f>
        <v>--</v>
      </c>
      <c r="W32" s="350" t="str">
        <f>IF(AND(N32="R",Q32="NO"),IF(P32="SI",1.2,1)*I32*H32*O32/100,"--")</f>
        <v>--</v>
      </c>
      <c r="X32" s="351" t="str">
        <f>IF(AND(M32&gt;10,N32="R"),IF(M32&lt;=300,ROUND(M32/60,2),5)*I32*H32*O32/100*IF(P32="SI",1.2,1),"--")</f>
        <v>--</v>
      </c>
      <c r="Y32" s="352" t="str">
        <f>IF(AND(N32="R",M32&gt;300),IF(P32="SI",1.2,1)*(ROUND(M32/60,2)-5)*I32*H32*O32/100*0.1,"--")</f>
        <v>--</v>
      </c>
      <c r="Z32" s="353" t="str">
        <f>IF(N32="RF",IF(P32="SI",1.2,1)*ROUND(M32/60,2)*I32*H32*0.1,"--")</f>
        <v>--</v>
      </c>
      <c r="AA32" s="354" t="str">
        <f>IF(N32="RR",IF(P32="SI",1.2,1)*ROUND(M32/60,2)*I32*H32*O32/100*0.1,"--")</f>
        <v>--</v>
      </c>
      <c r="AB32" s="186" t="str">
        <f>IF(D32="","","SI")</f>
        <v>SI</v>
      </c>
      <c r="AC32" s="22">
        <f>IF(D32="","",SUM(R32:AA32)*IF(AB32="SI",1,2))</f>
        <v>229.96256338</v>
      </c>
      <c r="AD32" s="105"/>
    </row>
    <row r="33" spans="1:30" ht="16.5" customHeight="1">
      <c r="A33" s="13"/>
      <c r="B33" s="83"/>
      <c r="C33" s="450"/>
      <c r="D33" s="465"/>
      <c r="E33" s="465"/>
      <c r="F33" s="465"/>
      <c r="G33" s="219"/>
      <c r="H33" s="241"/>
      <c r="I33" s="238"/>
      <c r="J33" s="467"/>
      <c r="K33" s="453"/>
      <c r="L33" s="344"/>
      <c r="M33" s="23"/>
      <c r="N33" s="20"/>
      <c r="O33" s="21"/>
      <c r="P33" s="17"/>
      <c r="Q33" s="17"/>
      <c r="R33" s="345"/>
      <c r="S33" s="346"/>
      <c r="T33" s="347"/>
      <c r="U33" s="348"/>
      <c r="V33" s="349"/>
      <c r="W33" s="350"/>
      <c r="X33" s="351"/>
      <c r="Y33" s="352"/>
      <c r="Z33" s="353"/>
      <c r="AA33" s="354"/>
      <c r="AB33" s="186"/>
      <c r="AC33" s="22"/>
      <c r="AD33" s="105"/>
    </row>
    <row r="34" spans="1:30" ht="16.5" customHeight="1" thickBot="1">
      <c r="A34" s="65"/>
      <c r="B34" s="83"/>
      <c r="C34" s="137"/>
      <c r="D34" s="137"/>
      <c r="E34" s="142"/>
      <c r="F34" s="143"/>
      <c r="G34" s="144"/>
      <c r="H34" s="237"/>
      <c r="I34" s="239"/>
      <c r="J34" s="145"/>
      <c r="K34" s="145"/>
      <c r="L34" s="24"/>
      <c r="M34" s="24"/>
      <c r="N34" s="24"/>
      <c r="O34" s="25"/>
      <c r="P34" s="24"/>
      <c r="Q34" s="24"/>
      <c r="R34" s="355"/>
      <c r="S34" s="356"/>
      <c r="T34" s="357"/>
      <c r="U34" s="358"/>
      <c r="V34" s="359"/>
      <c r="W34" s="360"/>
      <c r="X34" s="361"/>
      <c r="Y34" s="362"/>
      <c r="Z34" s="363"/>
      <c r="AA34" s="364"/>
      <c r="AB34" s="26"/>
      <c r="AC34" s="365"/>
      <c r="AD34" s="105"/>
    </row>
    <row r="35" spans="1:30" ht="16.5" customHeight="1" thickBot="1" thickTop="1">
      <c r="A35" s="65"/>
      <c r="B35" s="83"/>
      <c r="C35" s="146"/>
      <c r="D35" s="146"/>
      <c r="E35" s="147"/>
      <c r="F35" s="148"/>
      <c r="G35" s="135"/>
      <c r="H35" s="469"/>
      <c r="I35" s="470"/>
      <c r="J35" s="149"/>
      <c r="K35" s="149"/>
      <c r="L35" s="27"/>
      <c r="M35" s="27"/>
      <c r="N35" s="27"/>
      <c r="O35" s="28"/>
      <c r="P35" s="27"/>
      <c r="Q35" s="27"/>
      <c r="R35" s="355"/>
      <c r="S35" s="356"/>
      <c r="T35" s="471"/>
      <c r="U35" s="472"/>
      <c r="V35" s="359"/>
      <c r="W35" s="473"/>
      <c r="X35" s="474"/>
      <c r="Y35" s="362"/>
      <c r="Z35" s="363"/>
      <c r="AA35" s="364"/>
      <c r="AB35" s="475"/>
      <c r="AC35" s="476">
        <f>SUM(AC31:AC34)</f>
        <v>629.0272603999999</v>
      </c>
      <c r="AD35" s="105"/>
    </row>
    <row r="36" spans="1:30" ht="16.5" customHeight="1" thickBot="1" thickTop="1">
      <c r="A36" s="65"/>
      <c r="B36" s="83"/>
      <c r="C36" s="146"/>
      <c r="D36" s="146"/>
      <c r="E36" s="147"/>
      <c r="F36" s="148"/>
      <c r="G36" s="135"/>
      <c r="H36" s="469"/>
      <c r="I36" s="470"/>
      <c r="J36" s="149"/>
      <c r="K36" s="149"/>
      <c r="L36" s="27"/>
      <c r="M36" s="27"/>
      <c r="N36" s="27"/>
      <c r="O36" s="28"/>
      <c r="P36" s="27"/>
      <c r="Q36" s="27"/>
      <c r="R36" s="477"/>
      <c r="S36" s="356"/>
      <c r="T36" s="471"/>
      <c r="U36" s="472"/>
      <c r="V36" s="478"/>
      <c r="W36" s="479"/>
      <c r="X36" s="479"/>
      <c r="Y36" s="480"/>
      <c r="Z36" s="481"/>
      <c r="AA36" s="482"/>
      <c r="AB36" s="483"/>
      <c r="AC36" s="484"/>
      <c r="AD36" s="105"/>
    </row>
    <row r="37" spans="1:30" s="13" customFormat="1" ht="33.75" customHeight="1" thickBot="1" thickTop="1">
      <c r="A37" s="43"/>
      <c r="B37" s="117"/>
      <c r="C37" s="119" t="s">
        <v>31</v>
      </c>
      <c r="D37" s="121" t="s">
        <v>53</v>
      </c>
      <c r="E37" s="120" t="s">
        <v>21</v>
      </c>
      <c r="F37" s="506" t="s">
        <v>54</v>
      </c>
      <c r="G37" s="507"/>
      <c r="H37" s="184" t="s">
        <v>36</v>
      </c>
      <c r="I37" s="120" t="s">
        <v>37</v>
      </c>
      <c r="J37" s="108" t="s">
        <v>37</v>
      </c>
      <c r="K37" s="109" t="s">
        <v>38</v>
      </c>
      <c r="L37" s="121" t="s">
        <v>40</v>
      </c>
      <c r="M37" s="113" t="s">
        <v>59</v>
      </c>
      <c r="N37" s="113" t="s">
        <v>42</v>
      </c>
      <c r="O37" s="109" t="s">
        <v>43</v>
      </c>
      <c r="P37" s="510" t="s">
        <v>44</v>
      </c>
      <c r="Q37" s="511"/>
      <c r="R37" s="279"/>
      <c r="S37" s="289" t="s">
        <v>47</v>
      </c>
      <c r="T37" s="116" t="s">
        <v>48</v>
      </c>
      <c r="U37" s="123" t="s">
        <v>49</v>
      </c>
      <c r="V37" s="102"/>
      <c r="X37"/>
      <c r="Y37"/>
      <c r="AB37" s="116" t="s">
        <v>48</v>
      </c>
      <c r="AC37" s="123" t="s">
        <v>49</v>
      </c>
      <c r="AD37" s="84"/>
    </row>
    <row r="38" spans="1:30" ht="16.5" customHeight="1" thickTop="1">
      <c r="A38" s="13"/>
      <c r="B38" s="83"/>
      <c r="C38" s="138"/>
      <c r="D38" s="138"/>
      <c r="E38" s="485"/>
      <c r="F38" s="508"/>
      <c r="G38" s="509"/>
      <c r="H38" s="241"/>
      <c r="I38" s="245"/>
      <c r="J38" s="240"/>
      <c r="K38" s="141"/>
      <c r="L38" s="486"/>
      <c r="M38" s="220"/>
      <c r="N38" s="181"/>
      <c r="O38" s="220"/>
      <c r="P38" s="512">
        <f>IF(D38="","",IF(OR(#REF!="P",#REF!="RP"),"--","NO"))</f>
      </c>
      <c r="Q38" s="513"/>
      <c r="R38" s="487"/>
      <c r="T38" s="335"/>
      <c r="U38" s="300"/>
      <c r="V38" s="336"/>
      <c r="W38" s="337"/>
      <c r="X38" s="338"/>
      <c r="Y38" s="339"/>
      <c r="Z38" s="340"/>
      <c r="AA38" s="341"/>
      <c r="AB38" s="342"/>
      <c r="AC38" s="343"/>
      <c r="AD38" s="218"/>
    </row>
    <row r="39" spans="1:30" ht="16.5" customHeight="1">
      <c r="A39" s="13"/>
      <c r="B39" s="83"/>
      <c r="C39" s="450"/>
      <c r="D39" s="466"/>
      <c r="E39" s="466"/>
      <c r="F39" s="514"/>
      <c r="G39" s="515"/>
      <c r="H39" s="241"/>
      <c r="I39" s="456"/>
      <c r="J39" s="452"/>
      <c r="K39" s="453"/>
      <c r="L39" s="19">
        <f>IF(F39="","",ROUND((K39-J39)*24*60,0))</f>
      </c>
      <c r="M39" s="455"/>
      <c r="N39" s="21">
        <f>IF(D39="","","--")</f>
      </c>
      <c r="O39" s="17">
        <f>IF(D39="","","NO")</f>
      </c>
      <c r="P39" s="516" t="s">
        <v>168</v>
      </c>
      <c r="Q39" s="517"/>
      <c r="R39" s="488" t="str">
        <f>IF(M39="F",H39*O39*ROUND(L39/60,2),"--")</f>
        <v>--</v>
      </c>
      <c r="S39" s="346" t="str">
        <f>IF(N39="RP",I39*H39*ROUND(M39/60,2)*0.01*O39/100,"--")</f>
        <v>--</v>
      </c>
      <c r="T39" s="347" t="str">
        <f>IF(AND(N39="F",Q39="NO"),IF(P39="SI",1.2,1)*I39*H39,"--")</f>
        <v>--</v>
      </c>
      <c r="U39" s="348" t="str">
        <f>IF(AND(M39&gt;10,N39="F"),IF(M39&lt;=300,ROUND(M39/60,2),5)*I39*H39*IF(P39="SI",1.2,1),"--")</f>
        <v>--</v>
      </c>
      <c r="V39" s="349" t="str">
        <f>IF(AND(N39="F",M39&gt;300),IF(P39="SI",1.2,1)*(ROUND(M39/60,2)-5)*I39*H39*0.1,"--")</f>
        <v>--</v>
      </c>
      <c r="W39" s="350" t="str">
        <f>IF(AND(N39="R",Q39="NO"),IF(P39="SI",1.2,1)*I39*H39*O39/100,"--")</f>
        <v>--</v>
      </c>
      <c r="X39" s="351" t="str">
        <f>IF(AND(M39&gt;10,N39="R"),IF(M39&lt;=300,ROUND(M39/60,2),5)*I39*H39*O39/100*IF(P39="SI",1.2,1),"--")</f>
        <v>--</v>
      </c>
      <c r="Y39" s="352" t="str">
        <f>IF(AND(N39="R",M39&gt;300),IF(P39="SI",1.2,1)*(ROUND(M39/60,2)-5)*I39*H39*O39/100*0.1,"--")</f>
        <v>--</v>
      </c>
      <c r="Z39" s="353" t="str">
        <f>IF(N39="RF",IF(P39="SI",1.2,1)*ROUND(M39/60,2)*I39*H39*0.1,"--")</f>
        <v>--</v>
      </c>
      <c r="AA39" s="354" t="str">
        <f>IF(N39="RR",IF(P39="SI",1.2,1)*ROUND(M39/60,2)*I39*H39*O39/100*0.1,"--")</f>
        <v>--</v>
      </c>
      <c r="AB39" s="186">
        <f>IF(D39="","","SI")</f>
      </c>
      <c r="AC39" s="22"/>
      <c r="AD39" s="218"/>
    </row>
    <row r="40" spans="1:30" ht="16.5" customHeight="1" thickBot="1">
      <c r="A40" s="65"/>
      <c r="B40" s="83"/>
      <c r="C40" s="137"/>
      <c r="D40" s="137"/>
      <c r="E40" s="142"/>
      <c r="F40" s="502"/>
      <c r="G40" s="503"/>
      <c r="H40" s="237"/>
      <c r="I40" s="239"/>
      <c r="J40" s="145"/>
      <c r="K40" s="145"/>
      <c r="L40" s="24"/>
      <c r="M40" s="24"/>
      <c r="N40" s="24"/>
      <c r="O40" s="25"/>
      <c r="P40" s="504"/>
      <c r="Q40" s="505"/>
      <c r="R40" s="355"/>
      <c r="S40" s="356"/>
      <c r="T40" s="357"/>
      <c r="U40" s="358"/>
      <c r="V40" s="359"/>
      <c r="W40" s="360"/>
      <c r="X40" s="361"/>
      <c r="Y40" s="362"/>
      <c r="Z40" s="363"/>
      <c r="AA40" s="364"/>
      <c r="AB40" s="26"/>
      <c r="AC40" s="365"/>
      <c r="AD40" s="105"/>
    </row>
    <row r="41" spans="1:30" ht="16.5" customHeight="1" thickBot="1" thickTop="1">
      <c r="A41" s="65"/>
      <c r="B41" s="83"/>
      <c r="C41" s="146"/>
      <c r="D41" s="146"/>
      <c r="E41" s="147"/>
      <c r="F41" s="148"/>
      <c r="G41" s="135"/>
      <c r="H41" s="469"/>
      <c r="I41" s="470"/>
      <c r="J41" s="149"/>
      <c r="K41" s="149"/>
      <c r="L41" s="27"/>
      <c r="M41" s="27"/>
      <c r="N41" s="27"/>
      <c r="O41" s="28"/>
      <c r="P41" s="27"/>
      <c r="Q41" s="27"/>
      <c r="R41" s="355"/>
      <c r="S41" s="356"/>
      <c r="T41" s="471"/>
      <c r="U41" s="472"/>
      <c r="V41" s="359"/>
      <c r="W41" s="473"/>
      <c r="X41" s="474"/>
      <c r="Y41" s="362"/>
      <c r="Z41" s="363"/>
      <c r="AA41" s="364"/>
      <c r="AB41" s="475"/>
      <c r="AC41" s="476">
        <f>SUM(AC39:AC40)</f>
        <v>0</v>
      </c>
      <c r="AD41" s="105"/>
    </row>
    <row r="42" spans="1:30" ht="16.5" customHeight="1" thickBot="1" thickTop="1">
      <c r="A42" s="65"/>
      <c r="B42" s="83"/>
      <c r="C42" s="146"/>
      <c r="D42" s="146"/>
      <c r="E42" s="147"/>
      <c r="F42" s="148"/>
      <c r="G42" s="135"/>
      <c r="H42" s="135"/>
      <c r="I42" s="149"/>
      <c r="J42" s="149"/>
      <c r="K42" s="149"/>
      <c r="L42" s="149"/>
      <c r="M42" s="149"/>
      <c r="N42" s="149"/>
      <c r="O42" s="150"/>
      <c r="P42" s="149"/>
      <c r="Q42" s="149"/>
      <c r="R42" s="246">
        <f aca="true" t="shared" si="0" ref="R42:AA42">SUM(R30:R34)</f>
        <v>629.0272603999999</v>
      </c>
      <c r="S42" s="247">
        <f t="shared" si="0"/>
        <v>0</v>
      </c>
      <c r="T42" s="251">
        <f t="shared" si="0"/>
        <v>0</v>
      </c>
      <c r="U42" s="251">
        <f t="shared" si="0"/>
        <v>0</v>
      </c>
      <c r="V42" s="251">
        <f t="shared" si="0"/>
        <v>0</v>
      </c>
      <c r="W42" s="257">
        <f t="shared" si="0"/>
        <v>0</v>
      </c>
      <c r="X42" s="257">
        <f t="shared" si="0"/>
        <v>0</v>
      </c>
      <c r="Y42" s="257">
        <f t="shared" si="0"/>
        <v>0</v>
      </c>
      <c r="Z42" s="259">
        <f t="shared" si="0"/>
        <v>0</v>
      </c>
      <c r="AA42" s="261">
        <f t="shared" si="0"/>
        <v>0</v>
      </c>
      <c r="AB42" s="214"/>
      <c r="AC42" s="214"/>
      <c r="AD42" s="105"/>
    </row>
    <row r="43" spans="1:30" ht="13.5" customHeight="1" hidden="1" thickBot="1" thickTop="1">
      <c r="A43" s="65"/>
      <c r="B43" s="83"/>
      <c r="C43" s="146"/>
      <c r="D43" s="146"/>
      <c r="E43" s="147"/>
      <c r="F43" s="148"/>
      <c r="G43" s="135"/>
      <c r="H43" s="135"/>
      <c r="I43" s="149"/>
      <c r="J43" s="149"/>
      <c r="K43" s="149"/>
      <c r="L43" s="149"/>
      <c r="M43" s="149"/>
      <c r="N43" s="149"/>
      <c r="O43" s="150"/>
      <c r="P43" s="149"/>
      <c r="Q43" s="149"/>
      <c r="R43" s="367"/>
      <c r="S43" s="368"/>
      <c r="T43" s="369"/>
      <c r="U43" s="369"/>
      <c r="V43" s="369"/>
      <c r="W43" s="367"/>
      <c r="X43" s="367"/>
      <c r="Y43" s="367"/>
      <c r="Z43" s="367"/>
      <c r="AA43" s="367"/>
      <c r="AB43" s="296"/>
      <c r="AC43" s="177"/>
      <c r="AD43" s="105"/>
    </row>
    <row r="44" spans="1:33" s="13" customFormat="1" ht="33.75" customHeight="1" hidden="1" thickBot="1" thickTop="1">
      <c r="A44" s="43"/>
      <c r="B44" s="117"/>
      <c r="C44" s="119" t="s">
        <v>31</v>
      </c>
      <c r="D44" s="121" t="s">
        <v>53</v>
      </c>
      <c r="E44" s="120" t="s">
        <v>21</v>
      </c>
      <c r="F44" s="122" t="s">
        <v>54</v>
      </c>
      <c r="G44" s="123" t="s">
        <v>32</v>
      </c>
      <c r="H44" s="184" t="s">
        <v>36</v>
      </c>
      <c r="I44" s="370"/>
      <c r="J44" s="120" t="s">
        <v>37</v>
      </c>
      <c r="K44" s="120" t="s">
        <v>38</v>
      </c>
      <c r="L44" s="121" t="s">
        <v>55</v>
      </c>
      <c r="M44" s="121" t="s">
        <v>40</v>
      </c>
      <c r="N44" s="113" t="s">
        <v>59</v>
      </c>
      <c r="O44" s="120" t="s">
        <v>44</v>
      </c>
      <c r="P44" s="371" t="s">
        <v>56</v>
      </c>
      <c r="Q44" s="372"/>
      <c r="R44" s="184" t="s">
        <v>79</v>
      </c>
      <c r="S44" s="286" t="s">
        <v>45</v>
      </c>
      <c r="T44" s="278" t="s">
        <v>80</v>
      </c>
      <c r="U44" s="279"/>
      <c r="V44" s="289" t="s">
        <v>47</v>
      </c>
      <c r="W44" s="373"/>
      <c r="X44" s="374"/>
      <c r="Y44" s="374"/>
      <c r="Z44" s="374"/>
      <c r="AA44" s="375"/>
      <c r="AB44" s="116"/>
      <c r="AC44" s="123"/>
      <c r="AD44" s="102"/>
      <c r="AF44"/>
      <c r="AG44"/>
    </row>
    <row r="45" spans="1:30" ht="16.5" customHeight="1" hidden="1" thickTop="1">
      <c r="A45" s="13"/>
      <c r="B45" s="83"/>
      <c r="C45" s="29"/>
      <c r="D45" s="29"/>
      <c r="E45" s="29"/>
      <c r="F45" s="29"/>
      <c r="G45" s="193"/>
      <c r="H45" s="263"/>
      <c r="I45" s="376"/>
      <c r="J45" s="29"/>
      <c r="K45" s="29"/>
      <c r="L45" s="29"/>
      <c r="M45" s="29"/>
      <c r="N45" s="29"/>
      <c r="O45" s="194"/>
      <c r="P45" s="377"/>
      <c r="Q45" s="378"/>
      <c r="R45" s="290"/>
      <c r="S45" s="291"/>
      <c r="T45" s="280"/>
      <c r="U45" s="281"/>
      <c r="V45" s="292"/>
      <c r="W45" s="379"/>
      <c r="X45" s="380"/>
      <c r="Y45" s="380"/>
      <c r="Z45" s="380"/>
      <c r="AA45" s="381"/>
      <c r="AB45" s="194"/>
      <c r="AC45" s="195"/>
      <c r="AD45" s="102"/>
    </row>
    <row r="46" spans="1:30" ht="16.5" customHeight="1" hidden="1">
      <c r="A46" s="13"/>
      <c r="B46" s="83"/>
      <c r="C46" s="29"/>
      <c r="D46" s="30"/>
      <c r="E46" s="31"/>
      <c r="F46" s="32"/>
      <c r="G46" s="33"/>
      <c r="H46" s="264" t="e">
        <f>F46*#REF!</f>
        <v>#REF!</v>
      </c>
      <c r="I46" s="382"/>
      <c r="J46" s="36"/>
      <c r="K46" s="36"/>
      <c r="L46" s="37">
        <f>IF(D46="","",(K46-J46)*24)</f>
      </c>
      <c r="M46" s="38">
        <f>IF(D46="","",(K46-J46)*24*60)</f>
      </c>
      <c r="N46" s="34"/>
      <c r="O46" s="39">
        <f>IF(D46="","",IF(N46="P","--","NO"))</f>
      </c>
      <c r="P46" s="383">
        <f>IF(D46="","","NO")</f>
      </c>
      <c r="Q46" s="384"/>
      <c r="R46" s="234">
        <f>200*IF(P46="SI",1,0.1)*IF(N46="P",0.1,1)</f>
        <v>20</v>
      </c>
      <c r="S46" s="287" t="str">
        <f>IF(N46="P",H46*R46*ROUND(M46/60,2),"--")</f>
        <v>--</v>
      </c>
      <c r="T46" s="282" t="str">
        <f>IF(AND(N46="F",O46="NO"),H46*R46,"--")</f>
        <v>--</v>
      </c>
      <c r="U46" s="283" t="str">
        <f>IF(N46="F",H46*R46*ROUND(M46/60,2),"--")</f>
        <v>--</v>
      </c>
      <c r="V46" s="232" t="str">
        <f>IF(N46="RF",H46*R46*ROUND(M46/60,2),"--")</f>
        <v>--</v>
      </c>
      <c r="W46" s="385"/>
      <c r="X46" s="386"/>
      <c r="Y46" s="386"/>
      <c r="Z46" s="386"/>
      <c r="AA46" s="387"/>
      <c r="AB46" s="40"/>
      <c r="AC46" s="124"/>
      <c r="AD46" s="105"/>
    </row>
    <row r="47" spans="1:30" ht="16.5" customHeight="1" hidden="1">
      <c r="A47" s="13"/>
      <c r="B47" s="83"/>
      <c r="C47" s="29"/>
      <c r="D47" s="30"/>
      <c r="E47" s="31"/>
      <c r="F47" s="32"/>
      <c r="G47" s="33"/>
      <c r="H47" s="264" t="e">
        <f>F47*#REF!</f>
        <v>#REF!</v>
      </c>
      <c r="I47" s="382"/>
      <c r="J47" s="35"/>
      <c r="K47" s="36"/>
      <c r="L47" s="37">
        <f>IF(D47="","",(K47-J47)*24)</f>
      </c>
      <c r="M47" s="38">
        <f>IF(D47="","",(K47-J47)*24*60)</f>
      </c>
      <c r="N47" s="34"/>
      <c r="O47" s="39">
        <f>IF(D47="","",IF(N47="P","--","NO"))</f>
      </c>
      <c r="P47" s="383">
        <f>IF(D47="","","NO")</f>
      </c>
      <c r="Q47" s="384"/>
      <c r="R47" s="234">
        <f>200*IF(P47="SI",1,0.1)*IF(N47="P",0.1,1)</f>
        <v>20</v>
      </c>
      <c r="S47" s="287" t="str">
        <f>IF(N47="P",H47*R47*ROUND(M47/60,2),"--")</f>
        <v>--</v>
      </c>
      <c r="T47" s="282" t="str">
        <f>IF(AND(N47="F",O47="NO"),H47*R47,"--")</f>
        <v>--</v>
      </c>
      <c r="U47" s="283" t="str">
        <f>IF(N47="F",H47*R47*ROUND(M47/60,2),"--")</f>
        <v>--</v>
      </c>
      <c r="V47" s="232" t="str">
        <f>IF(N47="RF",H47*R47*ROUND(M47/60,2),"--")</f>
        <v>--</v>
      </c>
      <c r="W47" s="385"/>
      <c r="X47" s="386"/>
      <c r="Y47" s="386"/>
      <c r="Z47" s="386"/>
      <c r="AA47" s="387"/>
      <c r="AB47" s="40"/>
      <c r="AC47" s="124"/>
      <c r="AD47" s="105"/>
    </row>
    <row r="48" spans="1:30" ht="16.5" customHeight="1" hidden="1">
      <c r="A48" s="13"/>
      <c r="B48" s="83"/>
      <c r="C48" s="29"/>
      <c r="D48" s="30"/>
      <c r="E48" s="31"/>
      <c r="F48" s="32"/>
      <c r="G48" s="33"/>
      <c r="H48" s="264" t="e">
        <f>F48*#REF!</f>
        <v>#REF!</v>
      </c>
      <c r="I48" s="382"/>
      <c r="J48" s="35"/>
      <c r="K48" s="36"/>
      <c r="L48" s="37">
        <f>IF(D48="","",(K48-J48)*24)</f>
      </c>
      <c r="M48" s="38">
        <f>IF(D48="","",(K48-J48)*24*60)</f>
      </c>
      <c r="N48" s="34"/>
      <c r="O48" s="39">
        <f>IF(D48="","",IF(N48="P","--","NO"))</f>
      </c>
      <c r="P48" s="383">
        <f>IF(D48="","","NO")</f>
      </c>
      <c r="Q48" s="384"/>
      <c r="R48" s="234">
        <f>200*IF(P48="SI",1,0.1)*IF(N48="P",0.1,1)</f>
        <v>20</v>
      </c>
      <c r="S48" s="287" t="str">
        <f>IF(N48="P",H48*R48*ROUND(M48/60,2),"--")</f>
        <v>--</v>
      </c>
      <c r="T48" s="282" t="str">
        <f>IF(AND(N48="F",O48="NO"),H48*R48,"--")</f>
        <v>--</v>
      </c>
      <c r="U48" s="283" t="str">
        <f>IF(N48="F",H48*R48*ROUND(M48/60,2),"--")</f>
        <v>--</v>
      </c>
      <c r="V48" s="232" t="str">
        <f>IF(N48="RF",H48*R48*ROUND(M48/60,2),"--")</f>
        <v>--</v>
      </c>
      <c r="W48" s="385"/>
      <c r="X48" s="386"/>
      <c r="Y48" s="386"/>
      <c r="Z48" s="386"/>
      <c r="AA48" s="387"/>
      <c r="AB48" s="40"/>
      <c r="AC48" s="124"/>
      <c r="AD48" s="105"/>
    </row>
    <row r="49" spans="1:30" ht="16.5" customHeight="1" hidden="1">
      <c r="A49" s="13"/>
      <c r="B49" s="83"/>
      <c r="C49" s="29"/>
      <c r="D49" s="30"/>
      <c r="E49" s="31"/>
      <c r="F49" s="32"/>
      <c r="G49" s="33"/>
      <c r="H49" s="264" t="e">
        <f>F49*#REF!</f>
        <v>#REF!</v>
      </c>
      <c r="I49" s="382"/>
      <c r="J49" s="35"/>
      <c r="K49" s="36"/>
      <c r="L49" s="37">
        <f>IF(D49="","",(K49-J49)*24)</f>
      </c>
      <c r="M49" s="38">
        <f>IF(D49="","",(K49-J49)*24*60)</f>
      </c>
      <c r="N49" s="34"/>
      <c r="O49" s="39">
        <f>IF(D49="","",IF(N49="P","--","NO"))</f>
      </c>
      <c r="P49" s="383">
        <f>IF(D49="","","NO")</f>
      </c>
      <c r="Q49" s="384"/>
      <c r="R49" s="234">
        <f>200*IF(P49="SI",1,0.1)*IF(N49="P",0.1,1)</f>
        <v>20</v>
      </c>
      <c r="S49" s="287" t="str">
        <f>IF(N49="P",H49*R49*ROUND(M49/60,2),"--")</f>
        <v>--</v>
      </c>
      <c r="T49" s="282" t="str">
        <f>IF(AND(N49="F",O49="NO"),H49*R49,"--")</f>
        <v>--</v>
      </c>
      <c r="U49" s="283" t="str">
        <f>IF(N49="F",H49*R49*ROUND(M49/60,2),"--")</f>
        <v>--</v>
      </c>
      <c r="V49" s="232" t="str">
        <f>IF(N49="RF",H49*R49*ROUND(M49/60,2),"--")</f>
        <v>--</v>
      </c>
      <c r="W49" s="385"/>
      <c r="X49" s="386"/>
      <c r="Y49" s="386"/>
      <c r="Z49" s="386"/>
      <c r="AA49" s="387"/>
      <c r="AB49" s="40"/>
      <c r="AC49" s="124"/>
      <c r="AD49" s="105"/>
    </row>
    <row r="50" spans="1:30" ht="16.5" customHeight="1" hidden="1" thickBot="1">
      <c r="A50" s="65"/>
      <c r="B50" s="83"/>
      <c r="C50" s="41"/>
      <c r="D50" s="196"/>
      <c r="E50" s="197"/>
      <c r="F50" s="198"/>
      <c r="G50" s="199"/>
      <c r="H50" s="265"/>
      <c r="I50" s="388"/>
      <c r="J50" s="200"/>
      <c r="K50" s="201"/>
      <c r="L50" s="202"/>
      <c r="M50" s="203"/>
      <c r="N50" s="42"/>
      <c r="O50" s="24"/>
      <c r="P50" s="389"/>
      <c r="Q50" s="390"/>
      <c r="R50" s="235"/>
      <c r="S50" s="288"/>
      <c r="T50" s="284"/>
      <c r="U50" s="285"/>
      <c r="V50" s="236"/>
      <c r="W50" s="391"/>
      <c r="X50" s="392"/>
      <c r="Y50" s="392"/>
      <c r="Z50" s="392"/>
      <c r="AA50" s="393"/>
      <c r="AB50" s="204"/>
      <c r="AC50" s="205"/>
      <c r="AD50" s="105"/>
    </row>
    <row r="51" spans="1:30" ht="16.5" customHeight="1" hidden="1" thickBot="1" thickTop="1">
      <c r="A51" s="65"/>
      <c r="B51" s="83"/>
      <c r="C51" s="118"/>
      <c r="D51" s="1"/>
      <c r="E51" s="1"/>
      <c r="F51" s="127"/>
      <c r="G51" s="206"/>
      <c r="H51" s="207"/>
      <c r="I51" s="208"/>
      <c r="J51" s="209"/>
      <c r="K51" s="210"/>
      <c r="L51" s="211"/>
      <c r="M51" s="207"/>
      <c r="N51" s="212"/>
      <c r="O51" s="27"/>
      <c r="P51" s="213"/>
      <c r="Q51" s="214"/>
      <c r="R51" s="215"/>
      <c r="S51" s="215"/>
      <c r="T51" s="215"/>
      <c r="U51" s="182"/>
      <c r="V51" s="182"/>
      <c r="W51" s="182"/>
      <c r="X51" s="182"/>
      <c r="Y51" s="182"/>
      <c r="Z51" s="182"/>
      <c r="AA51" s="182"/>
      <c r="AB51" s="182"/>
      <c r="AC51" s="216"/>
      <c r="AD51" s="105"/>
    </row>
    <row r="52" spans="1:30" ht="16.5" customHeight="1" thickBot="1" thickTop="1">
      <c r="A52" s="65"/>
      <c r="B52" s="83"/>
      <c r="C52" s="118"/>
      <c r="D52" s="1"/>
      <c r="E52" s="1"/>
      <c r="F52" s="127"/>
      <c r="G52" s="206"/>
      <c r="H52" s="207"/>
      <c r="I52" s="208"/>
      <c r="J52" s="331" t="s">
        <v>81</v>
      </c>
      <c r="K52" s="332">
        <f>+AC35+AC41</f>
        <v>629.0272603999999</v>
      </c>
      <c r="L52" s="211"/>
      <c r="M52" s="207"/>
      <c r="N52" s="394"/>
      <c r="O52" s="395"/>
      <c r="P52" s="213"/>
      <c r="Q52" s="214"/>
      <c r="R52" s="215"/>
      <c r="S52" s="215"/>
      <c r="T52" s="215"/>
      <c r="U52" s="182"/>
      <c r="V52" s="182"/>
      <c r="W52" s="182"/>
      <c r="X52" s="182"/>
      <c r="Y52" s="182"/>
      <c r="Z52" s="182"/>
      <c r="AA52" s="182"/>
      <c r="AB52" s="182"/>
      <c r="AC52" s="396"/>
      <c r="AD52" s="105"/>
    </row>
    <row r="53" spans="1:30" ht="13.5" customHeight="1" thickTop="1">
      <c r="A53" s="65"/>
      <c r="B53" s="152"/>
      <c r="C53" s="146"/>
      <c r="D53" s="153"/>
      <c r="E53" s="154"/>
      <c r="F53" s="155"/>
      <c r="G53" s="156"/>
      <c r="H53" s="156"/>
      <c r="I53" s="154"/>
      <c r="J53" s="134"/>
      <c r="K53" s="134"/>
      <c r="L53" s="154"/>
      <c r="M53" s="154"/>
      <c r="N53" s="154"/>
      <c r="O53" s="157"/>
      <c r="P53" s="154"/>
      <c r="Q53" s="154"/>
      <c r="R53" s="158"/>
      <c r="S53" s="159"/>
      <c r="T53" s="159"/>
      <c r="U53" s="160"/>
      <c r="AC53" s="160"/>
      <c r="AD53" s="163"/>
    </row>
    <row r="54" spans="1:30" ht="16.5" customHeight="1">
      <c r="A54" s="65"/>
      <c r="B54" s="152"/>
      <c r="C54" s="164" t="s">
        <v>82</v>
      </c>
      <c r="D54" s="165" t="s">
        <v>83</v>
      </c>
      <c r="E54" s="154"/>
      <c r="F54" s="155"/>
      <c r="G54" s="156"/>
      <c r="H54" s="156"/>
      <c r="I54" s="154"/>
      <c r="J54" s="134"/>
      <c r="K54" s="134"/>
      <c r="L54" s="154"/>
      <c r="M54" s="154"/>
      <c r="N54" s="154"/>
      <c r="O54" s="157"/>
      <c r="P54" s="154"/>
      <c r="Q54" s="154"/>
      <c r="R54" s="158"/>
      <c r="S54" s="159"/>
      <c r="T54" s="159"/>
      <c r="U54" s="160"/>
      <c r="AC54" s="160"/>
      <c r="AD54" s="163"/>
    </row>
    <row r="55" spans="1:30" ht="16.5" customHeight="1">
      <c r="A55" s="65"/>
      <c r="B55" s="152"/>
      <c r="C55" s="164"/>
      <c r="D55" s="153"/>
      <c r="E55" s="154"/>
      <c r="F55" s="155"/>
      <c r="G55" s="156"/>
      <c r="H55" s="156"/>
      <c r="I55" s="154"/>
      <c r="J55" s="134"/>
      <c r="K55" s="134"/>
      <c r="L55" s="154"/>
      <c r="M55" s="154"/>
      <c r="N55" s="154"/>
      <c r="O55" s="157"/>
      <c r="P55" s="154"/>
      <c r="Q55" s="154"/>
      <c r="R55" s="154"/>
      <c r="S55" s="158"/>
      <c r="T55" s="159"/>
      <c r="AD55" s="163"/>
    </row>
    <row r="56" spans="2:30" s="65" customFormat="1" ht="16.5" customHeight="1">
      <c r="B56" s="152"/>
      <c r="C56" s="146"/>
      <c r="D56" s="174" t="s">
        <v>24</v>
      </c>
      <c r="E56" s="149" t="s">
        <v>84</v>
      </c>
      <c r="F56" s="149" t="s">
        <v>85</v>
      </c>
      <c r="G56" s="306" t="s">
        <v>86</v>
      </c>
      <c r="H56" s="150"/>
      <c r="I56" s="149"/>
      <c r="J56"/>
      <c r="K56" s="501" t="s">
        <v>87</v>
      </c>
      <c r="L56" s="501"/>
      <c r="M56"/>
      <c r="O56" s="305" t="s">
        <v>94</v>
      </c>
      <c r="P56" s="166"/>
      <c r="Q56" s="167"/>
      <c r="R56" s="168"/>
      <c r="S56" s="67"/>
      <c r="T56"/>
      <c r="U56"/>
      <c r="V56"/>
      <c r="W56"/>
      <c r="X56" s="67"/>
      <c r="Y56" s="67"/>
      <c r="Z56" s="67"/>
      <c r="AA56" s="67"/>
      <c r="AB56" s="67"/>
      <c r="AC56" s="397" t="s">
        <v>88</v>
      </c>
      <c r="AD56" s="163"/>
    </row>
    <row r="57" spans="2:30" s="65" customFormat="1" ht="16.5" customHeight="1">
      <c r="B57" s="152"/>
      <c r="C57" s="146"/>
      <c r="D57" s="149" t="s">
        <v>107</v>
      </c>
      <c r="E57" s="401">
        <v>267</v>
      </c>
      <c r="F57" s="217">
        <v>500</v>
      </c>
      <c r="G57" s="299">
        <f>E57*$F$20*$L$21/100</f>
        <v>178721.61912000002</v>
      </c>
      <c r="H57" s="299">
        <f>F57*$F$20*$L$21/100</f>
        <v>334684.68</v>
      </c>
      <c r="I57" s="299">
        <f>G57*$F$20*$L$21/100</f>
        <v>119630775.80851816</v>
      </c>
      <c r="J57" s="3"/>
      <c r="K57" s="301">
        <f>379774+48480</f>
        <v>428254</v>
      </c>
      <c r="L57" s="3"/>
      <c r="M57" s="489" t="s">
        <v>150</v>
      </c>
      <c r="R57" s="168"/>
      <c r="S57" s="67"/>
      <c r="T57"/>
      <c r="U57"/>
      <c r="V57"/>
      <c r="W57"/>
      <c r="X57" s="67"/>
      <c r="Y57" s="67"/>
      <c r="Z57" s="67"/>
      <c r="AA57" s="67"/>
      <c r="AB57" s="398"/>
      <c r="AC57" s="275">
        <f>K57+G57</f>
        <v>606975.61912</v>
      </c>
      <c r="AD57" s="163"/>
    </row>
    <row r="58" spans="2:30" s="65" customFormat="1" ht="16.5" customHeight="1">
      <c r="B58" s="152"/>
      <c r="C58" s="146"/>
      <c r="D58" s="149" t="s">
        <v>108</v>
      </c>
      <c r="E58" s="401">
        <f>3*3.6</f>
        <v>10.8</v>
      </c>
      <c r="F58" s="217">
        <v>500</v>
      </c>
      <c r="G58" s="299">
        <f>E58*$F$20*$L$21/100</f>
        <v>7229.189088</v>
      </c>
      <c r="H58" s="170"/>
      <c r="I58" s="262"/>
      <c r="J58" s="3"/>
      <c r="K58" s="299">
        <f>5382+2696</f>
        <v>8078</v>
      </c>
      <c r="L58" s="3"/>
      <c r="M58" s="489" t="s">
        <v>150</v>
      </c>
      <c r="O58" s="169"/>
      <c r="P58"/>
      <c r="Q58" s="168"/>
      <c r="R58" s="168"/>
      <c r="S58" s="67"/>
      <c r="T58"/>
      <c r="U58"/>
      <c r="V58"/>
      <c r="W58"/>
      <c r="X58" s="67"/>
      <c r="Y58" s="67"/>
      <c r="Z58" s="67"/>
      <c r="AA58" s="67"/>
      <c r="AB58" s="67"/>
      <c r="AC58" s="275">
        <f>K58+G58</f>
        <v>15307.189088</v>
      </c>
      <c r="AD58" s="163"/>
    </row>
    <row r="59" spans="2:30" s="65" customFormat="1" ht="16.5" customHeight="1">
      <c r="B59" s="152"/>
      <c r="C59" s="146"/>
      <c r="E59" s="136"/>
      <c r="F59" s="149"/>
      <c r="G59" s="150"/>
      <c r="H59"/>
      <c r="I59" s="149"/>
      <c r="J59" s="149"/>
      <c r="K59"/>
      <c r="L59" s="275"/>
      <c r="M59" s="167"/>
      <c r="N59" s="167"/>
      <c r="O59" s="301">
        <v>0</v>
      </c>
      <c r="P59" s="3"/>
      <c r="Q59" s="304"/>
      <c r="R59" s="168"/>
      <c r="S59" s="67"/>
      <c r="T59"/>
      <c r="U59"/>
      <c r="V59"/>
      <c r="W59"/>
      <c r="X59" s="67"/>
      <c r="Y59" s="67"/>
      <c r="Z59" s="67"/>
      <c r="AA59" s="67"/>
      <c r="AB59" s="67"/>
      <c r="AC59" s="402">
        <f>+O59</f>
        <v>0</v>
      </c>
      <c r="AD59" s="163"/>
    </row>
    <row r="60" spans="1:30" ht="16.5" customHeight="1">
      <c r="A60" s="65"/>
      <c r="B60" s="152"/>
      <c r="C60" s="146"/>
      <c r="D60" s="134"/>
      <c r="E60" s="136"/>
      <c r="F60" s="149"/>
      <c r="G60" s="149"/>
      <c r="H60" s="150"/>
      <c r="J60" s="149"/>
      <c r="L60" s="171"/>
      <c r="M60" s="167"/>
      <c r="N60" s="167"/>
      <c r="O60" s="168"/>
      <c r="P60" s="168"/>
      <c r="Q60" s="168"/>
      <c r="R60" s="168"/>
      <c r="S60" s="168"/>
      <c r="AC60" s="273">
        <f>SUM(AC57:AC59)</f>
        <v>622282.808208</v>
      </c>
      <c r="AD60" s="163"/>
    </row>
    <row r="61" spans="2:30" ht="16.5" customHeight="1">
      <c r="B61" s="152"/>
      <c r="C61" s="164" t="s">
        <v>101</v>
      </c>
      <c r="D61" s="172" t="s">
        <v>102</v>
      </c>
      <c r="E61" s="149"/>
      <c r="F61" s="173"/>
      <c r="G61" s="135"/>
      <c r="H61" s="134"/>
      <c r="I61" s="134"/>
      <c r="J61" s="134"/>
      <c r="K61" s="149"/>
      <c r="L61" s="149"/>
      <c r="M61" s="134"/>
      <c r="N61" s="149"/>
      <c r="O61" s="134"/>
      <c r="P61" s="134"/>
      <c r="Q61" s="134"/>
      <c r="R61" s="134"/>
      <c r="S61" s="134"/>
      <c r="T61" s="134"/>
      <c r="U61" s="134"/>
      <c r="AC61" s="134"/>
      <c r="AD61" s="163"/>
    </row>
    <row r="62" spans="2:30" s="65" customFormat="1" ht="16.5" customHeight="1">
      <c r="B62" s="152"/>
      <c r="C62" s="146"/>
      <c r="D62" s="174" t="s">
        <v>103</v>
      </c>
      <c r="E62" s="175">
        <f>10*K52*K25/AC60</f>
        <v>313.59548672973733</v>
      </c>
      <c r="G62" s="135"/>
      <c r="L62" s="149"/>
      <c r="N62" s="149"/>
      <c r="O62" s="150"/>
      <c r="V62"/>
      <c r="W62"/>
      <c r="AD62" s="163"/>
    </row>
    <row r="63" spans="2:30" s="65" customFormat="1" ht="16.5" customHeight="1">
      <c r="B63" s="152"/>
      <c r="C63" s="146"/>
      <c r="E63" s="298"/>
      <c r="F63" s="148"/>
      <c r="G63" s="135"/>
      <c r="J63" s="135"/>
      <c r="K63" s="177"/>
      <c r="L63" s="149"/>
      <c r="M63" s="149"/>
      <c r="N63" s="149"/>
      <c r="O63" s="150"/>
      <c r="P63" s="149"/>
      <c r="Q63" s="149"/>
      <c r="R63" s="296"/>
      <c r="S63" s="296"/>
      <c r="T63" s="296"/>
      <c r="U63" s="297"/>
      <c r="V63"/>
      <c r="W63"/>
      <c r="AC63" s="297"/>
      <c r="AD63" s="163"/>
    </row>
    <row r="64" spans="2:30" ht="16.5" customHeight="1">
      <c r="B64" s="152"/>
      <c r="C64" s="146"/>
      <c r="D64" s="178" t="s">
        <v>109</v>
      </c>
      <c r="E64" s="176"/>
      <c r="F64" s="148"/>
      <c r="G64" s="135"/>
      <c r="H64" s="134"/>
      <c r="I64" s="134"/>
      <c r="N64" s="149"/>
      <c r="O64" s="150"/>
      <c r="P64" s="149"/>
      <c r="Q64" s="149"/>
      <c r="R64" s="166"/>
      <c r="S64" s="166"/>
      <c r="T64" s="166"/>
      <c r="U64" s="167"/>
      <c r="AC64" s="167"/>
      <c r="AD64" s="163"/>
    </row>
    <row r="65" spans="2:30" ht="16.5" customHeight="1" thickBot="1">
      <c r="B65" s="152"/>
      <c r="C65" s="146"/>
      <c r="D65" s="178"/>
      <c r="E65" s="176"/>
      <c r="F65" s="148"/>
      <c r="G65" s="135"/>
      <c r="H65" s="134"/>
      <c r="I65" s="134"/>
      <c r="N65" s="149"/>
      <c r="O65" s="150"/>
      <c r="P65" s="149"/>
      <c r="Q65" s="149"/>
      <c r="R65" s="166"/>
      <c r="S65" s="166"/>
      <c r="T65" s="166"/>
      <c r="U65" s="167"/>
      <c r="AC65" s="167"/>
      <c r="AD65" s="163"/>
    </row>
    <row r="66" spans="2:30" s="313" customFormat="1" ht="21" thickBot="1" thickTop="1">
      <c r="B66" s="307"/>
      <c r="C66" s="308"/>
      <c r="D66" s="309"/>
      <c r="E66" s="310"/>
      <c r="F66" s="311"/>
      <c r="G66" s="312"/>
      <c r="I66"/>
      <c r="J66" s="314" t="s">
        <v>105</v>
      </c>
      <c r="K66" s="315">
        <f>IF(E62&gt;3*K25,K25*3,E62)</f>
        <v>313.59548672973733</v>
      </c>
      <c r="M66" s="316"/>
      <c r="N66" s="316"/>
      <c r="O66" s="317"/>
      <c r="P66" s="316"/>
      <c r="Q66" s="316"/>
      <c r="R66" s="318"/>
      <c r="S66" s="318"/>
      <c r="T66" s="318"/>
      <c r="U66" s="319"/>
      <c r="V66"/>
      <c r="W66"/>
      <c r="AC66" s="319"/>
      <c r="AD66" s="320"/>
    </row>
    <row r="67" spans="2:30" ht="16.5" customHeight="1" thickBot="1" thickTop="1">
      <c r="B67" s="87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183"/>
      <c r="W67" s="183"/>
      <c r="X67" s="183"/>
      <c r="Y67" s="183"/>
      <c r="Z67" s="183"/>
      <c r="AA67" s="183"/>
      <c r="AB67" s="183"/>
      <c r="AC67" s="89"/>
      <c r="AD67" s="179"/>
    </row>
    <row r="68" spans="2:23" ht="16.5" customHeight="1" thickTop="1">
      <c r="B68" s="9"/>
      <c r="C68" s="399"/>
      <c r="W68" s="9"/>
    </row>
  </sheetData>
  <sheetProtection password="CC12"/>
  <mergeCells count="9">
    <mergeCell ref="K56:L56"/>
    <mergeCell ref="F40:G40"/>
    <mergeCell ref="P40:Q40"/>
    <mergeCell ref="F37:G37"/>
    <mergeCell ref="F38:G38"/>
    <mergeCell ref="P37:Q37"/>
    <mergeCell ref="P38:Q38"/>
    <mergeCell ref="F39:G39"/>
    <mergeCell ref="P39:Q3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4"/>
  <sheetViews>
    <sheetView zoomScale="75" zoomScaleNormal="75" workbookViewId="0" topLeftCell="C10">
      <selection activeCell="L21" sqref="L21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AD1" s="444"/>
    </row>
    <row r="2" spans="1:23" ht="27" customHeight="1">
      <c r="A2" s="4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30" customFormat="1" ht="30.75">
      <c r="A3" s="327"/>
      <c r="B3" s="328" t="str">
        <f>+'tot-0510-SUP'!B2</f>
        <v>ANEXO V.1.b.  a la Resolución E.N.R.E.   N° 122 /2008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B3" s="329"/>
      <c r="AC3" s="329"/>
      <c r="AD3" s="329"/>
    </row>
    <row r="4" spans="1:2" s="58" customFormat="1" ht="11.25">
      <c r="A4" s="403" t="s">
        <v>22</v>
      </c>
      <c r="B4" s="415"/>
    </row>
    <row r="5" spans="1:2" s="58" customFormat="1" ht="12" thickBot="1">
      <c r="A5" s="403" t="s">
        <v>23</v>
      </c>
      <c r="B5" s="403"/>
    </row>
    <row r="6" spans="1:30" ht="16.5" customHeight="1" thickTop="1">
      <c r="A6" s="13"/>
      <c r="B6" s="98"/>
      <c r="C6" s="99"/>
      <c r="D6" s="99"/>
      <c r="E6" s="10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80"/>
      <c r="X6" s="180"/>
      <c r="Y6" s="180"/>
      <c r="Z6" s="180"/>
      <c r="AA6" s="180"/>
      <c r="AB6" s="180"/>
      <c r="AC6" s="180"/>
      <c r="AD6" s="101"/>
    </row>
    <row r="7" spans="1:30" ht="20.25">
      <c r="A7" s="13"/>
      <c r="B7" s="83"/>
      <c r="C7" s="11"/>
      <c r="D7" s="4" t="s">
        <v>60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0"/>
      <c r="Q7" s="130"/>
      <c r="R7" s="11"/>
      <c r="S7" s="11"/>
      <c r="T7" s="11"/>
      <c r="U7" s="11"/>
      <c r="V7" s="11"/>
      <c r="AD7" s="102"/>
    </row>
    <row r="8" spans="1:30" ht="16.5" customHeight="1">
      <c r="A8" s="13"/>
      <c r="B8" s="8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2"/>
    </row>
    <row r="9" spans="2:30" s="12" customFormat="1" ht="20.25">
      <c r="B9" s="78"/>
      <c r="C9" s="77"/>
      <c r="D9" s="4" t="s">
        <v>61</v>
      </c>
      <c r="E9" s="77"/>
      <c r="F9" s="77"/>
      <c r="G9" s="77"/>
      <c r="H9" s="77"/>
      <c r="N9" s="77"/>
      <c r="O9" s="77"/>
      <c r="P9" s="188"/>
      <c r="Q9" s="188"/>
      <c r="R9" s="77"/>
      <c r="S9" s="77"/>
      <c r="T9" s="77"/>
      <c r="U9" s="77"/>
      <c r="V9" s="77"/>
      <c r="W9"/>
      <c r="X9" s="77"/>
      <c r="Y9" s="77"/>
      <c r="Z9" s="77"/>
      <c r="AA9" s="77"/>
      <c r="AB9" s="77"/>
      <c r="AC9"/>
      <c r="AD9" s="189"/>
    </row>
    <row r="10" spans="1:30" ht="16.5" customHeight="1">
      <c r="A10" s="13"/>
      <c r="B10" s="8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2"/>
    </row>
    <row r="11" spans="2:30" s="12" customFormat="1" ht="20.25">
      <c r="B11" s="78"/>
      <c r="C11" s="77"/>
      <c r="D11" s="4" t="s">
        <v>125</v>
      </c>
      <c r="E11" s="77"/>
      <c r="F11" s="77"/>
      <c r="G11" s="77"/>
      <c r="H11" s="77"/>
      <c r="N11" s="77"/>
      <c r="O11" s="77"/>
      <c r="P11" s="188"/>
      <c r="Q11" s="188"/>
      <c r="R11" s="77"/>
      <c r="S11" s="77"/>
      <c r="T11" s="77"/>
      <c r="U11" s="77"/>
      <c r="V11" s="77"/>
      <c r="W11"/>
      <c r="X11" s="77"/>
      <c r="Y11" s="77"/>
      <c r="Z11" s="77"/>
      <c r="AA11" s="77"/>
      <c r="AB11" s="77"/>
      <c r="AC11"/>
      <c r="AD11" s="189"/>
    </row>
    <row r="12" spans="1:30" ht="16.5" customHeight="1">
      <c r="A12" s="13"/>
      <c r="B12" s="83"/>
      <c r="C12" s="11"/>
      <c r="D12" s="11"/>
      <c r="E12" s="13"/>
      <c r="F12" s="13"/>
      <c r="G12" s="13"/>
      <c r="H12" s="13"/>
      <c r="I12" s="103"/>
      <c r="J12" s="103"/>
      <c r="K12" s="103"/>
      <c r="L12" s="103"/>
      <c r="M12" s="103"/>
      <c r="N12" s="103"/>
      <c r="O12" s="103"/>
      <c r="P12" s="103"/>
      <c r="Q12" s="103"/>
      <c r="R12" s="11"/>
      <c r="S12" s="11"/>
      <c r="T12" s="11"/>
      <c r="U12" s="11"/>
      <c r="V12" s="11"/>
      <c r="AD12" s="102"/>
    </row>
    <row r="13" spans="2:30" s="12" customFormat="1" ht="19.5">
      <c r="B13" s="71" t="str">
        <f>+'tot-0510-SUP'!B14</f>
        <v>Desde el 01 al 31 de octubre de 2005</v>
      </c>
      <c r="C13" s="72"/>
      <c r="D13" s="74"/>
      <c r="E13" s="74"/>
      <c r="F13" s="74"/>
      <c r="G13" s="74"/>
      <c r="H13" s="74"/>
      <c r="I13" s="75"/>
      <c r="J13" s="3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91"/>
      <c r="V13" s="191"/>
      <c r="W13"/>
      <c r="X13" s="192"/>
      <c r="Y13" s="192"/>
      <c r="Z13" s="192"/>
      <c r="AA13" s="192"/>
      <c r="AB13" s="191"/>
      <c r="AC13" s="3"/>
      <c r="AD13" s="76"/>
    </row>
    <row r="14" spans="1:30" ht="16.5" customHeight="1">
      <c r="A14" s="13"/>
      <c r="B14" s="83"/>
      <c r="C14" s="11"/>
      <c r="D14" s="11"/>
      <c r="E14" s="2"/>
      <c r="F14" s="2"/>
      <c r="G14" s="11"/>
      <c r="H14" s="11"/>
      <c r="I14" s="11"/>
      <c r="J14" s="131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AD14" s="102"/>
    </row>
    <row r="15" spans="1:30" ht="16.5" customHeight="1">
      <c r="A15" s="13"/>
      <c r="B15" s="83"/>
      <c r="C15" s="11"/>
      <c r="D15" s="11"/>
      <c r="E15" s="2"/>
      <c r="F15" s="2"/>
      <c r="G15" s="11"/>
      <c r="H15" s="11"/>
      <c r="I15" s="132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AD15" s="102"/>
    </row>
    <row r="16" spans="1:30" ht="16.5" customHeight="1">
      <c r="A16" s="13"/>
      <c r="B16" s="83"/>
      <c r="C16" s="11"/>
      <c r="D16" s="11"/>
      <c r="E16" s="2"/>
      <c r="F16" s="2"/>
      <c r="G16" s="11"/>
      <c r="H16" s="11"/>
      <c r="I16" s="132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AD16" s="102"/>
    </row>
    <row r="17" spans="1:30" ht="16.5" customHeight="1">
      <c r="A17" s="13"/>
      <c r="B17" s="83"/>
      <c r="C17" s="303" t="s">
        <v>62</v>
      </c>
      <c r="D17" s="10" t="s">
        <v>63</v>
      </c>
      <c r="E17" s="2"/>
      <c r="F17" s="2"/>
      <c r="G17" s="11"/>
      <c r="H17" s="11"/>
      <c r="I17" s="11"/>
      <c r="J17" s="131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AD17" s="102"/>
    </row>
    <row r="18" spans="2:30" s="65" customFormat="1" ht="16.5" customHeight="1">
      <c r="B18" s="152"/>
      <c r="C18" s="67"/>
      <c r="D18" s="272"/>
      <c r="E18" s="273"/>
      <c r="F18" s="146"/>
      <c r="G18" s="67"/>
      <c r="H18" s="67"/>
      <c r="I18" s="67"/>
      <c r="J18" s="293"/>
      <c r="K18" s="67"/>
      <c r="L18" s="67"/>
      <c r="M18" s="67"/>
      <c r="P18" s="67"/>
      <c r="Q18" s="67"/>
      <c r="R18" s="67"/>
      <c r="S18" s="67"/>
      <c r="T18" s="67"/>
      <c r="U18" s="67"/>
      <c r="V18" s="67"/>
      <c r="W18"/>
      <c r="AD18" s="294"/>
    </row>
    <row r="19" spans="2:30" s="65" customFormat="1" ht="16.5" customHeight="1">
      <c r="B19" s="152"/>
      <c r="C19" s="67"/>
      <c r="D19" s="274" t="s">
        <v>64</v>
      </c>
      <c r="F19" s="321">
        <v>89.969</v>
      </c>
      <c r="G19" s="274" t="s">
        <v>65</v>
      </c>
      <c r="H19" s="67"/>
      <c r="I19" s="67"/>
      <c r="J19" s="136"/>
      <c r="K19" s="276" t="s">
        <v>66</v>
      </c>
      <c r="L19" s="277">
        <v>0.04</v>
      </c>
      <c r="R19" s="67"/>
      <c r="S19" s="67"/>
      <c r="T19" s="67"/>
      <c r="U19" s="67"/>
      <c r="V19" s="67"/>
      <c r="W19"/>
      <c r="AD19" s="294"/>
    </row>
    <row r="20" spans="2:30" s="65" customFormat="1" ht="16.5" customHeight="1">
      <c r="B20" s="152"/>
      <c r="C20" s="67"/>
      <c r="D20" s="274" t="s">
        <v>67</v>
      </c>
      <c r="F20" s="321">
        <v>0.245</v>
      </c>
      <c r="G20" s="274" t="s">
        <v>68</v>
      </c>
      <c r="H20" s="67"/>
      <c r="I20" s="67"/>
      <c r="J20" s="67"/>
      <c r="K20" s="272" t="s">
        <v>69</v>
      </c>
      <c r="L20" s="67">
        <v>744</v>
      </c>
      <c r="M20" s="67" t="s">
        <v>70</v>
      </c>
      <c r="N20" s="67"/>
      <c r="O20" s="67"/>
      <c r="P20" s="295"/>
      <c r="Q20" s="67"/>
      <c r="R20" s="67"/>
      <c r="S20" s="67"/>
      <c r="T20" s="67"/>
      <c r="U20" s="67"/>
      <c r="V20" s="67"/>
      <c r="W20"/>
      <c r="AD20" s="294"/>
    </row>
    <row r="21" spans="2:30" s="65" customFormat="1" ht="16.5" customHeight="1">
      <c r="B21" s="152"/>
      <c r="C21" s="67"/>
      <c r="D21" s="274" t="s">
        <v>71</v>
      </c>
      <c r="F21" s="321">
        <v>39.254</v>
      </c>
      <c r="G21" s="274" t="s">
        <v>136</v>
      </c>
      <c r="H21" s="67"/>
      <c r="I21" s="67"/>
      <c r="J21" s="67"/>
      <c r="K21" s="445"/>
      <c r="L21" s="446"/>
      <c r="M21" s="67"/>
      <c r="N21" s="67"/>
      <c r="O21" s="67"/>
      <c r="P21" s="295"/>
      <c r="Q21" s="67"/>
      <c r="R21" s="67"/>
      <c r="S21" s="67"/>
      <c r="T21" s="67"/>
      <c r="U21" s="67"/>
      <c r="V21" s="67"/>
      <c r="W21"/>
      <c r="AD21" s="294"/>
    </row>
    <row r="22" spans="2:30" s="65" customFormat="1" ht="16.5" customHeight="1">
      <c r="B22" s="152"/>
      <c r="C22" s="67"/>
      <c r="D22" s="274" t="s">
        <v>137</v>
      </c>
      <c r="F22" s="321">
        <v>49.065</v>
      </c>
      <c r="G22" s="274" t="s">
        <v>136</v>
      </c>
      <c r="H22" s="67"/>
      <c r="I22" s="67"/>
      <c r="J22" s="67"/>
      <c r="K22" s="445"/>
      <c r="L22" s="446"/>
      <c r="M22" s="67"/>
      <c r="N22" s="67"/>
      <c r="O22" s="67"/>
      <c r="P22" s="295"/>
      <c r="Q22" s="67"/>
      <c r="R22" s="67"/>
      <c r="S22" s="67"/>
      <c r="T22" s="67"/>
      <c r="U22" s="67"/>
      <c r="V22" s="67"/>
      <c r="W22"/>
      <c r="AD22" s="294"/>
    </row>
    <row r="23" spans="2:30" s="65" customFormat="1" ht="8.25" customHeight="1">
      <c r="B23" s="152"/>
      <c r="C23" s="67"/>
      <c r="D23" s="67"/>
      <c r="E23" s="148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/>
      <c r="AD23" s="294"/>
    </row>
    <row r="24" spans="1:30" ht="16.5" customHeight="1">
      <c r="A24" s="13"/>
      <c r="B24" s="83"/>
      <c r="C24" s="303" t="s">
        <v>72</v>
      </c>
      <c r="D24" s="66" t="s">
        <v>73</v>
      </c>
      <c r="I24" s="11"/>
      <c r="J24" s="65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2"/>
    </row>
    <row r="25" spans="1:30" ht="10.5" customHeight="1" thickBot="1">
      <c r="A25" s="13"/>
      <c r="B25" s="83"/>
      <c r="C25" s="2"/>
      <c r="D25" s="66"/>
      <c r="I25" s="11"/>
      <c r="J25" s="65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2"/>
    </row>
    <row r="26" spans="2:30" s="65" customFormat="1" ht="16.5" customHeight="1" thickBot="1" thickTop="1">
      <c r="B26" s="152"/>
      <c r="C26" s="146"/>
      <c r="D26"/>
      <c r="E26"/>
      <c r="F26"/>
      <c r="G26"/>
      <c r="H26"/>
      <c r="I26"/>
      <c r="J26" s="331" t="s">
        <v>74</v>
      </c>
      <c r="K26" s="332">
        <f>L19*AC56</f>
        <v>21176.931670399998</v>
      </c>
      <c r="L26"/>
      <c r="S26"/>
      <c r="T26"/>
      <c r="U26"/>
      <c r="W26"/>
      <c r="AD26" s="294"/>
    </row>
    <row r="27" spans="2:30" s="65" customFormat="1" ht="11.25" customHeight="1" thickTop="1">
      <c r="B27" s="152"/>
      <c r="C27" s="146"/>
      <c r="D27" s="67"/>
      <c r="E27" s="148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/>
      <c r="W27"/>
      <c r="AD27" s="294"/>
    </row>
    <row r="28" spans="1:30" ht="16.5" customHeight="1">
      <c r="A28" s="13"/>
      <c r="B28" s="83"/>
      <c r="C28" s="303" t="s">
        <v>75</v>
      </c>
      <c r="D28" s="66" t="s">
        <v>76</v>
      </c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2"/>
    </row>
    <row r="29" spans="1:30" ht="21.75" customHeight="1" thickBot="1">
      <c r="A29" s="13"/>
      <c r="B29" s="83"/>
      <c r="C29" s="11"/>
      <c r="D29" s="11"/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2"/>
    </row>
    <row r="30" spans="2:31" s="13" customFormat="1" ht="33.75" customHeight="1" thickBot="1" thickTop="1">
      <c r="B30" s="83"/>
      <c r="C30" s="106" t="s">
        <v>31</v>
      </c>
      <c r="D30" s="190" t="s">
        <v>24</v>
      </c>
      <c r="E30" s="111" t="s">
        <v>32</v>
      </c>
      <c r="F30" s="112" t="s">
        <v>33</v>
      </c>
      <c r="G30" s="107" t="s">
        <v>34</v>
      </c>
      <c r="H30" s="221" t="s">
        <v>35</v>
      </c>
      <c r="I30" s="224" t="s">
        <v>36</v>
      </c>
      <c r="J30" s="108" t="s">
        <v>37</v>
      </c>
      <c r="K30" s="109" t="s">
        <v>38</v>
      </c>
      <c r="L30" s="113" t="s">
        <v>39</v>
      </c>
      <c r="M30" s="114" t="s">
        <v>40</v>
      </c>
      <c r="N30" s="113" t="s">
        <v>77</v>
      </c>
      <c r="O30" s="113" t="s">
        <v>42</v>
      </c>
      <c r="P30" s="109" t="s">
        <v>43</v>
      </c>
      <c r="Q30" s="108" t="s">
        <v>44</v>
      </c>
      <c r="R30" s="252" t="s">
        <v>45</v>
      </c>
      <c r="S30" s="253" t="s">
        <v>46</v>
      </c>
      <c r="T30" s="248" t="s">
        <v>52</v>
      </c>
      <c r="U30" s="249"/>
      <c r="V30" s="250"/>
      <c r="W30" s="254" t="s">
        <v>78</v>
      </c>
      <c r="X30" s="255"/>
      <c r="Y30" s="256"/>
      <c r="Z30" s="258" t="s">
        <v>47</v>
      </c>
      <c r="AA30" s="260" t="s">
        <v>50</v>
      </c>
      <c r="AB30" s="115" t="s">
        <v>48</v>
      </c>
      <c r="AC30" s="123" t="s">
        <v>49</v>
      </c>
      <c r="AD30" s="104"/>
      <c r="AE30"/>
    </row>
    <row r="31" spans="1:30" ht="16.5" customHeight="1" thickTop="1">
      <c r="A31" s="13"/>
      <c r="B31" s="83"/>
      <c r="C31" s="138"/>
      <c r="D31" s="138"/>
      <c r="E31" s="139"/>
      <c r="F31" s="140"/>
      <c r="G31" s="243"/>
      <c r="H31" s="244"/>
      <c r="I31" s="245"/>
      <c r="J31" s="240"/>
      <c r="K31" s="141"/>
      <c r="L31" s="14"/>
      <c r="M31" s="14"/>
      <c r="N31" s="50"/>
      <c r="O31" s="50"/>
      <c r="P31" s="14"/>
      <c r="Q31" s="220"/>
      <c r="R31" s="333"/>
      <c r="S31" s="334"/>
      <c r="T31" s="335"/>
      <c r="U31" s="300"/>
      <c r="V31" s="336"/>
      <c r="W31" s="337"/>
      <c r="X31" s="338"/>
      <c r="Y31" s="339"/>
      <c r="Z31" s="340"/>
      <c r="AA31" s="341"/>
      <c r="AB31" s="342"/>
      <c r="AC31" s="343"/>
      <c r="AD31" s="102"/>
    </row>
    <row r="32" spans="1:30" ht="16.5" customHeight="1">
      <c r="A32" s="13"/>
      <c r="B32" s="83"/>
      <c r="C32" s="14"/>
      <c r="D32" s="14"/>
      <c r="E32" s="16"/>
      <c r="F32" s="15"/>
      <c r="G32" s="219"/>
      <c r="H32" s="241">
        <f>IF(G32="A",200,IF(G32="B",60,20))</f>
        <v>20</v>
      </c>
      <c r="I32" s="238">
        <f>IF(F32&gt;100,F32,100)*$F$19/100</f>
        <v>89.969</v>
      </c>
      <c r="J32" s="242"/>
      <c r="K32" s="18"/>
      <c r="L32" s="344">
        <f>IF(D32="","",(K32-J32)*24)</f>
      </c>
      <c r="M32" s="23">
        <f>IF(D32="","",ROUND((K32-J32)*24*60,0))</f>
      </c>
      <c r="N32" s="20"/>
      <c r="O32" s="21">
        <f>IF(D32="","","--")</f>
      </c>
      <c r="P32" s="17">
        <f>IF(D32="","","NO")</f>
      </c>
      <c r="Q32" s="17">
        <f>IF(D32="","",IF(OR(N32="P",N32="RP"),"--","NO"))</f>
      </c>
      <c r="R32" s="345" t="str">
        <f>IF(N32="P",+I32*H32*ROUND(M32/60,2)/100,"--")</f>
        <v>--</v>
      </c>
      <c r="S32" s="346" t="str">
        <f>IF(N32="RP",I32*H32*ROUND(M32/60,2)*0.01*O32/100,"--")</f>
        <v>--</v>
      </c>
      <c r="T32" s="347" t="str">
        <f>IF(AND(N32="F",Q32="NO"),IF(P32="SI",1.2,1)*I32*H32,"--")</f>
        <v>--</v>
      </c>
      <c r="U32" s="348" t="str">
        <f>IF(AND(M32&gt;10,N32="F"),IF(M32&lt;=300,ROUND(M32/60,2),5)*I32*H32*IF(P32="SI",1.2,1),"--")</f>
        <v>--</v>
      </c>
      <c r="V32" s="349" t="str">
        <f>IF(AND(N32="F",M32&gt;300),IF(P32="SI",1.2,1)*(ROUND(M32/60,2)-5)*I32*H32*0.1,"--")</f>
        <v>--</v>
      </c>
      <c r="W32" s="350" t="str">
        <f>IF(AND(N32="R",Q32="NO"),IF(P32="SI",1.2,1)*I32*H32*O32/100,"--")</f>
        <v>--</v>
      </c>
      <c r="X32" s="351" t="str">
        <f>IF(AND(M32&gt;10,N32="R"),IF(M32&lt;=300,ROUND(M32/60,2),5)*I32*H32*O32/100*IF(P32="SI",1.2,1),"--")</f>
        <v>--</v>
      </c>
      <c r="Y32" s="352" t="str">
        <f>IF(AND(N32="R",M32&gt;300),IF(P32="SI",1.2,1)*(ROUND(M32/60,2)-5)*I32*H32*O32/100*0.1,"--")</f>
        <v>--</v>
      </c>
      <c r="Z32" s="353" t="str">
        <f>IF(N32="RF",IF(P32="SI",1.2,1)*ROUND(M32/60,2)*I32*H32*0.1,"--")</f>
        <v>--</v>
      </c>
      <c r="AA32" s="354" t="str">
        <f>IF(N32="RR",IF(P32="SI",1.2,1)*ROUND(M32/60,2)*I32*H32*O32/100*0.1,"--")</f>
        <v>--</v>
      </c>
      <c r="AB32" s="186">
        <f>IF(D32="","","SI")</f>
      </c>
      <c r="AC32" s="22">
        <f>IF(D32="","",SUM(R32:AA32)*IF(AB32="SI",1,2))</f>
      </c>
      <c r="AD32" s="105"/>
    </row>
    <row r="33" spans="1:30" ht="16.5" customHeight="1" thickBot="1">
      <c r="A33" s="65"/>
      <c r="B33" s="83"/>
      <c r="C33" s="137"/>
      <c r="D33" s="137"/>
      <c r="E33" s="142"/>
      <c r="F33" s="143"/>
      <c r="G33" s="144"/>
      <c r="H33" s="237"/>
      <c r="I33" s="239"/>
      <c r="J33" s="145"/>
      <c r="K33" s="145"/>
      <c r="L33" s="24"/>
      <c r="M33" s="24"/>
      <c r="N33" s="24"/>
      <c r="O33" s="25"/>
      <c r="P33" s="24"/>
      <c r="Q33" s="24"/>
      <c r="R33" s="355"/>
      <c r="S33" s="356"/>
      <c r="T33" s="357"/>
      <c r="U33" s="358"/>
      <c r="V33" s="359"/>
      <c r="W33" s="360"/>
      <c r="X33" s="361"/>
      <c r="Y33" s="362"/>
      <c r="Z33" s="363"/>
      <c r="AA33" s="364"/>
      <c r="AB33" s="26"/>
      <c r="AC33" s="365"/>
      <c r="AD33" s="105"/>
    </row>
    <row r="34" spans="1:30" ht="16.5" customHeight="1" thickBot="1" thickTop="1">
      <c r="A34" s="65"/>
      <c r="B34" s="83"/>
      <c r="C34" s="146"/>
      <c r="D34" s="146"/>
      <c r="E34" s="147"/>
      <c r="F34" s="148"/>
      <c r="G34" s="135"/>
      <c r="H34" s="135"/>
      <c r="I34" s="149"/>
      <c r="J34" s="149"/>
      <c r="K34" s="149"/>
      <c r="L34" s="149"/>
      <c r="M34" s="149"/>
      <c r="N34" s="149"/>
      <c r="O34" s="150"/>
      <c r="P34" s="149"/>
      <c r="Q34" s="149"/>
      <c r="R34" s="246">
        <f aca="true" t="shared" si="0" ref="R34:AA34">SUM(R31:R33)</f>
        <v>0</v>
      </c>
      <c r="S34" s="247">
        <f t="shared" si="0"/>
        <v>0</v>
      </c>
      <c r="T34" s="251">
        <f t="shared" si="0"/>
        <v>0</v>
      </c>
      <c r="U34" s="251">
        <f t="shared" si="0"/>
        <v>0</v>
      </c>
      <c r="V34" s="251">
        <f t="shared" si="0"/>
        <v>0</v>
      </c>
      <c r="W34" s="257">
        <f t="shared" si="0"/>
        <v>0</v>
      </c>
      <c r="X34" s="257">
        <f t="shared" si="0"/>
        <v>0</v>
      </c>
      <c r="Y34" s="257">
        <f t="shared" si="0"/>
        <v>0</v>
      </c>
      <c r="Z34" s="259">
        <f t="shared" si="0"/>
        <v>0</v>
      </c>
      <c r="AA34" s="261">
        <f t="shared" si="0"/>
        <v>0</v>
      </c>
      <c r="AB34" s="151"/>
      <c r="AC34" s="366">
        <f>SUM(AC31:AC33)</f>
        <v>0</v>
      </c>
      <c r="AD34" s="105"/>
    </row>
    <row r="35" spans="1:30" ht="13.5" customHeight="1" thickBot="1" thickTop="1">
      <c r="A35" s="65"/>
      <c r="B35" s="83"/>
      <c r="C35" s="146"/>
      <c r="D35" s="146"/>
      <c r="E35" s="147"/>
      <c r="F35" s="148"/>
      <c r="G35" s="135"/>
      <c r="H35" s="135"/>
      <c r="I35" s="149"/>
      <c r="J35" s="149"/>
      <c r="K35" s="149"/>
      <c r="L35" s="149"/>
      <c r="M35" s="149"/>
      <c r="N35" s="149"/>
      <c r="O35" s="150"/>
      <c r="P35" s="149"/>
      <c r="Q35" s="149"/>
      <c r="R35" s="367"/>
      <c r="S35" s="368"/>
      <c r="T35" s="369"/>
      <c r="U35" s="369"/>
      <c r="V35" s="369"/>
      <c r="W35" s="367"/>
      <c r="X35" s="367"/>
      <c r="Y35" s="367"/>
      <c r="Z35" s="367"/>
      <c r="AA35" s="367"/>
      <c r="AB35" s="296"/>
      <c r="AC35" s="177"/>
      <c r="AD35" s="105"/>
    </row>
    <row r="36" spans="1:33" s="13" customFormat="1" ht="33.75" customHeight="1" thickBot="1" thickTop="1">
      <c r="A36" s="43"/>
      <c r="B36" s="117"/>
      <c r="C36" s="119" t="s">
        <v>31</v>
      </c>
      <c r="D36" s="121" t="s">
        <v>53</v>
      </c>
      <c r="E36" s="120" t="s">
        <v>21</v>
      </c>
      <c r="F36" s="122" t="s">
        <v>54</v>
      </c>
      <c r="G36" s="123" t="s">
        <v>32</v>
      </c>
      <c r="H36" s="184" t="s">
        <v>36</v>
      </c>
      <c r="I36" s="370"/>
      <c r="J36" s="120" t="s">
        <v>37</v>
      </c>
      <c r="K36" s="120" t="s">
        <v>38</v>
      </c>
      <c r="L36" s="121" t="s">
        <v>55</v>
      </c>
      <c r="M36" s="121" t="s">
        <v>40</v>
      </c>
      <c r="N36" s="113" t="s">
        <v>59</v>
      </c>
      <c r="O36" s="120" t="s">
        <v>44</v>
      </c>
      <c r="P36" s="371" t="s">
        <v>56</v>
      </c>
      <c r="Q36" s="372"/>
      <c r="R36" s="184" t="s">
        <v>79</v>
      </c>
      <c r="S36" s="286" t="s">
        <v>45</v>
      </c>
      <c r="T36" s="278" t="s">
        <v>80</v>
      </c>
      <c r="U36" s="279"/>
      <c r="V36" s="289" t="s">
        <v>47</v>
      </c>
      <c r="W36" s="373"/>
      <c r="X36" s="374"/>
      <c r="Y36" s="374"/>
      <c r="Z36" s="374"/>
      <c r="AA36" s="375"/>
      <c r="AB36" s="116" t="s">
        <v>48</v>
      </c>
      <c r="AC36" s="123" t="s">
        <v>49</v>
      </c>
      <c r="AD36" s="102"/>
      <c r="AF36"/>
      <c r="AG36"/>
    </row>
    <row r="37" spans="1:30" ht="16.5" customHeight="1" thickTop="1">
      <c r="A37" s="13"/>
      <c r="B37" s="83"/>
      <c r="C37" s="29"/>
      <c r="D37" s="29"/>
      <c r="E37" s="29"/>
      <c r="F37" s="29"/>
      <c r="G37" s="193"/>
      <c r="H37" s="263"/>
      <c r="I37" s="376"/>
      <c r="J37" s="29"/>
      <c r="K37" s="29"/>
      <c r="L37" s="29"/>
      <c r="M37" s="29"/>
      <c r="N37" s="29"/>
      <c r="O37" s="194"/>
      <c r="P37" s="377"/>
      <c r="Q37" s="378"/>
      <c r="R37" s="290"/>
      <c r="S37" s="291"/>
      <c r="T37" s="280"/>
      <c r="U37" s="281"/>
      <c r="V37" s="292"/>
      <c r="W37" s="379"/>
      <c r="X37" s="380"/>
      <c r="Y37" s="380"/>
      <c r="Z37" s="380"/>
      <c r="AA37" s="381"/>
      <c r="AB37" s="194"/>
      <c r="AC37" s="195"/>
      <c r="AD37" s="102"/>
    </row>
    <row r="38" spans="1:30" ht="16.5" customHeight="1">
      <c r="A38" s="13"/>
      <c r="B38" s="83"/>
      <c r="C38" s="29" t="s">
        <v>151</v>
      </c>
      <c r="D38" s="466" t="s">
        <v>5</v>
      </c>
      <c r="E38" s="466" t="s">
        <v>4</v>
      </c>
      <c r="F38" s="466">
        <v>300</v>
      </c>
      <c r="G38" s="466" t="s">
        <v>6</v>
      </c>
      <c r="H38" s="264">
        <f>F38*$F$20</f>
        <v>73.5</v>
      </c>
      <c r="I38" s="382"/>
      <c r="J38" s="468">
        <v>38652.24791666667</v>
      </c>
      <c r="K38" s="456">
        <v>38652.30416666667</v>
      </c>
      <c r="L38" s="37">
        <f>IF(D38="","",(K38-J38)*24)</f>
        <v>1.3500000000349246</v>
      </c>
      <c r="M38" s="38">
        <f>IF(D38="","",(K38-J38)*24*60)</f>
        <v>81.00000000209548</v>
      </c>
      <c r="N38" s="34" t="s">
        <v>131</v>
      </c>
      <c r="O38" s="39" t="str">
        <f>IF(D38="","",IF(OR(N38="P",N38="RP"),"--","NO"))</f>
        <v>NO</v>
      </c>
      <c r="P38" s="383" t="str">
        <f>IF(D38="","","NO")</f>
        <v>NO</v>
      </c>
      <c r="Q38" s="384"/>
      <c r="R38" s="234">
        <f>200*IF(P38="SI",1,0.1)*IF(N38="P",0.1,1)</f>
        <v>20</v>
      </c>
      <c r="S38" s="287" t="str">
        <f>IF(N38="P",H38*R38*ROUND(M38/60,2),"--")</f>
        <v>--</v>
      </c>
      <c r="T38" s="282">
        <f>IF(AND(N38="F",O38="NO"),H38*R38,"--")</f>
        <v>1470</v>
      </c>
      <c r="U38" s="283">
        <f>IF(N38="F",H38*R38*ROUND(M38/60,2),"--")</f>
        <v>1984.5000000000002</v>
      </c>
      <c r="V38" s="232" t="str">
        <f>IF(N38="RF",H38*R38*ROUND(M38/60,2),"--")</f>
        <v>--</v>
      </c>
      <c r="W38" s="385"/>
      <c r="X38" s="386"/>
      <c r="Y38" s="386"/>
      <c r="Z38" s="386"/>
      <c r="AA38" s="387"/>
      <c r="AB38" s="40" t="str">
        <f>IF(D38="","","SI")</f>
        <v>SI</v>
      </c>
      <c r="AC38" s="124">
        <f>IF(D38="","",SUM(S38:V38)*IF(AB38="SI",1,2))</f>
        <v>3454.5</v>
      </c>
      <c r="AD38" s="105"/>
    </row>
    <row r="39" spans="1:30" ht="16.5" customHeight="1" thickBot="1">
      <c r="A39" s="65"/>
      <c r="B39" s="83"/>
      <c r="C39" s="41"/>
      <c r="D39" s="196"/>
      <c r="E39" s="197"/>
      <c r="F39" s="198"/>
      <c r="G39" s="199"/>
      <c r="H39" s="265"/>
      <c r="I39" s="388"/>
      <c r="J39" s="200"/>
      <c r="K39" s="201"/>
      <c r="L39" s="202"/>
      <c r="M39" s="203"/>
      <c r="N39" s="42"/>
      <c r="O39" s="24"/>
      <c r="P39" s="389"/>
      <c r="Q39" s="390"/>
      <c r="R39" s="235"/>
      <c r="S39" s="288"/>
      <c r="T39" s="284"/>
      <c r="U39" s="285"/>
      <c r="V39" s="236"/>
      <c r="W39" s="391"/>
      <c r="X39" s="392"/>
      <c r="Y39" s="392"/>
      <c r="Z39" s="392"/>
      <c r="AA39" s="393"/>
      <c r="AB39" s="204"/>
      <c r="AC39" s="205"/>
      <c r="AD39" s="105"/>
    </row>
    <row r="40" spans="1:30" ht="16.5" customHeight="1" thickBot="1" thickTop="1">
      <c r="A40" s="65"/>
      <c r="B40" s="83"/>
      <c r="C40" s="118"/>
      <c r="D40" s="1"/>
      <c r="E40" s="1"/>
      <c r="F40" s="127"/>
      <c r="G40" s="206"/>
      <c r="H40" s="207"/>
      <c r="I40" s="208"/>
      <c r="J40" s="209"/>
      <c r="K40" s="210"/>
      <c r="L40" s="211"/>
      <c r="M40" s="207"/>
      <c r="N40" s="212"/>
      <c r="O40" s="27"/>
      <c r="P40" s="213"/>
      <c r="Q40" s="214"/>
      <c r="R40" s="215"/>
      <c r="S40" s="215"/>
      <c r="T40" s="215"/>
      <c r="U40" s="182"/>
      <c r="V40" s="182"/>
      <c r="W40" s="182"/>
      <c r="X40" s="182"/>
      <c r="Y40" s="182"/>
      <c r="Z40" s="182"/>
      <c r="AA40" s="182"/>
      <c r="AB40" s="182"/>
      <c r="AC40" s="216">
        <f>SUM(AC37:AC39)</f>
        <v>3454.5</v>
      </c>
      <c r="AD40" s="105"/>
    </row>
    <row r="41" spans="1:30" ht="16.5" customHeight="1" thickBot="1" thickTop="1">
      <c r="A41" s="65"/>
      <c r="B41" s="83"/>
      <c r="C41" s="118"/>
      <c r="D41" s="1"/>
      <c r="E41" s="1"/>
      <c r="F41" s="127"/>
      <c r="G41" s="206"/>
      <c r="H41" s="207"/>
      <c r="I41" s="208"/>
      <c r="J41" s="331" t="s">
        <v>81</v>
      </c>
      <c r="K41" s="332">
        <f>+AC40+AC34</f>
        <v>3454.5</v>
      </c>
      <c r="L41" s="211"/>
      <c r="M41" s="207"/>
      <c r="N41" s="394"/>
      <c r="O41" s="395"/>
      <c r="P41" s="213"/>
      <c r="Q41" s="214"/>
      <c r="R41" s="215"/>
      <c r="S41" s="215"/>
      <c r="T41" s="215"/>
      <c r="U41" s="182"/>
      <c r="V41" s="182"/>
      <c r="W41" s="182"/>
      <c r="X41" s="182"/>
      <c r="Y41" s="182"/>
      <c r="Z41" s="182"/>
      <c r="AA41" s="182"/>
      <c r="AB41" s="182"/>
      <c r="AC41" s="396"/>
      <c r="AD41" s="105"/>
    </row>
    <row r="42" spans="1:30" ht="13.5" customHeight="1" thickTop="1">
      <c r="A42" s="65"/>
      <c r="B42" s="152"/>
      <c r="C42" s="146"/>
      <c r="D42" s="153"/>
      <c r="E42" s="154"/>
      <c r="F42" s="155"/>
      <c r="G42" s="156"/>
      <c r="H42" s="156"/>
      <c r="I42" s="154"/>
      <c r="J42" s="134"/>
      <c r="K42" s="134"/>
      <c r="L42" s="154"/>
      <c r="M42" s="154"/>
      <c r="N42" s="154"/>
      <c r="O42" s="157"/>
      <c r="P42" s="154"/>
      <c r="Q42" s="154"/>
      <c r="R42" s="158"/>
      <c r="S42" s="159"/>
      <c r="T42" s="159"/>
      <c r="U42" s="160"/>
      <c r="AC42" s="160"/>
      <c r="AD42" s="163"/>
    </row>
    <row r="43" spans="1:30" ht="16.5" customHeight="1">
      <c r="A43" s="65"/>
      <c r="B43" s="152"/>
      <c r="C43" s="164" t="s">
        <v>82</v>
      </c>
      <c r="D43" s="165" t="s">
        <v>83</v>
      </c>
      <c r="E43" s="154"/>
      <c r="F43" s="155"/>
      <c r="G43" s="156"/>
      <c r="H43" s="156"/>
      <c r="I43" s="154"/>
      <c r="J43" s="134"/>
      <c r="K43" s="134"/>
      <c r="L43" s="154"/>
      <c r="M43" s="154"/>
      <c r="N43" s="154"/>
      <c r="O43" s="157"/>
      <c r="P43" s="154"/>
      <c r="Q43" s="154"/>
      <c r="R43" s="158"/>
      <c r="S43" s="159"/>
      <c r="T43" s="159"/>
      <c r="U43" s="160"/>
      <c r="AC43" s="160"/>
      <c r="AD43" s="163"/>
    </row>
    <row r="44" spans="1:30" ht="16.5" customHeight="1">
      <c r="A44" s="65"/>
      <c r="B44" s="152"/>
      <c r="C44" s="164"/>
      <c r="D44" s="153"/>
      <c r="E44" s="154"/>
      <c r="F44" s="155"/>
      <c r="G44" s="156"/>
      <c r="H44" s="156"/>
      <c r="I44" s="154"/>
      <c r="J44" s="134"/>
      <c r="K44" s="134"/>
      <c r="L44" s="154"/>
      <c r="M44" s="154"/>
      <c r="N44" s="154"/>
      <c r="O44" s="157"/>
      <c r="P44" s="154"/>
      <c r="Q44" s="154"/>
      <c r="R44" s="154"/>
      <c r="S44" s="158"/>
      <c r="T44" s="159"/>
      <c r="AD44" s="163"/>
    </row>
    <row r="45" spans="2:30" s="65" customFormat="1" ht="16.5" customHeight="1">
      <c r="B45" s="152"/>
      <c r="C45" s="146"/>
      <c r="D45" s="174" t="s">
        <v>24</v>
      </c>
      <c r="E45" s="149" t="s">
        <v>84</v>
      </c>
      <c r="F45" s="149" t="s">
        <v>85</v>
      </c>
      <c r="G45" s="306" t="s">
        <v>86</v>
      </c>
      <c r="H45" s="150"/>
      <c r="I45" s="149"/>
      <c r="J45"/>
      <c r="K45"/>
      <c r="L45" s="305" t="s">
        <v>87</v>
      </c>
      <c r="M45"/>
      <c r="N45"/>
      <c r="O45"/>
      <c r="P45"/>
      <c r="Q45" s="168"/>
      <c r="R45" s="168"/>
      <c r="S45" s="67"/>
      <c r="T45"/>
      <c r="U45"/>
      <c r="V45"/>
      <c r="W45"/>
      <c r="X45" s="67"/>
      <c r="Y45" s="67"/>
      <c r="Z45" s="67"/>
      <c r="AA45" s="67"/>
      <c r="AB45" s="67"/>
      <c r="AC45" s="397" t="s">
        <v>88</v>
      </c>
      <c r="AD45" s="163"/>
    </row>
    <row r="46" spans="2:30" s="65" customFormat="1" ht="16.5" customHeight="1">
      <c r="B46" s="152"/>
      <c r="C46" s="146"/>
      <c r="D46" s="149" t="s">
        <v>89</v>
      </c>
      <c r="E46" s="217">
        <v>506</v>
      </c>
      <c r="F46" s="217">
        <v>500</v>
      </c>
      <c r="G46" s="299">
        <f>E46*$F$19*$L$20/100</f>
        <v>338700.89615999995</v>
      </c>
      <c r="H46" s="299"/>
      <c r="I46" s="299"/>
      <c r="J46" s="3"/>
      <c r="K46"/>
      <c r="L46" s="301">
        <v>0</v>
      </c>
      <c r="M46" s="3"/>
      <c r="N46" s="489" t="s">
        <v>149</v>
      </c>
      <c r="O46"/>
      <c r="P46"/>
      <c r="Q46" s="168"/>
      <c r="R46" s="168"/>
      <c r="S46" s="67"/>
      <c r="T46"/>
      <c r="U46"/>
      <c r="V46"/>
      <c r="W46"/>
      <c r="X46" s="67"/>
      <c r="Y46" s="67"/>
      <c r="Z46" s="67"/>
      <c r="AA46" s="67"/>
      <c r="AB46" s="398"/>
      <c r="AC46" s="275">
        <f>L46+G46</f>
        <v>338700.89615999995</v>
      </c>
      <c r="AD46" s="163"/>
    </row>
    <row r="47" spans="2:30" s="65" customFormat="1" ht="16.5" customHeight="1">
      <c r="B47" s="152"/>
      <c r="C47" s="146"/>
      <c r="D47" s="170" t="s">
        <v>90</v>
      </c>
      <c r="E47" s="217">
        <v>85</v>
      </c>
      <c r="F47" s="217">
        <v>500</v>
      </c>
      <c r="G47" s="299">
        <f>E47*$F$19*$L$20/100</f>
        <v>56896.395599999996</v>
      </c>
      <c r="H47" s="170"/>
      <c r="I47" s="262"/>
      <c r="J47" s="3"/>
      <c r="K47"/>
      <c r="L47" s="299">
        <v>0</v>
      </c>
      <c r="M47" s="3"/>
      <c r="N47" s="489" t="s">
        <v>149</v>
      </c>
      <c r="O47" s="169"/>
      <c r="P47"/>
      <c r="Q47" s="168"/>
      <c r="R47" s="168"/>
      <c r="S47" s="67"/>
      <c r="T47"/>
      <c r="U47"/>
      <c r="V47"/>
      <c r="W47"/>
      <c r="X47" s="67"/>
      <c r="Y47" s="67"/>
      <c r="Z47" s="67"/>
      <c r="AA47" s="67"/>
      <c r="AB47" s="67"/>
      <c r="AC47" s="275">
        <f>L47+G47</f>
        <v>56896.395599999996</v>
      </c>
      <c r="AD47" s="163"/>
    </row>
    <row r="48" spans="2:30" s="65" customFormat="1" ht="16.5" customHeight="1">
      <c r="B48" s="152"/>
      <c r="C48" s="146"/>
      <c r="E48" s="136"/>
      <c r="F48" s="149"/>
      <c r="G48" s="150"/>
      <c r="H48"/>
      <c r="I48" s="149"/>
      <c r="J48" s="149"/>
      <c r="K48"/>
      <c r="L48" s="275"/>
      <c r="M48" s="167"/>
      <c r="N48" s="167"/>
      <c r="O48" s="168"/>
      <c r="P48" s="168"/>
      <c r="Q48" s="168"/>
      <c r="R48" s="168"/>
      <c r="S48" s="67"/>
      <c r="T48"/>
      <c r="U48"/>
      <c r="V48"/>
      <c r="W48"/>
      <c r="X48" s="67"/>
      <c r="Y48" s="67"/>
      <c r="Z48" s="67"/>
      <c r="AA48" s="67"/>
      <c r="AB48" s="67"/>
      <c r="AC48" s="275"/>
      <c r="AD48" s="163"/>
    </row>
    <row r="49" spans="1:30" ht="16.5" customHeight="1">
      <c r="A49" s="65"/>
      <c r="B49" s="152"/>
      <c r="C49" s="146"/>
      <c r="D49" s="174" t="s">
        <v>91</v>
      </c>
      <c r="E49" s="149" t="s">
        <v>92</v>
      </c>
      <c r="F49" s="149" t="s">
        <v>85</v>
      </c>
      <c r="G49" s="306" t="s">
        <v>93</v>
      </c>
      <c r="I49" s="166"/>
      <c r="J49" s="149"/>
      <c r="L49" s="305" t="s">
        <v>94</v>
      </c>
      <c r="M49" s="166"/>
      <c r="N49" s="167"/>
      <c r="O49" s="168"/>
      <c r="P49" s="168"/>
      <c r="Q49" s="168"/>
      <c r="R49" s="168"/>
      <c r="S49" s="168"/>
      <c r="AC49" s="275">
        <f>+L50</f>
        <v>51800</v>
      </c>
      <c r="AD49" s="163"/>
    </row>
    <row r="50" spans="1:30" ht="16.5" customHeight="1">
      <c r="A50" s="65"/>
      <c r="B50" s="152"/>
      <c r="C50" s="146"/>
      <c r="D50" s="149" t="s">
        <v>95</v>
      </c>
      <c r="E50" s="217">
        <v>300</v>
      </c>
      <c r="F50" s="217" t="s">
        <v>3</v>
      </c>
      <c r="G50" s="299">
        <f>E50*F20*L20</f>
        <v>54684</v>
      </c>
      <c r="H50" s="3"/>
      <c r="I50" s="3"/>
      <c r="J50" s="301"/>
      <c r="L50" s="301">
        <v>51800</v>
      </c>
      <c r="M50" s="3"/>
      <c r="N50" s="489" t="s">
        <v>149</v>
      </c>
      <c r="O50" s="161"/>
      <c r="P50" s="161"/>
      <c r="Q50" s="161"/>
      <c r="R50" s="161"/>
      <c r="S50" s="161"/>
      <c r="AC50" s="162">
        <f>G50</f>
        <v>54684</v>
      </c>
      <c r="AD50" s="163"/>
    </row>
    <row r="51" spans="1:30" ht="16.5" customHeight="1">
      <c r="A51" s="65"/>
      <c r="B51" s="152"/>
      <c r="C51" s="146"/>
      <c r="D51" s="149" t="s">
        <v>138</v>
      </c>
      <c r="E51" s="217">
        <v>150</v>
      </c>
      <c r="F51" s="217" t="s">
        <v>130</v>
      </c>
      <c r="G51" s="299">
        <f>E51*F20*L20</f>
        <v>27342</v>
      </c>
      <c r="H51" s="3"/>
      <c r="I51" s="3"/>
      <c r="J51" s="301"/>
      <c r="L51" s="301"/>
      <c r="M51" s="3"/>
      <c r="N51" s="304"/>
      <c r="O51" s="161"/>
      <c r="P51" s="161"/>
      <c r="Q51" s="161"/>
      <c r="R51" s="161"/>
      <c r="S51" s="161"/>
      <c r="AC51" s="162">
        <f>G51</f>
        <v>27342</v>
      </c>
      <c r="AD51" s="163"/>
    </row>
    <row r="52" spans="1:30" ht="16.5" customHeight="1">
      <c r="A52" s="65"/>
      <c r="B52" s="152"/>
      <c r="C52" s="146"/>
      <c r="D52" s="149"/>
      <c r="E52" s="217"/>
      <c r="F52" s="217"/>
      <c r="G52" s="299"/>
      <c r="H52" s="3"/>
      <c r="I52" s="3"/>
      <c r="J52" s="301"/>
      <c r="L52" s="301"/>
      <c r="M52" s="3"/>
      <c r="N52" s="304"/>
      <c r="O52" s="161"/>
      <c r="P52" s="161"/>
      <c r="Q52" s="161"/>
      <c r="R52" s="161"/>
      <c r="S52" s="161"/>
      <c r="AC52" s="162"/>
      <c r="AD52" s="163"/>
    </row>
    <row r="53" spans="1:30" ht="16.5" customHeight="1">
      <c r="A53" s="65"/>
      <c r="B53" s="152"/>
      <c r="C53" s="146"/>
      <c r="D53" s="174" t="s">
        <v>96</v>
      </c>
      <c r="E53" s="262" t="s">
        <v>97</v>
      </c>
      <c r="F53" s="262"/>
      <c r="G53" s="149" t="s">
        <v>85</v>
      </c>
      <c r="I53" s="166"/>
      <c r="J53" s="306" t="s">
        <v>98</v>
      </c>
      <c r="L53" s="305"/>
      <c r="M53" s="166"/>
      <c r="N53" s="167"/>
      <c r="O53" s="168"/>
      <c r="P53" s="168"/>
      <c r="Q53" s="168"/>
      <c r="R53" s="168"/>
      <c r="S53" s="168"/>
      <c r="AC53" s="275"/>
      <c r="AD53" s="163"/>
    </row>
    <row r="54" spans="1:30" ht="16.5" customHeight="1">
      <c r="A54" s="65"/>
      <c r="B54" s="152"/>
      <c r="C54" s="146"/>
      <c r="D54" s="149" t="s">
        <v>99</v>
      </c>
      <c r="E54" s="460" t="s">
        <v>100</v>
      </c>
      <c r="F54" s="414"/>
      <c r="G54" s="217">
        <v>132</v>
      </c>
      <c r="H54" s="3"/>
      <c r="I54" s="3"/>
      <c r="J54" s="299">
        <f>0*F21*L20</f>
        <v>0</v>
      </c>
      <c r="L54" s="301"/>
      <c r="M54" s="3"/>
      <c r="N54" s="304"/>
      <c r="O54" s="161"/>
      <c r="P54" s="161"/>
      <c r="Q54" s="161"/>
      <c r="R54" s="161"/>
      <c r="S54" s="161"/>
      <c r="AC54" s="162">
        <f>J54</f>
        <v>0</v>
      </c>
      <c r="AD54" s="163"/>
    </row>
    <row r="55" spans="1:30" ht="16.5" customHeight="1">
      <c r="A55" s="65"/>
      <c r="B55" s="152"/>
      <c r="C55" s="146"/>
      <c r="D55" s="149" t="s">
        <v>134</v>
      </c>
      <c r="E55" s="460" t="s">
        <v>135</v>
      </c>
      <c r="F55" s="414"/>
      <c r="G55" s="217">
        <v>500</v>
      </c>
      <c r="H55" s="3"/>
      <c r="I55" s="3"/>
      <c r="J55" s="299">
        <f>F22*L20</f>
        <v>36504.36</v>
      </c>
      <c r="L55" s="301"/>
      <c r="M55" s="3"/>
      <c r="N55" s="304"/>
      <c r="O55" s="161"/>
      <c r="P55" s="161"/>
      <c r="Q55" s="161"/>
      <c r="R55" s="161"/>
      <c r="S55" s="161"/>
      <c r="AC55" s="302">
        <f>J55</f>
        <v>36504.36</v>
      </c>
      <c r="AD55" s="163"/>
    </row>
    <row r="56" spans="1:30" ht="16.5" customHeight="1">
      <c r="A56" s="65"/>
      <c r="B56" s="152"/>
      <c r="C56" s="146"/>
      <c r="D56" s="134"/>
      <c r="E56" s="136"/>
      <c r="F56" s="149"/>
      <c r="G56" s="149"/>
      <c r="H56" s="150"/>
      <c r="J56" s="149"/>
      <c r="L56" s="171"/>
      <c r="M56" s="167"/>
      <c r="N56" s="167"/>
      <c r="O56" s="168"/>
      <c r="P56" s="168"/>
      <c r="Q56" s="168"/>
      <c r="R56" s="168"/>
      <c r="S56" s="168"/>
      <c r="AC56" s="273">
        <f>SUM(AC46:AC54)</f>
        <v>529423.2917599999</v>
      </c>
      <c r="AD56" s="163"/>
    </row>
    <row r="57" spans="2:30" ht="16.5" customHeight="1">
      <c r="B57" s="152"/>
      <c r="C57" s="164" t="s">
        <v>101</v>
      </c>
      <c r="D57" s="172" t="s">
        <v>102</v>
      </c>
      <c r="E57" s="149"/>
      <c r="F57" s="173"/>
      <c r="G57" s="135"/>
      <c r="H57" s="134"/>
      <c r="I57" s="134"/>
      <c r="J57" s="134"/>
      <c r="K57" s="149"/>
      <c r="L57" s="149"/>
      <c r="M57" s="134"/>
      <c r="N57" s="149"/>
      <c r="O57" s="134"/>
      <c r="P57" s="134"/>
      <c r="Q57" s="134"/>
      <c r="R57" s="134"/>
      <c r="S57" s="134"/>
      <c r="T57" s="134"/>
      <c r="U57" s="134"/>
      <c r="AC57" s="134"/>
      <c r="AD57" s="163"/>
    </row>
    <row r="58" spans="2:30" s="65" customFormat="1" ht="16.5" customHeight="1">
      <c r="B58" s="152"/>
      <c r="C58" s="146"/>
      <c r="D58" s="174" t="s">
        <v>103</v>
      </c>
      <c r="E58" s="175">
        <f>10*K41*K26/AC56</f>
        <v>1381.8000000000002</v>
      </c>
      <c r="G58" s="135"/>
      <c r="L58" s="149"/>
      <c r="N58" s="149"/>
      <c r="O58" s="150"/>
      <c r="V58"/>
      <c r="W58"/>
      <c r="AD58" s="163"/>
    </row>
    <row r="59" spans="2:30" s="65" customFormat="1" ht="16.5" customHeight="1">
      <c r="B59" s="152"/>
      <c r="C59" s="146"/>
      <c r="E59" s="298"/>
      <c r="F59" s="148"/>
      <c r="G59" s="135"/>
      <c r="J59" s="135"/>
      <c r="K59" s="177"/>
      <c r="L59" s="149"/>
      <c r="M59" s="149"/>
      <c r="N59" s="149"/>
      <c r="O59" s="150"/>
      <c r="P59" s="149"/>
      <c r="Q59" s="149"/>
      <c r="R59" s="296"/>
      <c r="S59" s="296"/>
      <c r="T59" s="296"/>
      <c r="U59" s="297"/>
      <c r="V59"/>
      <c r="W59"/>
      <c r="AC59" s="297"/>
      <c r="AD59" s="163"/>
    </row>
    <row r="60" spans="2:30" ht="16.5" customHeight="1">
      <c r="B60" s="152"/>
      <c r="C60" s="146"/>
      <c r="D60" s="178" t="s">
        <v>104</v>
      </c>
      <c r="E60" s="176"/>
      <c r="F60" s="148"/>
      <c r="G60" s="135"/>
      <c r="H60" s="134"/>
      <c r="I60" s="134"/>
      <c r="N60" s="149"/>
      <c r="O60" s="150"/>
      <c r="P60" s="149"/>
      <c r="Q60" s="149"/>
      <c r="R60" s="166"/>
      <c r="S60" s="166"/>
      <c r="T60" s="166"/>
      <c r="U60" s="167"/>
      <c r="AC60" s="167"/>
      <c r="AD60" s="163"/>
    </row>
    <row r="61" spans="2:30" ht="16.5" customHeight="1" thickBot="1">
      <c r="B61" s="152"/>
      <c r="C61" s="146"/>
      <c r="D61" s="178"/>
      <c r="E61" s="176"/>
      <c r="F61" s="148"/>
      <c r="G61" s="135"/>
      <c r="H61" s="134"/>
      <c r="I61" s="134"/>
      <c r="N61" s="149"/>
      <c r="O61" s="150"/>
      <c r="P61" s="149"/>
      <c r="Q61" s="149"/>
      <c r="R61" s="166"/>
      <c r="S61" s="166"/>
      <c r="T61" s="166"/>
      <c r="U61" s="167"/>
      <c r="AC61" s="167"/>
      <c r="AD61" s="163"/>
    </row>
    <row r="62" spans="2:30" s="313" customFormat="1" ht="21" thickBot="1" thickTop="1">
      <c r="B62" s="307"/>
      <c r="C62" s="308"/>
      <c r="D62" s="309"/>
      <c r="E62" s="310"/>
      <c r="F62" s="311"/>
      <c r="G62" s="312"/>
      <c r="I62"/>
      <c r="J62" s="314" t="s">
        <v>105</v>
      </c>
      <c r="K62" s="315">
        <f>IF(E58&gt;3*K26,K26*3,E58)</f>
        <v>1381.8000000000002</v>
      </c>
      <c r="M62" s="316"/>
      <c r="N62" s="316"/>
      <c r="O62" s="317"/>
      <c r="P62" s="316"/>
      <c r="Q62" s="316"/>
      <c r="R62" s="318"/>
      <c r="S62" s="318"/>
      <c r="T62" s="318"/>
      <c r="U62" s="319"/>
      <c r="V62"/>
      <c r="W62"/>
      <c r="AC62" s="319"/>
      <c r="AD62" s="320"/>
    </row>
    <row r="63" spans="2:30" ht="16.5" customHeight="1" thickBot="1" thickTop="1">
      <c r="B63" s="87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83"/>
      <c r="W63" s="183"/>
      <c r="X63" s="183"/>
      <c r="Y63" s="183"/>
      <c r="Z63" s="183"/>
      <c r="AA63" s="183"/>
      <c r="AB63" s="183"/>
      <c r="AC63" s="89"/>
      <c r="AD63" s="179"/>
    </row>
    <row r="64" spans="2:23" ht="16.5" customHeight="1" thickTop="1">
      <c r="B64" s="9"/>
      <c r="C64" s="399"/>
      <c r="W64" s="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9"/>
  <sheetViews>
    <sheetView zoomScale="75" zoomScaleNormal="75" workbookViewId="0" topLeftCell="C16">
      <selection activeCell="F20" sqref="F20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44"/>
      <c r="AD1" s="326"/>
    </row>
    <row r="2" spans="1:23" ht="27" customHeight="1">
      <c r="A2" s="4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30" customFormat="1" ht="30.75">
      <c r="A3" s="327"/>
      <c r="B3" s="328" t="str">
        <f>+'tot-0510-SUP'!B2</f>
        <v>ANEXO V.1.b.  a la Resolución E.N.R.E.   N° 122 /2008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B3" s="329"/>
      <c r="AC3" s="329"/>
      <c r="AD3" s="329"/>
    </row>
    <row r="4" spans="1:2" s="58" customFormat="1" ht="11.25">
      <c r="A4" s="403" t="s">
        <v>22</v>
      </c>
      <c r="B4" s="415"/>
    </row>
    <row r="5" spans="1:2" s="58" customFormat="1" ht="12" thickBot="1">
      <c r="A5" s="403" t="s">
        <v>23</v>
      </c>
      <c r="B5" s="403"/>
    </row>
    <row r="6" spans="1:23" ht="16.5" customHeight="1" thickTop="1">
      <c r="A6" s="13"/>
      <c r="B6" s="98"/>
      <c r="C6" s="99"/>
      <c r="D6" s="99"/>
      <c r="E6" s="10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1"/>
    </row>
    <row r="7" spans="1:23" ht="20.25">
      <c r="A7" s="13"/>
      <c r="B7" s="83"/>
      <c r="C7" s="11"/>
      <c r="D7" s="4" t="s">
        <v>60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0"/>
      <c r="Q7" s="130"/>
      <c r="R7" s="11"/>
      <c r="S7" s="11"/>
      <c r="T7" s="11"/>
      <c r="U7" s="11"/>
      <c r="V7" s="11"/>
      <c r="W7" s="102"/>
    </row>
    <row r="8" spans="1:23" ht="16.5" customHeight="1">
      <c r="A8" s="13"/>
      <c r="B8" s="8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2"/>
    </row>
    <row r="9" spans="2:23" s="12" customFormat="1" ht="20.25">
      <c r="B9" s="78"/>
      <c r="C9" s="77"/>
      <c r="D9" s="4" t="s">
        <v>61</v>
      </c>
      <c r="E9" s="77"/>
      <c r="F9" s="77"/>
      <c r="G9" s="77"/>
      <c r="H9" s="77"/>
      <c r="N9" s="77"/>
      <c r="O9" s="77"/>
      <c r="P9" s="188"/>
      <c r="Q9" s="188"/>
      <c r="R9" s="77"/>
      <c r="S9" s="77"/>
      <c r="T9" s="77"/>
      <c r="U9" s="77"/>
      <c r="V9" s="77"/>
      <c r="W9" s="189"/>
    </row>
    <row r="10" spans="1:23" ht="16.5" customHeight="1">
      <c r="A10" s="13"/>
      <c r="B10" s="8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2"/>
    </row>
    <row r="11" spans="2:23" s="12" customFormat="1" ht="20.25">
      <c r="B11" s="78"/>
      <c r="C11" s="77"/>
      <c r="D11" s="4" t="s">
        <v>110</v>
      </c>
      <c r="E11" s="77"/>
      <c r="F11" s="77"/>
      <c r="G11" s="77"/>
      <c r="H11" s="77"/>
      <c r="N11" s="77"/>
      <c r="O11" s="77"/>
      <c r="P11" s="188"/>
      <c r="Q11" s="188"/>
      <c r="R11" s="77"/>
      <c r="S11" s="77"/>
      <c r="T11" s="77"/>
      <c r="U11" s="77"/>
      <c r="V11" s="77"/>
      <c r="W11" s="189"/>
    </row>
    <row r="12" spans="1:23" ht="16.5" customHeight="1">
      <c r="A12" s="13"/>
      <c r="B12" s="83"/>
      <c r="C12" s="11"/>
      <c r="D12" s="11"/>
      <c r="E12" s="13"/>
      <c r="F12" s="13"/>
      <c r="G12" s="13"/>
      <c r="H12" s="13"/>
      <c r="I12" s="103"/>
      <c r="J12" s="103"/>
      <c r="K12" s="103"/>
      <c r="L12" s="103"/>
      <c r="M12" s="103"/>
      <c r="N12" s="103"/>
      <c r="O12" s="103"/>
      <c r="P12" s="103"/>
      <c r="Q12" s="103"/>
      <c r="R12" s="11"/>
      <c r="S12" s="11"/>
      <c r="T12" s="11"/>
      <c r="U12" s="11"/>
      <c r="V12" s="11"/>
      <c r="W12" s="102"/>
    </row>
    <row r="13" spans="2:23" s="12" customFormat="1" ht="19.5">
      <c r="B13" s="71" t="str">
        <f>+'tot-0510-SUP'!B14</f>
        <v>Desde el 01 al 31 de octubre de 2005</v>
      </c>
      <c r="C13" s="72"/>
      <c r="D13" s="74"/>
      <c r="E13" s="74"/>
      <c r="F13" s="74"/>
      <c r="G13" s="74"/>
      <c r="H13" s="74"/>
      <c r="I13" s="75"/>
      <c r="J13" s="3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91"/>
      <c r="V13" s="191"/>
      <c r="W13" s="76"/>
    </row>
    <row r="14" spans="1:23" ht="16.5" customHeight="1">
      <c r="A14" s="13"/>
      <c r="B14" s="83"/>
      <c r="C14" s="11"/>
      <c r="D14" s="11"/>
      <c r="E14" s="2"/>
      <c r="F14" s="2"/>
      <c r="G14" s="11"/>
      <c r="H14" s="11"/>
      <c r="I14" s="11"/>
      <c r="J14" s="131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102"/>
    </row>
    <row r="15" spans="1:23" ht="16.5" customHeight="1">
      <c r="A15" s="13"/>
      <c r="B15" s="83"/>
      <c r="C15" s="11"/>
      <c r="D15" s="11"/>
      <c r="E15" s="2"/>
      <c r="F15" s="2"/>
      <c r="G15" s="11"/>
      <c r="H15" s="11"/>
      <c r="I15" s="132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102"/>
    </row>
    <row r="16" spans="1:23" ht="16.5" customHeight="1">
      <c r="A16" s="13"/>
      <c r="B16" s="83"/>
      <c r="C16" s="11"/>
      <c r="D16" s="11"/>
      <c r="E16" s="2"/>
      <c r="F16" s="2"/>
      <c r="G16" s="11"/>
      <c r="H16" s="11"/>
      <c r="I16" s="132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102"/>
    </row>
    <row r="17" spans="1:23" ht="16.5" customHeight="1" thickBot="1">
      <c r="A17" s="13"/>
      <c r="B17" s="83"/>
      <c r="C17" s="303" t="s">
        <v>62</v>
      </c>
      <c r="D17" s="10" t="s">
        <v>63</v>
      </c>
      <c r="E17" s="2"/>
      <c r="F17" s="2"/>
      <c r="G17" s="11"/>
      <c r="H17" s="11"/>
      <c r="I17" s="11"/>
      <c r="J17" s="131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102"/>
    </row>
    <row r="18" spans="2:23" s="65" customFormat="1" ht="16.5" customHeight="1" thickBot="1">
      <c r="B18" s="152"/>
      <c r="C18" s="67"/>
      <c r="D18" s="272"/>
      <c r="E18" s="273"/>
      <c r="F18" s="146"/>
      <c r="G18" s="67"/>
      <c r="H18" s="67"/>
      <c r="I18" s="67"/>
      <c r="J18" s="293"/>
      <c r="K18" s="67"/>
      <c r="L18" s="67"/>
      <c r="M18" s="67"/>
      <c r="N18" s="416" t="s">
        <v>35</v>
      </c>
      <c r="P18" s="67"/>
      <c r="Q18" s="67"/>
      <c r="R18" s="67"/>
      <c r="S18" s="67"/>
      <c r="T18" s="67"/>
      <c r="U18" s="67"/>
      <c r="V18" s="67"/>
      <c r="W18" s="294"/>
    </row>
    <row r="19" spans="2:23" s="65" customFormat="1" ht="16.5" customHeight="1">
      <c r="B19" s="152"/>
      <c r="C19" s="67"/>
      <c r="E19" s="276" t="s">
        <v>66</v>
      </c>
      <c r="F19" s="277">
        <v>0.025</v>
      </c>
      <c r="G19" s="321"/>
      <c r="H19" s="67"/>
      <c r="I19" s="445"/>
      <c r="J19" s="446"/>
      <c r="K19" s="410" t="s">
        <v>126</v>
      </c>
      <c r="L19" s="411"/>
      <c r="M19" s="447">
        <v>49.065</v>
      </c>
      <c r="N19" s="448">
        <v>200</v>
      </c>
      <c r="R19" s="67"/>
      <c r="S19" s="67"/>
      <c r="T19" s="67"/>
      <c r="U19" s="67"/>
      <c r="V19" s="67"/>
      <c r="W19" s="294"/>
    </row>
    <row r="20" spans="2:23" s="65" customFormat="1" ht="16.5" customHeight="1">
      <c r="B20" s="152"/>
      <c r="C20" s="67"/>
      <c r="E20" s="272" t="s">
        <v>69</v>
      </c>
      <c r="F20" s="67">
        <v>744</v>
      </c>
      <c r="G20" s="67" t="s">
        <v>70</v>
      </c>
      <c r="H20" s="67"/>
      <c r="I20" s="67"/>
      <c r="J20" s="67"/>
      <c r="K20" s="405" t="s">
        <v>57</v>
      </c>
      <c r="L20" s="404"/>
      <c r="M20" s="406">
        <v>44.156</v>
      </c>
      <c r="N20" s="417">
        <v>100</v>
      </c>
      <c r="O20" s="67"/>
      <c r="P20" s="295"/>
      <c r="Q20" s="67"/>
      <c r="R20" s="67"/>
      <c r="S20" s="67"/>
      <c r="T20" s="67"/>
      <c r="U20" s="67"/>
      <c r="V20" s="67"/>
      <c r="W20" s="294"/>
    </row>
    <row r="21" spans="2:23" s="65" customFormat="1" ht="16.5" customHeight="1" thickBot="1">
      <c r="B21" s="152"/>
      <c r="C21" s="67"/>
      <c r="E21" s="272" t="s">
        <v>111</v>
      </c>
      <c r="F21" s="67">
        <v>0.245</v>
      </c>
      <c r="G21" s="65" t="s">
        <v>68</v>
      </c>
      <c r="H21" s="67"/>
      <c r="I21" s="67"/>
      <c r="J21" s="67"/>
      <c r="K21" s="407" t="s">
        <v>127</v>
      </c>
      <c r="L21" s="408"/>
      <c r="M21" s="409">
        <v>39.254</v>
      </c>
      <c r="N21" s="418">
        <v>40</v>
      </c>
      <c r="O21" s="67"/>
      <c r="P21" s="295"/>
      <c r="Q21" s="67"/>
      <c r="R21" s="67"/>
      <c r="S21" s="67"/>
      <c r="T21" s="67"/>
      <c r="U21" s="67"/>
      <c r="V21" s="67"/>
      <c r="W21" s="294"/>
    </row>
    <row r="22" spans="2:23" s="65" customFormat="1" ht="16.5" customHeight="1">
      <c r="B22" s="152"/>
      <c r="C22" s="67"/>
      <c r="D22" s="67"/>
      <c r="E22" s="14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294"/>
    </row>
    <row r="23" spans="1:23" ht="16.5" customHeight="1">
      <c r="A23" s="13"/>
      <c r="B23" s="83"/>
      <c r="C23" s="303" t="s">
        <v>72</v>
      </c>
      <c r="D23" s="66" t="s">
        <v>73</v>
      </c>
      <c r="I23" s="11"/>
      <c r="J23" s="65"/>
      <c r="O23" s="11"/>
      <c r="P23" s="11"/>
      <c r="Q23" s="11"/>
      <c r="R23" s="11"/>
      <c r="S23" s="11"/>
      <c r="T23" s="11"/>
      <c r="V23" s="11"/>
      <c r="W23" s="102"/>
    </row>
    <row r="24" spans="1:23" ht="10.5" customHeight="1" thickBot="1">
      <c r="A24" s="13"/>
      <c r="B24" s="83"/>
      <c r="C24" s="2"/>
      <c r="D24" s="66"/>
      <c r="I24" s="11"/>
      <c r="J24" s="65"/>
      <c r="O24" s="11"/>
      <c r="P24" s="11"/>
      <c r="Q24" s="11"/>
      <c r="R24" s="11"/>
      <c r="S24" s="11"/>
      <c r="T24" s="11"/>
      <c r="V24" s="11"/>
      <c r="W24" s="102"/>
    </row>
    <row r="25" spans="2:23" s="65" customFormat="1" ht="16.5" customHeight="1" thickBot="1" thickTop="1">
      <c r="B25" s="152"/>
      <c r="C25" s="146"/>
      <c r="D25"/>
      <c r="E25"/>
      <c r="F25"/>
      <c r="G25"/>
      <c r="H25"/>
      <c r="I25" s="331" t="s">
        <v>74</v>
      </c>
      <c r="J25" s="419">
        <f>+J70*F19</f>
        <v>28738.115999999998</v>
      </c>
      <c r="L25"/>
      <c r="S25"/>
      <c r="T25"/>
      <c r="U25"/>
      <c r="W25" s="294"/>
    </row>
    <row r="26" spans="2:23" s="65" customFormat="1" ht="11.25" customHeight="1" thickTop="1">
      <c r="B26" s="152"/>
      <c r="C26" s="146"/>
      <c r="D26" s="67"/>
      <c r="E26" s="14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/>
      <c r="W26" s="294"/>
    </row>
    <row r="27" spans="1:23" ht="16.5" customHeight="1">
      <c r="A27" s="13"/>
      <c r="B27" s="83"/>
      <c r="C27" s="303" t="s">
        <v>75</v>
      </c>
      <c r="D27" s="66" t="s">
        <v>76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2"/>
    </row>
    <row r="28" spans="1:23" ht="13.5" customHeight="1" thickBot="1">
      <c r="A28" s="65"/>
      <c r="B28" s="83"/>
      <c r="C28" s="146"/>
      <c r="D28" s="146"/>
      <c r="E28" s="147"/>
      <c r="F28" s="148"/>
      <c r="G28" s="135"/>
      <c r="H28" s="135"/>
      <c r="I28" s="149"/>
      <c r="J28" s="149"/>
      <c r="K28" s="149"/>
      <c r="L28" s="149"/>
      <c r="M28" s="149"/>
      <c r="N28" s="149"/>
      <c r="O28" s="150"/>
      <c r="P28" s="149"/>
      <c r="Q28" s="149"/>
      <c r="R28" s="420"/>
      <c r="S28" s="421"/>
      <c r="T28" s="422"/>
      <c r="U28" s="422"/>
      <c r="V28" s="422"/>
      <c r="W28" s="105"/>
    </row>
    <row r="29" spans="1:26" s="13" customFormat="1" ht="33.75" customHeight="1" thickBot="1" thickTop="1">
      <c r="A29" s="43"/>
      <c r="B29" s="117"/>
      <c r="C29" s="119" t="s">
        <v>31</v>
      </c>
      <c r="D29" s="121" t="s">
        <v>53</v>
      </c>
      <c r="E29" s="120" t="s">
        <v>21</v>
      </c>
      <c r="F29" s="122" t="s">
        <v>54</v>
      </c>
      <c r="G29" s="123" t="s">
        <v>32</v>
      </c>
      <c r="H29" s="184" t="s">
        <v>36</v>
      </c>
      <c r="I29" s="120" t="s">
        <v>37</v>
      </c>
      <c r="J29" s="120" t="s">
        <v>38</v>
      </c>
      <c r="K29" s="121" t="s">
        <v>55</v>
      </c>
      <c r="L29" s="121" t="s">
        <v>40</v>
      </c>
      <c r="M29" s="113" t="s">
        <v>59</v>
      </c>
      <c r="N29" s="120" t="s">
        <v>44</v>
      </c>
      <c r="O29" s="371" t="s">
        <v>56</v>
      </c>
      <c r="P29" s="184" t="s">
        <v>79</v>
      </c>
      <c r="Q29" s="286" t="s">
        <v>45</v>
      </c>
      <c r="R29" s="278" t="s">
        <v>80</v>
      </c>
      <c r="S29" s="279"/>
      <c r="T29" s="289" t="s">
        <v>47</v>
      </c>
      <c r="U29" s="116" t="s">
        <v>48</v>
      </c>
      <c r="V29" s="123" t="s">
        <v>49</v>
      </c>
      <c r="W29" s="102"/>
      <c r="Y29"/>
      <c r="Z29"/>
    </row>
    <row r="30" spans="1:23" ht="16.5" customHeight="1" thickTop="1">
      <c r="A30" s="13"/>
      <c r="B30" s="83"/>
      <c r="C30" s="29"/>
      <c r="D30" s="29"/>
      <c r="E30" s="29"/>
      <c r="F30" s="29"/>
      <c r="G30" s="193"/>
      <c r="H30" s="263"/>
      <c r="I30" s="29"/>
      <c r="J30" s="29"/>
      <c r="K30" s="29"/>
      <c r="L30" s="29"/>
      <c r="M30" s="29"/>
      <c r="N30" s="194"/>
      <c r="O30" s="423"/>
      <c r="P30" s="290"/>
      <c r="Q30" s="291"/>
      <c r="R30" s="280"/>
      <c r="S30" s="281"/>
      <c r="T30" s="292"/>
      <c r="U30" s="194"/>
      <c r="V30" s="195"/>
      <c r="W30" s="102"/>
    </row>
    <row r="31" spans="1:23" ht="16.5" customHeight="1">
      <c r="A31" s="13"/>
      <c r="B31" s="83"/>
      <c r="C31" s="451" t="s">
        <v>152</v>
      </c>
      <c r="D31" s="465" t="s">
        <v>9</v>
      </c>
      <c r="E31" s="465" t="s">
        <v>169</v>
      </c>
      <c r="F31" s="465">
        <v>150</v>
      </c>
      <c r="G31" s="465" t="s">
        <v>3</v>
      </c>
      <c r="H31" s="264">
        <f>F31*$F$21</f>
        <v>36.75</v>
      </c>
      <c r="I31" s="456">
        <v>38646.089583333334</v>
      </c>
      <c r="J31" s="456">
        <v>38646.14097222222</v>
      </c>
      <c r="K31" s="37">
        <f>IF(D31="","",(J31-I31)*24)</f>
        <v>1.2333333333372138</v>
      </c>
      <c r="L31" s="38">
        <f>IF(D31="","",(J31-I31)*24*60)</f>
        <v>74.00000000023283</v>
      </c>
      <c r="M31" s="457" t="s">
        <v>131</v>
      </c>
      <c r="N31" s="39" t="str">
        <f>IF(D31="","",IF(OR(M31="P",M31="RP"),"--","NO"))</f>
        <v>NO</v>
      </c>
      <c r="O31" s="424" t="str">
        <f>IF(D31="","","NO")</f>
        <v>NO</v>
      </c>
      <c r="P31" s="234">
        <f>200*IF(O31="SI",1,0.1)*IF(M31="P",0.1,1)</f>
        <v>20</v>
      </c>
      <c r="Q31" s="287" t="str">
        <f>IF(M31="P",H31*P31*ROUND(L31/60,2),"--")</f>
        <v>--</v>
      </c>
      <c r="R31" s="282">
        <f>IF(AND(M31="F",N31="NO"),H31*P31,"--")</f>
        <v>735</v>
      </c>
      <c r="S31" s="283">
        <f>IF(M31="F",H31*P31*ROUND(L31/60,2),"--")</f>
        <v>904.05</v>
      </c>
      <c r="T31" s="232" t="str">
        <f>IF(M31="RF",H31*P31*ROUND(L31/60,2),"--")</f>
        <v>--</v>
      </c>
      <c r="U31" s="40" t="str">
        <f>IF(D31="","","SI")</f>
        <v>SI</v>
      </c>
      <c r="V31" s="124">
        <f>IF(D31="","",SUM(Q31:T31)*IF(U31="SI",1,2))</f>
        <v>1639.05</v>
      </c>
      <c r="W31" s="105"/>
    </row>
    <row r="32" spans="1:23" ht="16.5" customHeight="1">
      <c r="A32" s="13"/>
      <c r="B32" s="83"/>
      <c r="C32" s="451" t="s">
        <v>153</v>
      </c>
      <c r="D32" s="465" t="s">
        <v>9</v>
      </c>
      <c r="E32" s="465" t="s">
        <v>10</v>
      </c>
      <c r="F32" s="465">
        <v>300</v>
      </c>
      <c r="G32" s="465" t="s">
        <v>3</v>
      </c>
      <c r="H32" s="264">
        <f>F32*$F$21</f>
        <v>73.5</v>
      </c>
      <c r="I32" s="456">
        <v>38654.34861111111</v>
      </c>
      <c r="J32" s="456">
        <v>38654.68194444444</v>
      </c>
      <c r="K32" s="37">
        <f>IF(D32="","",(J32-I32)*24)</f>
        <v>7.999999999883585</v>
      </c>
      <c r="L32" s="38">
        <f>IF(D32="","",(J32-I32)*24*60)</f>
        <v>479.9999999930151</v>
      </c>
      <c r="M32" s="457" t="s">
        <v>141</v>
      </c>
      <c r="N32" s="39" t="str">
        <f>IF(D32="","",IF(OR(M32="P",M32="RP"),"--","NO"))</f>
        <v>--</v>
      </c>
      <c r="O32" s="424" t="str">
        <f>IF(D32="","","NO")</f>
        <v>NO</v>
      </c>
      <c r="P32" s="234">
        <f>200*IF(O32="SI",1,0.1)*IF(M32="P",0.1,1)</f>
        <v>2</v>
      </c>
      <c r="Q32" s="287">
        <f>IF(M32="P",H32*P32*ROUND(L32/60,2),"--")</f>
        <v>1176</v>
      </c>
      <c r="R32" s="282" t="str">
        <f>IF(AND(M32="F",N32="NO"),H32*P32,"--")</f>
        <v>--</v>
      </c>
      <c r="S32" s="283" t="str">
        <f>IF(M32="F",H32*P32*ROUND(L32/60,2),"--")</f>
        <v>--</v>
      </c>
      <c r="T32" s="232" t="str">
        <f>IF(M32="RF",H32*P32*ROUND(L32/60,2),"--")</f>
        <v>--</v>
      </c>
      <c r="U32" s="40" t="str">
        <f>IF(D32="","","SI")</f>
        <v>SI</v>
      </c>
      <c r="V32" s="124">
        <f>IF(D32="","",SUM(Q32:T32)*IF(U32="SI",1,2))</f>
        <v>1176</v>
      </c>
      <c r="W32" s="105"/>
    </row>
    <row r="33" spans="1:23" ht="16.5" customHeight="1" thickBot="1">
      <c r="A33" s="65"/>
      <c r="B33" s="83"/>
      <c r="C33" s="41"/>
      <c r="D33" s="196"/>
      <c r="E33" s="197"/>
      <c r="F33" s="198"/>
      <c r="G33" s="199"/>
      <c r="H33" s="265"/>
      <c r="I33" s="200"/>
      <c r="J33" s="201"/>
      <c r="K33" s="202"/>
      <c r="L33" s="203"/>
      <c r="M33" s="42"/>
      <c r="N33" s="24"/>
      <c r="O33" s="425"/>
      <c r="P33" s="235"/>
      <c r="Q33" s="288"/>
      <c r="R33" s="284"/>
      <c r="S33" s="285"/>
      <c r="T33" s="236"/>
      <c r="U33" s="204"/>
      <c r="V33" s="205"/>
      <c r="W33" s="105"/>
    </row>
    <row r="34" spans="1:23" ht="16.5" customHeight="1" thickBot="1" thickTop="1">
      <c r="A34" s="65"/>
      <c r="B34" s="83"/>
      <c r="C34" s="118"/>
      <c r="D34" s="1"/>
      <c r="E34" s="1"/>
      <c r="F34" s="127"/>
      <c r="G34" s="206"/>
      <c r="H34" s="207"/>
      <c r="I34" s="208"/>
      <c r="J34" s="209"/>
      <c r="K34" s="210"/>
      <c r="L34" s="211"/>
      <c r="M34" s="207"/>
      <c r="N34" s="212"/>
      <c r="O34" s="27"/>
      <c r="P34" s="213"/>
      <c r="Q34" s="214"/>
      <c r="R34" s="215"/>
      <c r="S34" s="215"/>
      <c r="T34" s="215"/>
      <c r="U34" s="182"/>
      <c r="V34" s="216">
        <f>SUM(V30:V33)</f>
        <v>2815.05</v>
      </c>
      <c r="W34" s="105"/>
    </row>
    <row r="35" spans="1:23" ht="16.5" customHeight="1" thickBot="1" thickTop="1">
      <c r="A35" s="65"/>
      <c r="B35" s="83"/>
      <c r="C35" s="118"/>
      <c r="D35" s="1"/>
      <c r="E35" s="1"/>
      <c r="F35" s="127"/>
      <c r="G35" s="206"/>
      <c r="H35" s="207"/>
      <c r="I35" s="208"/>
      <c r="L35" s="211"/>
      <c r="M35" s="207"/>
      <c r="N35" s="394"/>
      <c r="O35" s="395"/>
      <c r="P35" s="213"/>
      <c r="Q35" s="214"/>
      <c r="R35" s="215"/>
      <c r="S35" s="215"/>
      <c r="T35" s="215"/>
      <c r="U35" s="182"/>
      <c r="V35" s="182"/>
      <c r="W35" s="105"/>
    </row>
    <row r="36" spans="2:23" s="13" customFormat="1" ht="33.75" customHeight="1" thickBot="1" thickTop="1">
      <c r="B36" s="83"/>
      <c r="C36" s="106" t="s">
        <v>31</v>
      </c>
      <c r="D36" s="114" t="s">
        <v>53</v>
      </c>
      <c r="E36" s="510" t="s">
        <v>21</v>
      </c>
      <c r="F36" s="511"/>
      <c r="G36" s="116" t="s">
        <v>32</v>
      </c>
      <c r="H36" s="184" t="s">
        <v>36</v>
      </c>
      <c r="I36" s="108" t="s">
        <v>37</v>
      </c>
      <c r="J36" s="110" t="s">
        <v>38</v>
      </c>
      <c r="K36" s="125" t="s">
        <v>39</v>
      </c>
      <c r="L36" s="125" t="s">
        <v>40</v>
      </c>
      <c r="M36" s="113" t="s">
        <v>41</v>
      </c>
      <c r="N36" s="510" t="s">
        <v>44</v>
      </c>
      <c r="O36" s="519"/>
      <c r="P36" s="224" t="s">
        <v>35</v>
      </c>
      <c r="Q36" s="222" t="s">
        <v>51</v>
      </c>
      <c r="R36" s="228" t="s">
        <v>58</v>
      </c>
      <c r="S36" s="229"/>
      <c r="T36" s="233" t="s">
        <v>47</v>
      </c>
      <c r="U36" s="116" t="s">
        <v>48</v>
      </c>
      <c r="V36" s="123" t="s">
        <v>49</v>
      </c>
      <c r="W36" s="84"/>
    </row>
    <row r="37" spans="2:23" s="13" customFormat="1" ht="16.5" customHeight="1" thickTop="1">
      <c r="B37" s="83"/>
      <c r="C37" s="14"/>
      <c r="D37" s="46"/>
      <c r="E37" s="520"/>
      <c r="F37" s="521"/>
      <c r="G37" s="46"/>
      <c r="H37" s="187"/>
      <c r="I37" s="46"/>
      <c r="J37" s="46"/>
      <c r="K37" s="46"/>
      <c r="L37" s="46"/>
      <c r="M37" s="46"/>
      <c r="N37" s="525"/>
      <c r="O37" s="526"/>
      <c r="P37" s="223"/>
      <c r="Q37" s="226"/>
      <c r="R37" s="230"/>
      <c r="S37" s="231"/>
      <c r="T37" s="232"/>
      <c r="U37" s="46"/>
      <c r="V37" s="126"/>
      <c r="W37" s="84"/>
    </row>
    <row r="38" spans="2:23" s="13" customFormat="1" ht="16.5" customHeight="1">
      <c r="B38" s="83"/>
      <c r="C38" s="14" t="s">
        <v>154</v>
      </c>
      <c r="D38" s="465" t="s">
        <v>7</v>
      </c>
      <c r="E38" s="522" t="s">
        <v>11</v>
      </c>
      <c r="F38" s="523"/>
      <c r="G38" s="465">
        <v>132</v>
      </c>
      <c r="H38" s="185">
        <f aca="true" t="shared" si="0" ref="H38:H55">IF(G38=500,$M$19,IF(G38=220,$M$20,$M$21))</f>
        <v>39.254</v>
      </c>
      <c r="I38" s="458">
        <v>38630.33611111111</v>
      </c>
      <c r="J38" s="459">
        <v>38630.71944444445</v>
      </c>
      <c r="K38" s="47">
        <f aca="true" t="shared" si="1" ref="K38:K55">IF(D38="","",(J38-I38)*24)</f>
        <v>9.200000000128057</v>
      </c>
      <c r="L38" s="23">
        <f aca="true" t="shared" si="2" ref="L38:L55">IF(D38="","",ROUND((J38-I38)*24*60,0))</f>
        <v>552</v>
      </c>
      <c r="M38" s="454" t="s">
        <v>141</v>
      </c>
      <c r="N38" s="527" t="str">
        <f aca="true" t="shared" si="3" ref="N38:N55">IF(D38="","",IF(OR(M38="P",M38="RP"),"--","NO"))</f>
        <v>--</v>
      </c>
      <c r="O38" s="498"/>
      <c r="P38" s="225">
        <f aca="true" t="shared" si="4" ref="P38:P55">IF(G38=500,$N$19,IF(G38=220,$N$20,$N$21))</f>
        <v>40</v>
      </c>
      <c r="Q38" s="227">
        <f aca="true" t="shared" si="5" ref="Q38:Q55">IF(M38="P",H38*P38*ROUND(L38/60,2)*0.1,"--")</f>
        <v>1444.5472</v>
      </c>
      <c r="R38" s="230" t="str">
        <f aca="true" t="shared" si="6" ref="R38:R55">IF(AND(M38="F",N38="NO"),H38*P38,"--")</f>
        <v>--</v>
      </c>
      <c r="S38" s="231" t="str">
        <f aca="true" t="shared" si="7" ref="S38:S55">IF(M38="F",H38*P38*ROUND(L38/60,2),"--")</f>
        <v>--</v>
      </c>
      <c r="T38" s="232" t="str">
        <f aca="true" t="shared" si="8" ref="T38:T55">IF(M38="RF",H38*P38*ROUND(L38/60,2),"--")</f>
        <v>--</v>
      </c>
      <c r="U38" s="48" t="str">
        <f aca="true" t="shared" si="9" ref="U38:U55">IF(D38="","","SI")</f>
        <v>SI</v>
      </c>
      <c r="V38" s="49">
        <f aca="true" t="shared" si="10" ref="V38:V55">IF(D38="","",SUM(Q38:T38)*IF(U38="SI",1,2))</f>
        <v>1444.5472</v>
      </c>
      <c r="W38" s="84"/>
    </row>
    <row r="39" spans="2:23" s="13" customFormat="1" ht="16.5" customHeight="1">
      <c r="B39" s="83"/>
      <c r="C39" s="14" t="s">
        <v>155</v>
      </c>
      <c r="D39" s="465" t="s">
        <v>7</v>
      </c>
      <c r="E39" s="522" t="s">
        <v>13</v>
      </c>
      <c r="F39" s="523"/>
      <c r="G39" s="465">
        <v>132</v>
      </c>
      <c r="H39" s="185">
        <f t="shared" si="0"/>
        <v>39.254</v>
      </c>
      <c r="I39" s="458">
        <v>38630.40069444444</v>
      </c>
      <c r="J39" s="459">
        <v>38630.634722222225</v>
      </c>
      <c r="K39" s="47">
        <f t="shared" si="1"/>
        <v>5.616666666814126</v>
      </c>
      <c r="L39" s="23">
        <f t="shared" si="2"/>
        <v>337</v>
      </c>
      <c r="M39" s="454" t="s">
        <v>141</v>
      </c>
      <c r="N39" s="527" t="str">
        <f t="shared" si="3"/>
        <v>--</v>
      </c>
      <c r="O39" s="498"/>
      <c r="P39" s="225">
        <f t="shared" si="4"/>
        <v>40</v>
      </c>
      <c r="Q39" s="227">
        <f t="shared" si="5"/>
        <v>882.42992</v>
      </c>
      <c r="R39" s="230" t="str">
        <f t="shared" si="6"/>
        <v>--</v>
      </c>
      <c r="S39" s="231" t="str">
        <f t="shared" si="7"/>
        <v>--</v>
      </c>
      <c r="T39" s="232" t="str">
        <f t="shared" si="8"/>
        <v>--</v>
      </c>
      <c r="U39" s="48" t="str">
        <f t="shared" si="9"/>
        <v>SI</v>
      </c>
      <c r="V39" s="49">
        <f t="shared" si="10"/>
        <v>882.42992</v>
      </c>
      <c r="W39" s="84"/>
    </row>
    <row r="40" spans="2:23" s="13" customFormat="1" ht="16.5" customHeight="1">
      <c r="B40" s="83"/>
      <c r="C40" s="14" t="s">
        <v>146</v>
      </c>
      <c r="D40" s="465" t="s">
        <v>7</v>
      </c>
      <c r="E40" s="522" t="s">
        <v>15</v>
      </c>
      <c r="F40" s="523"/>
      <c r="G40" s="465">
        <v>132</v>
      </c>
      <c r="H40" s="185">
        <f t="shared" si="0"/>
        <v>39.254</v>
      </c>
      <c r="I40" s="458">
        <v>38631.38611111111</v>
      </c>
      <c r="J40" s="459">
        <v>38631.74236111111</v>
      </c>
      <c r="K40" s="47">
        <f t="shared" si="1"/>
        <v>8.54999999993015</v>
      </c>
      <c r="L40" s="23">
        <f t="shared" si="2"/>
        <v>513</v>
      </c>
      <c r="M40" s="454" t="s">
        <v>141</v>
      </c>
      <c r="N40" s="527" t="str">
        <f t="shared" si="3"/>
        <v>--</v>
      </c>
      <c r="O40" s="498"/>
      <c r="P40" s="225">
        <f t="shared" si="4"/>
        <v>40</v>
      </c>
      <c r="Q40" s="227">
        <f t="shared" si="5"/>
        <v>1342.4868000000001</v>
      </c>
      <c r="R40" s="230" t="str">
        <f t="shared" si="6"/>
        <v>--</v>
      </c>
      <c r="S40" s="231" t="str">
        <f t="shared" si="7"/>
        <v>--</v>
      </c>
      <c r="T40" s="232" t="str">
        <f t="shared" si="8"/>
        <v>--</v>
      </c>
      <c r="U40" s="48" t="str">
        <f t="shared" si="9"/>
        <v>SI</v>
      </c>
      <c r="V40" s="49">
        <f t="shared" si="10"/>
        <v>1342.4868000000001</v>
      </c>
      <c r="W40" s="84"/>
    </row>
    <row r="41" spans="2:23" s="13" customFormat="1" ht="16.5" customHeight="1">
      <c r="B41" s="83"/>
      <c r="C41" s="14" t="s">
        <v>147</v>
      </c>
      <c r="D41" s="465" t="s">
        <v>7</v>
      </c>
      <c r="E41" s="522" t="s">
        <v>14</v>
      </c>
      <c r="F41" s="523"/>
      <c r="G41" s="465">
        <v>132</v>
      </c>
      <c r="H41" s="185">
        <f t="shared" si="0"/>
        <v>39.254</v>
      </c>
      <c r="I41" s="458">
        <v>38632.40416666667</v>
      </c>
      <c r="J41" s="459">
        <v>38632.7375</v>
      </c>
      <c r="K41" s="47">
        <f t="shared" si="1"/>
        <v>8.000000000058208</v>
      </c>
      <c r="L41" s="23">
        <f t="shared" si="2"/>
        <v>480</v>
      </c>
      <c r="M41" s="454" t="s">
        <v>141</v>
      </c>
      <c r="N41" s="527" t="str">
        <f t="shared" si="3"/>
        <v>--</v>
      </c>
      <c r="O41" s="498"/>
      <c r="P41" s="225">
        <f t="shared" si="4"/>
        <v>40</v>
      </c>
      <c r="Q41" s="227">
        <f t="shared" si="5"/>
        <v>1256.128</v>
      </c>
      <c r="R41" s="230" t="str">
        <f t="shared" si="6"/>
        <v>--</v>
      </c>
      <c r="S41" s="231" t="str">
        <f t="shared" si="7"/>
        <v>--</v>
      </c>
      <c r="T41" s="232" t="str">
        <f t="shared" si="8"/>
        <v>--</v>
      </c>
      <c r="U41" s="48" t="str">
        <f t="shared" si="9"/>
        <v>SI</v>
      </c>
      <c r="V41" s="49">
        <f t="shared" si="10"/>
        <v>1256.128</v>
      </c>
      <c r="W41" s="84"/>
    </row>
    <row r="42" spans="2:23" s="13" customFormat="1" ht="16.5" customHeight="1">
      <c r="B42" s="83"/>
      <c r="C42" s="14" t="s">
        <v>156</v>
      </c>
      <c r="D42" s="465" t="s">
        <v>9</v>
      </c>
      <c r="E42" s="522" t="s">
        <v>18</v>
      </c>
      <c r="F42" s="523"/>
      <c r="G42" s="465">
        <v>132</v>
      </c>
      <c r="H42" s="185">
        <f t="shared" si="0"/>
        <v>39.254</v>
      </c>
      <c r="I42" s="458">
        <v>38633.34583333333</v>
      </c>
      <c r="J42" s="459">
        <v>38633.510416666664</v>
      </c>
      <c r="K42" s="47">
        <f t="shared" si="1"/>
        <v>3.949999999953434</v>
      </c>
      <c r="L42" s="23">
        <f t="shared" si="2"/>
        <v>237</v>
      </c>
      <c r="M42" s="454" t="s">
        <v>141</v>
      </c>
      <c r="N42" s="527" t="str">
        <f t="shared" si="3"/>
        <v>--</v>
      </c>
      <c r="O42" s="498"/>
      <c r="P42" s="225">
        <f t="shared" si="4"/>
        <v>40</v>
      </c>
      <c r="Q42" s="227">
        <f t="shared" si="5"/>
        <v>620.2132</v>
      </c>
      <c r="R42" s="230" t="str">
        <f t="shared" si="6"/>
        <v>--</v>
      </c>
      <c r="S42" s="231" t="str">
        <f t="shared" si="7"/>
        <v>--</v>
      </c>
      <c r="T42" s="232" t="str">
        <f t="shared" si="8"/>
        <v>--</v>
      </c>
      <c r="U42" s="48" t="str">
        <f t="shared" si="9"/>
        <v>SI</v>
      </c>
      <c r="V42" s="49">
        <f t="shared" si="10"/>
        <v>620.2132</v>
      </c>
      <c r="W42" s="84"/>
    </row>
    <row r="43" spans="2:23" s="13" customFormat="1" ht="16.5" customHeight="1">
      <c r="B43" s="83"/>
      <c r="C43" s="14" t="s">
        <v>157</v>
      </c>
      <c r="D43" s="465" t="s">
        <v>8</v>
      </c>
      <c r="E43" s="522" t="s">
        <v>17</v>
      </c>
      <c r="F43" s="523"/>
      <c r="G43" s="465">
        <v>132</v>
      </c>
      <c r="H43" s="185">
        <f t="shared" si="0"/>
        <v>39.254</v>
      </c>
      <c r="I43" s="458">
        <v>38636.41180555556</v>
      </c>
      <c r="J43" s="459">
        <v>38636.731944444444</v>
      </c>
      <c r="K43" s="47">
        <f t="shared" si="1"/>
        <v>7.68333333323244</v>
      </c>
      <c r="L43" s="23">
        <f t="shared" si="2"/>
        <v>461</v>
      </c>
      <c r="M43" s="454" t="s">
        <v>141</v>
      </c>
      <c r="N43" s="527" t="str">
        <f t="shared" si="3"/>
        <v>--</v>
      </c>
      <c r="O43" s="498"/>
      <c r="P43" s="225">
        <f t="shared" si="4"/>
        <v>40</v>
      </c>
      <c r="Q43" s="227">
        <f t="shared" si="5"/>
        <v>1205.88288</v>
      </c>
      <c r="R43" s="230" t="str">
        <f t="shared" si="6"/>
        <v>--</v>
      </c>
      <c r="S43" s="231" t="str">
        <f t="shared" si="7"/>
        <v>--</v>
      </c>
      <c r="T43" s="232" t="str">
        <f t="shared" si="8"/>
        <v>--</v>
      </c>
      <c r="U43" s="48" t="str">
        <f t="shared" si="9"/>
        <v>SI</v>
      </c>
      <c r="V43" s="49">
        <f t="shared" si="10"/>
        <v>1205.88288</v>
      </c>
      <c r="W43" s="84"/>
    </row>
    <row r="44" spans="2:23" s="13" customFormat="1" ht="16.5" customHeight="1">
      <c r="B44" s="83"/>
      <c r="C44" s="14" t="s">
        <v>158</v>
      </c>
      <c r="D44" s="465" t="s">
        <v>7</v>
      </c>
      <c r="E44" s="522" t="s">
        <v>129</v>
      </c>
      <c r="F44" s="523"/>
      <c r="G44" s="465">
        <v>132</v>
      </c>
      <c r="H44" s="185">
        <f t="shared" si="0"/>
        <v>39.254</v>
      </c>
      <c r="I44" s="458">
        <v>38636.42013888889</v>
      </c>
      <c r="J44" s="459">
        <v>38636.75069444445</v>
      </c>
      <c r="K44" s="47">
        <f t="shared" si="1"/>
        <v>7.933333333348855</v>
      </c>
      <c r="L44" s="23">
        <f t="shared" si="2"/>
        <v>476</v>
      </c>
      <c r="M44" s="454" t="s">
        <v>141</v>
      </c>
      <c r="N44" s="527" t="str">
        <f t="shared" si="3"/>
        <v>--</v>
      </c>
      <c r="O44" s="498"/>
      <c r="P44" s="225">
        <f t="shared" si="4"/>
        <v>40</v>
      </c>
      <c r="Q44" s="227">
        <f t="shared" si="5"/>
        <v>1245.13688</v>
      </c>
      <c r="R44" s="230" t="str">
        <f t="shared" si="6"/>
        <v>--</v>
      </c>
      <c r="S44" s="231" t="str">
        <f t="shared" si="7"/>
        <v>--</v>
      </c>
      <c r="T44" s="232" t="str">
        <f t="shared" si="8"/>
        <v>--</v>
      </c>
      <c r="U44" s="48" t="str">
        <f t="shared" si="9"/>
        <v>SI</v>
      </c>
      <c r="V44" s="49">
        <f t="shared" si="10"/>
        <v>1245.13688</v>
      </c>
      <c r="W44" s="84"/>
    </row>
    <row r="45" spans="2:23" s="13" customFormat="1" ht="16.5" customHeight="1">
      <c r="B45" s="83"/>
      <c r="C45" s="14" t="s">
        <v>159</v>
      </c>
      <c r="D45" s="465" t="s">
        <v>7</v>
      </c>
      <c r="E45" s="522" t="s">
        <v>129</v>
      </c>
      <c r="F45" s="523"/>
      <c r="G45" s="465">
        <v>132</v>
      </c>
      <c r="H45" s="185">
        <f t="shared" si="0"/>
        <v>39.254</v>
      </c>
      <c r="I45" s="458">
        <v>38636.75069444445</v>
      </c>
      <c r="J45" s="459">
        <v>38636.919444444444</v>
      </c>
      <c r="K45" s="47">
        <f t="shared" si="1"/>
        <v>4.049999999930151</v>
      </c>
      <c r="L45" s="23">
        <f t="shared" si="2"/>
        <v>243</v>
      </c>
      <c r="M45" s="454" t="s">
        <v>131</v>
      </c>
      <c r="N45" s="527" t="s">
        <v>142</v>
      </c>
      <c r="O45" s="498"/>
      <c r="P45" s="225">
        <f t="shared" si="4"/>
        <v>40</v>
      </c>
      <c r="Q45" s="227" t="str">
        <f t="shared" si="5"/>
        <v>--</v>
      </c>
      <c r="R45" s="230" t="str">
        <f t="shared" si="6"/>
        <v>--</v>
      </c>
      <c r="S45" s="231">
        <f t="shared" si="7"/>
        <v>6359.147999999999</v>
      </c>
      <c r="T45" s="232" t="str">
        <f t="shared" si="8"/>
        <v>--</v>
      </c>
      <c r="U45" s="48" t="str">
        <f t="shared" si="9"/>
        <v>SI</v>
      </c>
      <c r="V45" s="49">
        <f t="shared" si="10"/>
        <v>6359.147999999999</v>
      </c>
      <c r="W45" s="84"/>
    </row>
    <row r="46" spans="2:23" s="13" customFormat="1" ht="16.5" customHeight="1">
      <c r="B46" s="83"/>
      <c r="C46" s="14" t="s">
        <v>160</v>
      </c>
      <c r="D46" s="465" t="s">
        <v>7</v>
      </c>
      <c r="E46" s="522" t="s">
        <v>16</v>
      </c>
      <c r="F46" s="523"/>
      <c r="G46" s="465">
        <v>132</v>
      </c>
      <c r="H46" s="185">
        <f t="shared" si="0"/>
        <v>39.254</v>
      </c>
      <c r="I46" s="458">
        <v>38643.3125</v>
      </c>
      <c r="J46" s="459">
        <v>38643.722916666666</v>
      </c>
      <c r="K46" s="47">
        <f t="shared" si="1"/>
        <v>9.849999999976717</v>
      </c>
      <c r="L46" s="23">
        <f t="shared" si="2"/>
        <v>591</v>
      </c>
      <c r="M46" s="454" t="s">
        <v>141</v>
      </c>
      <c r="N46" s="527" t="str">
        <f t="shared" si="3"/>
        <v>--</v>
      </c>
      <c r="O46" s="498"/>
      <c r="P46" s="225">
        <f t="shared" si="4"/>
        <v>40</v>
      </c>
      <c r="Q46" s="227">
        <f t="shared" si="5"/>
        <v>1546.6075999999998</v>
      </c>
      <c r="R46" s="230" t="str">
        <f t="shared" si="6"/>
        <v>--</v>
      </c>
      <c r="S46" s="231" t="str">
        <f t="shared" si="7"/>
        <v>--</v>
      </c>
      <c r="T46" s="232" t="str">
        <f t="shared" si="8"/>
        <v>--</v>
      </c>
      <c r="U46" s="48" t="str">
        <f t="shared" si="9"/>
        <v>SI</v>
      </c>
      <c r="V46" s="49">
        <f t="shared" si="10"/>
        <v>1546.6075999999998</v>
      </c>
      <c r="W46" s="84"/>
    </row>
    <row r="47" spans="2:23" s="13" customFormat="1" ht="16.5" customHeight="1">
      <c r="B47" s="83"/>
      <c r="C47" s="14" t="s">
        <v>161</v>
      </c>
      <c r="D47" s="465" t="s">
        <v>7</v>
      </c>
      <c r="E47" s="522" t="s">
        <v>16</v>
      </c>
      <c r="F47" s="523"/>
      <c r="G47" s="465">
        <v>132</v>
      </c>
      <c r="H47" s="185">
        <f t="shared" si="0"/>
        <v>39.254</v>
      </c>
      <c r="I47" s="458">
        <v>38644.325694444444</v>
      </c>
      <c r="J47" s="459">
        <v>38644.74375</v>
      </c>
      <c r="K47" s="47">
        <f t="shared" si="1"/>
        <v>10.03333333338378</v>
      </c>
      <c r="L47" s="23">
        <f t="shared" si="2"/>
        <v>602</v>
      </c>
      <c r="M47" s="454" t="s">
        <v>141</v>
      </c>
      <c r="N47" s="527" t="str">
        <f t="shared" si="3"/>
        <v>--</v>
      </c>
      <c r="O47" s="498"/>
      <c r="P47" s="225">
        <f t="shared" si="4"/>
        <v>40</v>
      </c>
      <c r="Q47" s="227">
        <f t="shared" si="5"/>
        <v>1574.8704799999998</v>
      </c>
      <c r="R47" s="230" t="str">
        <f t="shared" si="6"/>
        <v>--</v>
      </c>
      <c r="S47" s="231" t="str">
        <f t="shared" si="7"/>
        <v>--</v>
      </c>
      <c r="T47" s="232" t="str">
        <f t="shared" si="8"/>
        <v>--</v>
      </c>
      <c r="U47" s="48" t="str">
        <f t="shared" si="9"/>
        <v>SI</v>
      </c>
      <c r="V47" s="49">
        <f t="shared" si="10"/>
        <v>1574.8704799999998</v>
      </c>
      <c r="W47" s="84"/>
    </row>
    <row r="48" spans="2:23" s="13" customFormat="1" ht="16.5" customHeight="1">
      <c r="B48" s="83"/>
      <c r="C48" s="14" t="s">
        <v>162</v>
      </c>
      <c r="D48" s="465" t="s">
        <v>9</v>
      </c>
      <c r="E48" s="522" t="s">
        <v>19</v>
      </c>
      <c r="F48" s="523"/>
      <c r="G48" s="465">
        <v>132</v>
      </c>
      <c r="H48" s="185">
        <f t="shared" si="0"/>
        <v>39.254</v>
      </c>
      <c r="I48" s="458">
        <v>38644.525</v>
      </c>
      <c r="J48" s="459">
        <v>38644.63125</v>
      </c>
      <c r="K48" s="47">
        <f t="shared" si="1"/>
        <v>2.549999999930151</v>
      </c>
      <c r="L48" s="23">
        <f t="shared" si="2"/>
        <v>153</v>
      </c>
      <c r="M48" s="454" t="s">
        <v>141</v>
      </c>
      <c r="N48" s="527" t="str">
        <f t="shared" si="3"/>
        <v>--</v>
      </c>
      <c r="O48" s="498"/>
      <c r="P48" s="225">
        <f t="shared" si="4"/>
        <v>40</v>
      </c>
      <c r="Q48" s="227">
        <f t="shared" si="5"/>
        <v>400.39079999999996</v>
      </c>
      <c r="R48" s="230" t="str">
        <f t="shared" si="6"/>
        <v>--</v>
      </c>
      <c r="S48" s="231" t="str">
        <f t="shared" si="7"/>
        <v>--</v>
      </c>
      <c r="T48" s="232" t="str">
        <f t="shared" si="8"/>
        <v>--</v>
      </c>
      <c r="U48" s="48" t="str">
        <f t="shared" si="9"/>
        <v>SI</v>
      </c>
      <c r="V48" s="49">
        <f t="shared" si="10"/>
        <v>400.39079999999996</v>
      </c>
      <c r="W48" s="84"/>
    </row>
    <row r="49" spans="2:23" s="13" customFormat="1" ht="16.5" customHeight="1">
      <c r="B49" s="83"/>
      <c r="C49" s="14" t="s">
        <v>155</v>
      </c>
      <c r="D49" s="465" t="s">
        <v>9</v>
      </c>
      <c r="E49" s="522" t="s">
        <v>20</v>
      </c>
      <c r="F49" s="523"/>
      <c r="G49" s="465">
        <v>132</v>
      </c>
      <c r="H49" s="185">
        <f t="shared" si="0"/>
        <v>39.254</v>
      </c>
      <c r="I49" s="458">
        <v>38645.35902777778</v>
      </c>
      <c r="J49" s="459">
        <v>38645.61875</v>
      </c>
      <c r="K49" s="47">
        <f t="shared" si="1"/>
        <v>6.2333333333954215</v>
      </c>
      <c r="L49" s="23">
        <f t="shared" si="2"/>
        <v>374</v>
      </c>
      <c r="M49" s="454" t="s">
        <v>141</v>
      </c>
      <c r="N49" s="527" t="str">
        <f t="shared" si="3"/>
        <v>--</v>
      </c>
      <c r="O49" s="498"/>
      <c r="P49" s="225">
        <f t="shared" si="4"/>
        <v>40</v>
      </c>
      <c r="Q49" s="227">
        <f t="shared" si="5"/>
        <v>978.2096799999999</v>
      </c>
      <c r="R49" s="230" t="str">
        <f t="shared" si="6"/>
        <v>--</v>
      </c>
      <c r="S49" s="231" t="str">
        <f t="shared" si="7"/>
        <v>--</v>
      </c>
      <c r="T49" s="232" t="str">
        <f t="shared" si="8"/>
        <v>--</v>
      </c>
      <c r="U49" s="48" t="str">
        <f t="shared" si="9"/>
        <v>SI</v>
      </c>
      <c r="V49" s="49">
        <f t="shared" si="10"/>
        <v>978.2096799999999</v>
      </c>
      <c r="W49" s="84"/>
    </row>
    <row r="50" spans="2:23" s="13" customFormat="1" ht="16.5" customHeight="1">
      <c r="B50" s="83"/>
      <c r="C50" s="14" t="s">
        <v>146</v>
      </c>
      <c r="D50" s="465" t="s">
        <v>9</v>
      </c>
      <c r="E50" s="522" t="s">
        <v>18</v>
      </c>
      <c r="F50" s="523"/>
      <c r="G50" s="465">
        <v>132</v>
      </c>
      <c r="H50" s="185">
        <f t="shared" si="0"/>
        <v>39.254</v>
      </c>
      <c r="I50" s="458">
        <v>38646.35902777778</v>
      </c>
      <c r="J50" s="459">
        <v>38646.54722222222</v>
      </c>
      <c r="K50" s="47">
        <f t="shared" si="1"/>
        <v>4.516666666720994</v>
      </c>
      <c r="L50" s="23">
        <f t="shared" si="2"/>
        <v>271</v>
      </c>
      <c r="M50" s="454" t="s">
        <v>141</v>
      </c>
      <c r="N50" s="527" t="str">
        <f t="shared" si="3"/>
        <v>--</v>
      </c>
      <c r="O50" s="498"/>
      <c r="P50" s="225">
        <f t="shared" si="4"/>
        <v>40</v>
      </c>
      <c r="Q50" s="227">
        <f t="shared" si="5"/>
        <v>709.71232</v>
      </c>
      <c r="R50" s="230" t="str">
        <f t="shared" si="6"/>
        <v>--</v>
      </c>
      <c r="S50" s="231" t="str">
        <f t="shared" si="7"/>
        <v>--</v>
      </c>
      <c r="T50" s="232" t="str">
        <f t="shared" si="8"/>
        <v>--</v>
      </c>
      <c r="U50" s="48" t="str">
        <f t="shared" si="9"/>
        <v>SI</v>
      </c>
      <c r="V50" s="49">
        <f t="shared" si="10"/>
        <v>709.71232</v>
      </c>
      <c r="W50" s="84"/>
    </row>
    <row r="51" spans="2:23" s="13" customFormat="1" ht="16.5" customHeight="1">
      <c r="B51" s="83"/>
      <c r="C51" s="14" t="s">
        <v>147</v>
      </c>
      <c r="D51" s="465" t="s">
        <v>8</v>
      </c>
      <c r="E51" s="522" t="s">
        <v>132</v>
      </c>
      <c r="F51" s="523"/>
      <c r="G51" s="465">
        <v>132</v>
      </c>
      <c r="H51" s="185">
        <f t="shared" si="0"/>
        <v>39.254</v>
      </c>
      <c r="I51" s="458">
        <v>38647.33194444444</v>
      </c>
      <c r="J51" s="459">
        <v>38647.72152777778</v>
      </c>
      <c r="K51" s="47">
        <f t="shared" si="1"/>
        <v>9.350000000093132</v>
      </c>
      <c r="L51" s="23">
        <f t="shared" si="2"/>
        <v>561</v>
      </c>
      <c r="M51" s="454" t="s">
        <v>141</v>
      </c>
      <c r="N51" s="527" t="str">
        <f t="shared" si="3"/>
        <v>--</v>
      </c>
      <c r="O51" s="498"/>
      <c r="P51" s="225">
        <f t="shared" si="4"/>
        <v>40</v>
      </c>
      <c r="Q51" s="227">
        <f t="shared" si="5"/>
        <v>1468.0995999999998</v>
      </c>
      <c r="R51" s="230" t="str">
        <f t="shared" si="6"/>
        <v>--</v>
      </c>
      <c r="S51" s="231" t="str">
        <f t="shared" si="7"/>
        <v>--</v>
      </c>
      <c r="T51" s="232" t="str">
        <f t="shared" si="8"/>
        <v>--</v>
      </c>
      <c r="U51" s="48" t="str">
        <f t="shared" si="9"/>
        <v>SI</v>
      </c>
      <c r="V51" s="49">
        <f t="shared" si="10"/>
        <v>1468.0995999999998</v>
      </c>
      <c r="W51" s="84"/>
    </row>
    <row r="52" spans="2:23" s="13" customFormat="1" ht="16.5" customHeight="1">
      <c r="B52" s="83"/>
      <c r="C52" s="14" t="s">
        <v>156</v>
      </c>
      <c r="D52" s="465" t="s">
        <v>7</v>
      </c>
      <c r="E52" s="522" t="s">
        <v>12</v>
      </c>
      <c r="F52" s="523"/>
      <c r="G52" s="465">
        <v>132</v>
      </c>
      <c r="H52" s="185">
        <f t="shared" si="0"/>
        <v>39.254</v>
      </c>
      <c r="I52" s="458">
        <v>38649.44236111111</v>
      </c>
      <c r="J52" s="459">
        <v>38649.62847222222</v>
      </c>
      <c r="K52" s="47">
        <f t="shared" si="1"/>
        <v>4.466666666558012</v>
      </c>
      <c r="L52" s="23">
        <f t="shared" si="2"/>
        <v>268</v>
      </c>
      <c r="M52" s="454" t="s">
        <v>141</v>
      </c>
      <c r="N52" s="527" t="str">
        <f t="shared" si="3"/>
        <v>--</v>
      </c>
      <c r="O52" s="498"/>
      <c r="P52" s="225">
        <f t="shared" si="4"/>
        <v>40</v>
      </c>
      <c r="Q52" s="227">
        <f t="shared" si="5"/>
        <v>701.8615199999999</v>
      </c>
      <c r="R52" s="230" t="str">
        <f t="shared" si="6"/>
        <v>--</v>
      </c>
      <c r="S52" s="231" t="str">
        <f t="shared" si="7"/>
        <v>--</v>
      </c>
      <c r="T52" s="232" t="str">
        <f t="shared" si="8"/>
        <v>--</v>
      </c>
      <c r="U52" s="48" t="str">
        <f t="shared" si="9"/>
        <v>SI</v>
      </c>
      <c r="V52" s="49">
        <f t="shared" si="10"/>
        <v>701.8615199999999</v>
      </c>
      <c r="W52" s="84"/>
    </row>
    <row r="53" spans="2:23" s="13" customFormat="1" ht="16.5" customHeight="1">
      <c r="B53" s="83"/>
      <c r="C53" s="14" t="s">
        <v>157</v>
      </c>
      <c r="D53" s="465" t="s">
        <v>9</v>
      </c>
      <c r="E53" s="522" t="s">
        <v>19</v>
      </c>
      <c r="F53" s="523"/>
      <c r="G53" s="465">
        <v>132</v>
      </c>
      <c r="H53" s="185">
        <f t="shared" si="0"/>
        <v>39.254</v>
      </c>
      <c r="I53" s="458">
        <v>38650.373611111114</v>
      </c>
      <c r="J53" s="459">
        <v>38650.62708333333</v>
      </c>
      <c r="K53" s="47">
        <f t="shared" si="1"/>
        <v>6.083333333255723</v>
      </c>
      <c r="L53" s="23">
        <f t="shared" si="2"/>
        <v>365</v>
      </c>
      <c r="M53" s="454" t="s">
        <v>141</v>
      </c>
      <c r="N53" s="527" t="str">
        <f t="shared" si="3"/>
        <v>--</v>
      </c>
      <c r="O53" s="498"/>
      <c r="P53" s="225">
        <f t="shared" si="4"/>
        <v>40</v>
      </c>
      <c r="Q53" s="227">
        <f t="shared" si="5"/>
        <v>954.65728</v>
      </c>
      <c r="R53" s="230" t="str">
        <f t="shared" si="6"/>
        <v>--</v>
      </c>
      <c r="S53" s="231" t="str">
        <f t="shared" si="7"/>
        <v>--</v>
      </c>
      <c r="T53" s="232" t="str">
        <f t="shared" si="8"/>
        <v>--</v>
      </c>
      <c r="U53" s="48" t="str">
        <f t="shared" si="9"/>
        <v>SI</v>
      </c>
      <c r="V53" s="49">
        <f t="shared" si="10"/>
        <v>954.65728</v>
      </c>
      <c r="W53" s="84"/>
    </row>
    <row r="54" spans="2:23" s="13" customFormat="1" ht="16.5" customHeight="1">
      <c r="B54" s="83"/>
      <c r="C54" s="14" t="s">
        <v>163</v>
      </c>
      <c r="D54" s="465" t="s">
        <v>9</v>
      </c>
      <c r="E54" s="522" t="s">
        <v>19</v>
      </c>
      <c r="F54" s="523"/>
      <c r="G54" s="465">
        <v>132</v>
      </c>
      <c r="H54" s="185">
        <f t="shared" si="0"/>
        <v>39.254</v>
      </c>
      <c r="I54" s="458">
        <v>38651.3625</v>
      </c>
      <c r="J54" s="459">
        <v>38651.60486111111</v>
      </c>
      <c r="K54" s="47">
        <f t="shared" si="1"/>
        <v>5.816666666592937</v>
      </c>
      <c r="L54" s="23">
        <f t="shared" si="2"/>
        <v>349</v>
      </c>
      <c r="M54" s="454" t="s">
        <v>141</v>
      </c>
      <c r="N54" s="527" t="str">
        <f t="shared" si="3"/>
        <v>--</v>
      </c>
      <c r="O54" s="498"/>
      <c r="P54" s="225">
        <f t="shared" si="4"/>
        <v>40</v>
      </c>
      <c r="Q54" s="227">
        <f t="shared" si="5"/>
        <v>913.8331199999999</v>
      </c>
      <c r="R54" s="230" t="str">
        <f t="shared" si="6"/>
        <v>--</v>
      </c>
      <c r="S54" s="231" t="str">
        <f t="shared" si="7"/>
        <v>--</v>
      </c>
      <c r="T54" s="232" t="str">
        <f t="shared" si="8"/>
        <v>--</v>
      </c>
      <c r="U54" s="48" t="str">
        <f t="shared" si="9"/>
        <v>SI</v>
      </c>
      <c r="V54" s="49">
        <f t="shared" si="10"/>
        <v>913.8331199999999</v>
      </c>
      <c r="W54" s="84"/>
    </row>
    <row r="55" spans="2:23" s="13" customFormat="1" ht="16.5" customHeight="1">
      <c r="B55" s="83"/>
      <c r="C55" s="14" t="s">
        <v>164</v>
      </c>
      <c r="D55" s="465" t="s">
        <v>9</v>
      </c>
      <c r="E55" s="522" t="s">
        <v>19</v>
      </c>
      <c r="F55" s="523"/>
      <c r="G55" s="465">
        <v>132</v>
      </c>
      <c r="H55" s="185">
        <f t="shared" si="0"/>
        <v>39.254</v>
      </c>
      <c r="I55" s="458">
        <v>38652.35</v>
      </c>
      <c r="J55" s="459">
        <v>38652.60277777778</v>
      </c>
      <c r="K55" s="47">
        <f t="shared" si="1"/>
        <v>6.066666666709352</v>
      </c>
      <c r="L55" s="23">
        <f t="shared" si="2"/>
        <v>364</v>
      </c>
      <c r="M55" s="454" t="s">
        <v>141</v>
      </c>
      <c r="N55" s="527" t="str">
        <f t="shared" si="3"/>
        <v>--</v>
      </c>
      <c r="O55" s="498"/>
      <c r="P55" s="225">
        <f t="shared" si="4"/>
        <v>40</v>
      </c>
      <c r="Q55" s="227">
        <f t="shared" si="5"/>
        <v>953.08712</v>
      </c>
      <c r="R55" s="230" t="str">
        <f t="shared" si="6"/>
        <v>--</v>
      </c>
      <c r="S55" s="231" t="str">
        <f t="shared" si="7"/>
        <v>--</v>
      </c>
      <c r="T55" s="232" t="str">
        <f t="shared" si="8"/>
        <v>--</v>
      </c>
      <c r="U55" s="48" t="str">
        <f t="shared" si="9"/>
        <v>SI</v>
      </c>
      <c r="V55" s="49">
        <f t="shared" si="10"/>
        <v>953.08712</v>
      </c>
      <c r="W55" s="84"/>
    </row>
    <row r="56" spans="2:28" s="13" customFormat="1" ht="16.5" customHeight="1" thickBot="1">
      <c r="B56" s="83"/>
      <c r="C56" s="426"/>
      <c r="D56" s="427"/>
      <c r="E56" s="427"/>
      <c r="F56" s="428"/>
      <c r="G56" s="429"/>
      <c r="H56" s="430"/>
      <c r="I56" s="431"/>
      <c r="J56" s="432"/>
      <c r="K56" s="433"/>
      <c r="L56" s="434"/>
      <c r="M56" s="435"/>
      <c r="N56" s="436"/>
      <c r="O56" s="435"/>
      <c r="P56" s="437"/>
      <c r="Q56" s="438"/>
      <c r="R56" s="439"/>
      <c r="S56" s="440"/>
      <c r="T56" s="441"/>
      <c r="U56" s="442"/>
      <c r="V56" s="443"/>
      <c r="W56" s="84"/>
      <c r="X56"/>
      <c r="Y56"/>
      <c r="Z56"/>
      <c r="AA56"/>
      <c r="AB56"/>
    </row>
    <row r="57" spans="1:23" ht="17.25" thickBot="1" thickTop="1">
      <c r="A57" s="65"/>
      <c r="B57" s="152"/>
      <c r="C57" s="146"/>
      <c r="D57" s="153"/>
      <c r="E57" s="154"/>
      <c r="F57" s="155"/>
      <c r="G57" s="156"/>
      <c r="H57" s="156"/>
      <c r="I57" s="154"/>
      <c r="J57" s="134"/>
      <c r="K57" s="134"/>
      <c r="L57" s="154"/>
      <c r="M57" s="154"/>
      <c r="N57" s="154"/>
      <c r="O57" s="157"/>
      <c r="P57" s="154"/>
      <c r="Q57" s="154"/>
      <c r="R57" s="158"/>
      <c r="S57" s="159"/>
      <c r="T57" s="159"/>
      <c r="U57" s="160"/>
      <c r="V57" s="216">
        <f>SUM(V38:V56)</f>
        <v>24557.302399999997</v>
      </c>
      <c r="W57" s="163"/>
    </row>
    <row r="58" spans="1:23" ht="17.25" thickBot="1" thickTop="1">
      <c r="A58" s="65"/>
      <c r="B58" s="152"/>
      <c r="C58" s="146"/>
      <c r="D58" s="153"/>
      <c r="E58" s="154"/>
      <c r="F58" s="155"/>
      <c r="G58" s="156"/>
      <c r="H58" s="156"/>
      <c r="I58" s="331" t="s">
        <v>81</v>
      </c>
      <c r="J58" s="419">
        <f>+V57+V34</f>
        <v>27372.352399999996</v>
      </c>
      <c r="L58" s="154"/>
      <c r="M58" s="154"/>
      <c r="N58" s="154"/>
      <c r="O58" s="157"/>
      <c r="P58" s="154"/>
      <c r="Q58" s="154"/>
      <c r="R58" s="158"/>
      <c r="S58" s="159"/>
      <c r="T58" s="159"/>
      <c r="U58" s="160"/>
      <c r="W58" s="163"/>
    </row>
    <row r="59" spans="1:23" ht="13.5" customHeight="1" thickTop="1">
      <c r="A59" s="65"/>
      <c r="B59" s="152"/>
      <c r="C59" s="146"/>
      <c r="D59" s="153"/>
      <c r="E59" s="154"/>
      <c r="F59" s="155"/>
      <c r="G59" s="156"/>
      <c r="H59" s="156"/>
      <c r="I59" s="154"/>
      <c r="J59" s="134"/>
      <c r="K59" s="134"/>
      <c r="L59" s="154"/>
      <c r="M59" s="154"/>
      <c r="N59" s="154"/>
      <c r="O59" s="157"/>
      <c r="P59" s="154"/>
      <c r="Q59" s="154"/>
      <c r="R59" s="158"/>
      <c r="S59" s="159"/>
      <c r="T59" s="159"/>
      <c r="U59" s="160"/>
      <c r="W59" s="163"/>
    </row>
    <row r="60" spans="1:23" ht="16.5" customHeight="1">
      <c r="A60" s="65"/>
      <c r="B60" s="152"/>
      <c r="C60" s="164" t="s">
        <v>82</v>
      </c>
      <c r="D60" s="165" t="s">
        <v>83</v>
      </c>
      <c r="E60" s="154"/>
      <c r="F60" s="155"/>
      <c r="G60" s="156"/>
      <c r="H60" s="156"/>
      <c r="I60" s="154"/>
      <c r="J60" s="134"/>
      <c r="K60" s="134"/>
      <c r="L60" s="154"/>
      <c r="M60" s="154"/>
      <c r="N60" s="154"/>
      <c r="O60" s="157"/>
      <c r="P60" s="154"/>
      <c r="Q60" s="154"/>
      <c r="R60" s="158"/>
      <c r="S60" s="159"/>
      <c r="T60" s="159"/>
      <c r="U60" s="160"/>
      <c r="W60" s="163"/>
    </row>
    <row r="61" spans="1:23" ht="16.5" customHeight="1">
      <c r="A61" s="65"/>
      <c r="B61" s="152"/>
      <c r="C61" s="164"/>
      <c r="D61" s="153"/>
      <c r="E61" s="154"/>
      <c r="F61" s="155"/>
      <c r="G61" s="156"/>
      <c r="H61" s="156"/>
      <c r="I61" s="154"/>
      <c r="J61" s="134"/>
      <c r="K61" s="134"/>
      <c r="L61" s="154"/>
      <c r="M61" s="154"/>
      <c r="N61" s="154"/>
      <c r="O61" s="157"/>
      <c r="P61" s="154"/>
      <c r="Q61" s="154"/>
      <c r="R61" s="154"/>
      <c r="S61" s="158"/>
      <c r="T61" s="159"/>
      <c r="W61" s="163"/>
    </row>
    <row r="62" spans="2:23" s="65" customFormat="1" ht="16.5" customHeight="1">
      <c r="B62" s="152"/>
      <c r="C62" s="146"/>
      <c r="D62" s="174" t="s">
        <v>91</v>
      </c>
      <c r="E62" s="149" t="s">
        <v>92</v>
      </c>
      <c r="F62" s="149" t="s">
        <v>85</v>
      </c>
      <c r="G62" s="306" t="s">
        <v>93</v>
      </c>
      <c r="H62"/>
      <c r="I62" s="322"/>
      <c r="J62" s="170" t="s">
        <v>96</v>
      </c>
      <c r="K62" s="170"/>
      <c r="L62" s="149" t="s">
        <v>85</v>
      </c>
      <c r="M62" t="s">
        <v>112</v>
      </c>
      <c r="O62" s="306" t="s">
        <v>113</v>
      </c>
      <c r="P62"/>
      <c r="Q62" s="168"/>
      <c r="R62" s="168"/>
      <c r="S62" s="67"/>
      <c r="T62"/>
      <c r="U62"/>
      <c r="V62"/>
      <c r="W62" s="163"/>
    </row>
    <row r="63" spans="2:23" s="65" customFormat="1" ht="16.5" customHeight="1">
      <c r="B63" s="152"/>
      <c r="C63" s="146"/>
      <c r="D63" s="323" t="s">
        <v>114</v>
      </c>
      <c r="E63" s="323">
        <v>300</v>
      </c>
      <c r="F63" s="412">
        <v>500</v>
      </c>
      <c r="G63" s="518">
        <f>+E63*$F$20*$F$21</f>
        <v>54684</v>
      </c>
      <c r="H63" s="518"/>
      <c r="I63" s="518"/>
      <c r="J63" s="413" t="s">
        <v>115</v>
      </c>
      <c r="K63" s="413"/>
      <c r="L63" s="323">
        <v>500</v>
      </c>
      <c r="M63" s="323">
        <v>2</v>
      </c>
      <c r="O63" s="518">
        <f>+M63*$F$20*$M$19</f>
        <v>73008.72</v>
      </c>
      <c r="P63" s="518"/>
      <c r="Q63" s="518"/>
      <c r="R63" s="518"/>
      <c r="S63" s="518"/>
      <c r="T63" s="518"/>
      <c r="U63" s="518"/>
      <c r="V63"/>
      <c r="W63" s="163"/>
    </row>
    <row r="64" spans="2:23" s="65" customFormat="1" ht="16.5" customHeight="1">
      <c r="B64" s="152"/>
      <c r="C64" s="146"/>
      <c r="D64" s="323" t="s">
        <v>116</v>
      </c>
      <c r="E64" s="325">
        <v>300</v>
      </c>
      <c r="F64" s="412">
        <v>500</v>
      </c>
      <c r="G64" s="518">
        <f>+E64*$F$20*$F$21</f>
        <v>54684</v>
      </c>
      <c r="H64" s="518"/>
      <c r="I64" s="518"/>
      <c r="J64" s="413" t="s">
        <v>115</v>
      </c>
      <c r="K64" s="413"/>
      <c r="L64" s="323">
        <v>132</v>
      </c>
      <c r="M64" s="323">
        <v>9</v>
      </c>
      <c r="O64" s="518">
        <f>+M64*$F$20*$M$19</f>
        <v>328539.24</v>
      </c>
      <c r="P64" s="518"/>
      <c r="Q64" s="518"/>
      <c r="R64" s="518"/>
      <c r="S64" s="518"/>
      <c r="T64" s="518"/>
      <c r="U64" s="518"/>
      <c r="V64"/>
      <c r="W64" s="163"/>
    </row>
    <row r="65" spans="2:23" s="65" customFormat="1" ht="16.5" customHeight="1">
      <c r="B65" s="152"/>
      <c r="C65" s="146"/>
      <c r="D65" s="324" t="s">
        <v>117</v>
      </c>
      <c r="E65" s="325">
        <v>300</v>
      </c>
      <c r="F65" s="412">
        <v>500</v>
      </c>
      <c r="G65" s="518">
        <f>+E65*$F$20*$F$21</f>
        <v>54684</v>
      </c>
      <c r="H65" s="518"/>
      <c r="I65" s="518"/>
      <c r="J65" s="413" t="s">
        <v>118</v>
      </c>
      <c r="K65" s="413"/>
      <c r="L65" s="323">
        <v>132</v>
      </c>
      <c r="M65" s="323">
        <v>8</v>
      </c>
      <c r="O65" s="518">
        <f>+M65*$F$20*$M$19</f>
        <v>292034.88</v>
      </c>
      <c r="P65" s="518"/>
      <c r="Q65" s="518"/>
      <c r="R65" s="518"/>
      <c r="S65" s="518"/>
      <c r="T65" s="518"/>
      <c r="U65" s="518"/>
      <c r="V65"/>
      <c r="W65" s="163"/>
    </row>
    <row r="66" spans="1:23" ht="16.5" customHeight="1">
      <c r="A66" s="65"/>
      <c r="B66" s="152"/>
      <c r="C66" s="146"/>
      <c r="D66" s="324" t="s">
        <v>119</v>
      </c>
      <c r="E66" s="325">
        <v>300</v>
      </c>
      <c r="F66" s="412">
        <v>500</v>
      </c>
      <c r="G66" s="518">
        <f>+E66*$F$20*$F$21</f>
        <v>54684</v>
      </c>
      <c r="H66" s="518"/>
      <c r="I66" s="518"/>
      <c r="J66" s="413" t="s">
        <v>120</v>
      </c>
      <c r="K66" s="413"/>
      <c r="L66" s="323">
        <v>132</v>
      </c>
      <c r="M66" s="323">
        <v>5</v>
      </c>
      <c r="O66" s="524">
        <f>+M66*$F$20*$M$19</f>
        <v>182521.8</v>
      </c>
      <c r="P66" s="524"/>
      <c r="Q66" s="524"/>
      <c r="R66" s="524"/>
      <c r="S66" s="524"/>
      <c r="T66" s="524"/>
      <c r="U66" s="524"/>
      <c r="W66" s="163"/>
    </row>
    <row r="67" spans="1:23" ht="16.5" customHeight="1">
      <c r="A67" s="65"/>
      <c r="B67" s="152"/>
      <c r="C67" s="146"/>
      <c r="D67" s="324" t="s">
        <v>121</v>
      </c>
      <c r="E67" s="325">
        <v>300</v>
      </c>
      <c r="F67" s="412">
        <v>500</v>
      </c>
      <c r="G67" s="524">
        <f>+E67*$F$20*$F$21</f>
        <v>54684</v>
      </c>
      <c r="H67" s="524"/>
      <c r="I67" s="524"/>
      <c r="M67" s="323"/>
      <c r="O67" s="518">
        <f>SUM(O63:P66)</f>
        <v>876104.6399999999</v>
      </c>
      <c r="P67" s="518"/>
      <c r="Q67" s="518"/>
      <c r="R67" s="518"/>
      <c r="S67" s="518"/>
      <c r="T67" s="518"/>
      <c r="U67" s="518"/>
      <c r="W67" s="163"/>
    </row>
    <row r="68" spans="1:23" ht="16.5" customHeight="1">
      <c r="A68" s="65"/>
      <c r="B68" s="152"/>
      <c r="C68" s="146"/>
      <c r="D68" s="324"/>
      <c r="E68" s="325"/>
      <c r="F68" s="412"/>
      <c r="G68" s="518">
        <f>SUM(G63:G67)</f>
        <v>273420</v>
      </c>
      <c r="H68" s="518"/>
      <c r="I68" s="518"/>
      <c r="M68" s="323"/>
      <c r="N68" s="322"/>
      <c r="O68" s="322"/>
      <c r="P68" s="161"/>
      <c r="Q68" s="161"/>
      <c r="R68" s="161"/>
      <c r="S68" s="161"/>
      <c r="W68" s="163"/>
    </row>
    <row r="69" spans="1:23" ht="16.5" customHeight="1" thickBot="1">
      <c r="A69" s="65"/>
      <c r="B69" s="152"/>
      <c r="C69" s="146"/>
      <c r="D69" s="174"/>
      <c r="E69" s="262"/>
      <c r="F69" s="262"/>
      <c r="G69" s="149"/>
      <c r="I69" s="166"/>
      <c r="J69" s="306"/>
      <c r="L69" s="305"/>
      <c r="M69" s="166"/>
      <c r="N69" s="167"/>
      <c r="O69" s="168"/>
      <c r="P69" s="168"/>
      <c r="Q69" s="168"/>
      <c r="R69" s="168"/>
      <c r="S69" s="168"/>
      <c r="W69" s="163"/>
    </row>
    <row r="70" spans="1:23" ht="16.5" customHeight="1" thickBot="1" thickTop="1">
      <c r="A70" s="65"/>
      <c r="B70" s="152"/>
      <c r="C70" s="146"/>
      <c r="D70" s="149"/>
      <c r="E70" s="414"/>
      <c r="F70" s="414"/>
      <c r="G70" s="217"/>
      <c r="H70" s="3"/>
      <c r="I70" s="331" t="s">
        <v>122</v>
      </c>
      <c r="J70" s="419">
        <f>+G68+O67</f>
        <v>1149524.64</v>
      </c>
      <c r="L70" s="301"/>
      <c r="M70" s="3"/>
      <c r="N70" s="304"/>
      <c r="O70" s="161"/>
      <c r="P70" s="161"/>
      <c r="Q70" s="161"/>
      <c r="R70" s="161"/>
      <c r="S70" s="161"/>
      <c r="W70" s="163"/>
    </row>
    <row r="71" spans="1:23" ht="16.5" customHeight="1" thickTop="1">
      <c r="A71" s="65"/>
      <c r="B71" s="152"/>
      <c r="C71" s="146"/>
      <c r="D71" s="134"/>
      <c r="E71" s="136"/>
      <c r="F71" s="149"/>
      <c r="G71" s="149"/>
      <c r="H71" s="150"/>
      <c r="J71" s="149"/>
      <c r="L71" s="171"/>
      <c r="M71" s="167"/>
      <c r="N71" s="167"/>
      <c r="O71" s="168"/>
      <c r="P71" s="168"/>
      <c r="Q71" s="168"/>
      <c r="R71" s="168"/>
      <c r="S71" s="168"/>
      <c r="W71" s="163"/>
    </row>
    <row r="72" spans="2:23" ht="16.5" customHeight="1">
      <c r="B72" s="152"/>
      <c r="C72" s="164" t="s">
        <v>101</v>
      </c>
      <c r="D72" s="172" t="s">
        <v>102</v>
      </c>
      <c r="E72" s="149"/>
      <c r="F72" s="173"/>
      <c r="G72" s="135"/>
      <c r="H72" s="134"/>
      <c r="I72" s="134"/>
      <c r="J72" s="134"/>
      <c r="K72" s="149"/>
      <c r="L72" s="149"/>
      <c r="M72" s="134"/>
      <c r="N72" s="149"/>
      <c r="O72" s="134"/>
      <c r="P72" s="134"/>
      <c r="Q72" s="134"/>
      <c r="R72" s="134"/>
      <c r="S72" s="134"/>
      <c r="T72" s="134"/>
      <c r="U72" s="134"/>
      <c r="W72" s="163"/>
    </row>
    <row r="73" spans="2:23" s="65" customFormat="1" ht="16.5" customHeight="1">
      <c r="B73" s="152"/>
      <c r="C73" s="146"/>
      <c r="D73" s="174" t="s">
        <v>103</v>
      </c>
      <c r="E73" s="175">
        <f>10*J58*J25/J70</f>
        <v>6843.088099999999</v>
      </c>
      <c r="G73" s="135"/>
      <c r="L73" s="149"/>
      <c r="N73" s="149"/>
      <c r="O73" s="150"/>
      <c r="V73"/>
      <c r="W73" s="163"/>
    </row>
    <row r="74" spans="2:23" s="65" customFormat="1" ht="12.75" customHeight="1">
      <c r="B74" s="152"/>
      <c r="C74" s="146"/>
      <c r="E74" s="298"/>
      <c r="F74" s="148"/>
      <c r="G74" s="135"/>
      <c r="J74" s="135"/>
      <c r="K74" s="177"/>
      <c r="L74" s="149"/>
      <c r="M74" s="149"/>
      <c r="N74" s="149"/>
      <c r="O74" s="150"/>
      <c r="P74" s="149"/>
      <c r="Q74" s="149"/>
      <c r="R74" s="296"/>
      <c r="S74" s="296"/>
      <c r="T74" s="296"/>
      <c r="U74" s="297"/>
      <c r="V74"/>
      <c r="W74" s="163"/>
    </row>
    <row r="75" spans="2:23" ht="16.5" customHeight="1">
      <c r="B75" s="152"/>
      <c r="C75" s="146"/>
      <c r="D75" s="178" t="s">
        <v>128</v>
      </c>
      <c r="E75" s="176"/>
      <c r="F75" s="148"/>
      <c r="G75" s="135"/>
      <c r="H75" s="134"/>
      <c r="I75" s="134"/>
      <c r="N75" s="149"/>
      <c r="O75" s="150"/>
      <c r="P75" s="149"/>
      <c r="Q75" s="149"/>
      <c r="R75" s="166"/>
      <c r="S75" s="166"/>
      <c r="T75" s="166"/>
      <c r="U75" s="167"/>
      <c r="W75" s="163"/>
    </row>
    <row r="76" spans="2:23" ht="13.5" customHeight="1" thickBot="1">
      <c r="B76" s="152"/>
      <c r="C76" s="146"/>
      <c r="D76" s="178"/>
      <c r="E76" s="176"/>
      <c r="F76" s="148"/>
      <c r="G76" s="135"/>
      <c r="H76" s="134"/>
      <c r="I76" s="134"/>
      <c r="N76" s="149"/>
      <c r="O76" s="150"/>
      <c r="P76" s="149"/>
      <c r="Q76" s="149"/>
      <c r="R76" s="166"/>
      <c r="S76" s="166"/>
      <c r="T76" s="166"/>
      <c r="U76" s="167"/>
      <c r="W76" s="163"/>
    </row>
    <row r="77" spans="2:23" s="313" customFormat="1" ht="21" thickBot="1" thickTop="1">
      <c r="B77" s="307"/>
      <c r="C77" s="308"/>
      <c r="D77" s="309"/>
      <c r="E77" s="310"/>
      <c r="F77" s="311"/>
      <c r="G77" s="312"/>
      <c r="I77" s="314" t="s">
        <v>105</v>
      </c>
      <c r="J77" s="315">
        <f>IF(E73&gt;3*J25,J25*3,E73)</f>
        <v>6843.088099999999</v>
      </c>
      <c r="M77" s="316"/>
      <c r="N77" s="316"/>
      <c r="O77" s="317"/>
      <c r="P77" s="316"/>
      <c r="Q77" s="316"/>
      <c r="R77" s="318"/>
      <c r="S77" s="318"/>
      <c r="T77" s="318"/>
      <c r="U77" s="319"/>
      <c r="V77"/>
      <c r="W77" s="320"/>
    </row>
    <row r="78" spans="2:23" ht="16.5" customHeight="1" thickBot="1" thickTop="1">
      <c r="B78" s="87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183"/>
      <c r="W78" s="179"/>
    </row>
    <row r="79" spans="2:23" ht="16.5" customHeight="1" thickTop="1">
      <c r="B79" s="9"/>
      <c r="C79" s="399"/>
      <c r="W79" s="9"/>
    </row>
  </sheetData>
  <sheetProtection password="CC12"/>
  <mergeCells count="51">
    <mergeCell ref="N53:O53"/>
    <mergeCell ref="N54:O54"/>
    <mergeCell ref="N55:O55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G67:I67"/>
    <mergeCell ref="G68:I68"/>
    <mergeCell ref="G63:I63"/>
    <mergeCell ref="G64:I64"/>
    <mergeCell ref="G65:I65"/>
    <mergeCell ref="G66:I66"/>
    <mergeCell ref="O66:U66"/>
    <mergeCell ref="O67:U67"/>
    <mergeCell ref="O64:U64"/>
    <mergeCell ref="O65:U65"/>
    <mergeCell ref="O63:U63"/>
    <mergeCell ref="N36:O36"/>
    <mergeCell ref="E36:F36"/>
    <mergeCell ref="E37:F37"/>
    <mergeCell ref="E38:F38"/>
    <mergeCell ref="E39:F39"/>
    <mergeCell ref="E40:F40"/>
    <mergeCell ref="E41:F41"/>
    <mergeCell ref="E42:F42"/>
    <mergeCell ref="E43:F4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5">
    <pageSetUpPr fitToPage="1"/>
  </sheetPr>
  <dimension ref="A1:AD54"/>
  <sheetViews>
    <sheetView tabSelected="1" zoomScale="75" zoomScaleNormal="75" workbookViewId="0" topLeftCell="E1">
      <selection activeCell="L1" sqref="L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44"/>
      <c r="AD1" s="326"/>
    </row>
    <row r="2" spans="1:23" ht="27" customHeight="1">
      <c r="A2" s="4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30" customFormat="1" ht="30.75">
      <c r="A3" s="327"/>
      <c r="B3" s="328" t="str">
        <f>'tot-0510-SUP'!B2</f>
        <v>ANEXO V.1.b.  a la Resolución E.N.R.E.   N° 122 /2008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B3" s="329"/>
      <c r="AC3" s="329"/>
      <c r="AD3" s="329"/>
    </row>
    <row r="4" spans="1:2" s="58" customFormat="1" ht="11.25">
      <c r="A4" s="403" t="s">
        <v>22</v>
      </c>
      <c r="B4" s="415"/>
    </row>
    <row r="5" spans="1:2" s="58" customFormat="1" ht="12" thickBot="1">
      <c r="A5" s="403" t="s">
        <v>23</v>
      </c>
      <c r="B5" s="403"/>
    </row>
    <row r="6" spans="1:23" ht="16.5" customHeight="1" thickTop="1">
      <c r="A6" s="13"/>
      <c r="B6" s="98"/>
      <c r="C6" s="99"/>
      <c r="D6" s="99"/>
      <c r="E6" s="10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1"/>
    </row>
    <row r="7" spans="1:23" ht="20.25">
      <c r="A7" s="13"/>
      <c r="B7" s="83"/>
      <c r="C7" s="11"/>
      <c r="D7" s="4" t="s">
        <v>60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0"/>
      <c r="Q7" s="130"/>
      <c r="R7" s="11"/>
      <c r="S7" s="11"/>
      <c r="T7" s="11"/>
      <c r="U7" s="11"/>
      <c r="V7" s="11"/>
      <c r="W7" s="102"/>
    </row>
    <row r="8" spans="1:23" ht="16.5" customHeight="1">
      <c r="A8" s="13"/>
      <c r="B8" s="8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2"/>
    </row>
    <row r="9" spans="2:23" s="12" customFormat="1" ht="20.25">
      <c r="B9" s="78"/>
      <c r="C9" s="77"/>
      <c r="D9" s="4" t="s">
        <v>61</v>
      </c>
      <c r="E9" s="77"/>
      <c r="F9" s="77"/>
      <c r="G9" s="77"/>
      <c r="H9" s="77"/>
      <c r="N9" s="77"/>
      <c r="O9" s="77"/>
      <c r="P9" s="188"/>
      <c r="Q9" s="188"/>
      <c r="R9" s="77"/>
      <c r="S9" s="77"/>
      <c r="T9" s="77"/>
      <c r="U9" s="77"/>
      <c r="V9" s="77"/>
      <c r="W9" s="189"/>
    </row>
    <row r="10" spans="1:23" ht="16.5" customHeight="1">
      <c r="A10" s="13"/>
      <c r="B10" s="8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2"/>
    </row>
    <row r="11" spans="2:23" s="12" customFormat="1" ht="20.25">
      <c r="B11" s="78"/>
      <c r="C11" s="77"/>
      <c r="D11" s="4" t="s">
        <v>165</v>
      </c>
      <c r="E11" s="77"/>
      <c r="F11" s="77"/>
      <c r="G11" s="77"/>
      <c r="H11" s="77"/>
      <c r="N11" s="77"/>
      <c r="O11" s="77"/>
      <c r="P11" s="188"/>
      <c r="Q11" s="188"/>
      <c r="R11" s="77"/>
      <c r="S11" s="77"/>
      <c r="T11" s="77"/>
      <c r="U11" s="77"/>
      <c r="V11" s="77"/>
      <c r="W11" s="189"/>
    </row>
    <row r="12" spans="1:23" ht="16.5" customHeight="1">
      <c r="A12" s="13"/>
      <c r="B12" s="83"/>
      <c r="C12" s="11"/>
      <c r="D12" s="11"/>
      <c r="E12" s="13"/>
      <c r="F12" s="13"/>
      <c r="G12" s="13"/>
      <c r="H12" s="13"/>
      <c r="I12" s="103"/>
      <c r="J12" s="103"/>
      <c r="K12" s="103"/>
      <c r="L12" s="103"/>
      <c r="M12" s="103"/>
      <c r="N12" s="103"/>
      <c r="O12" s="103"/>
      <c r="P12" s="103"/>
      <c r="Q12" s="103"/>
      <c r="R12" s="11"/>
      <c r="S12" s="11"/>
      <c r="T12" s="11"/>
      <c r="U12" s="11"/>
      <c r="V12" s="11"/>
      <c r="W12" s="102"/>
    </row>
    <row r="13" spans="2:23" s="12" customFormat="1" ht="19.5">
      <c r="B13" s="71" t="str">
        <f>'tot-0510-SUP'!B14</f>
        <v>Desde el 01 al 31 de octubre de 2005</v>
      </c>
      <c r="C13" s="72"/>
      <c r="D13" s="74"/>
      <c r="E13" s="74"/>
      <c r="F13" s="74"/>
      <c r="G13" s="74"/>
      <c r="H13" s="74"/>
      <c r="I13" s="75"/>
      <c r="J13" s="3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91"/>
      <c r="V13" s="191"/>
      <c r="W13" s="76"/>
    </row>
    <row r="14" spans="1:23" ht="16.5" customHeight="1">
      <c r="A14" s="13"/>
      <c r="B14" s="83"/>
      <c r="C14" s="11"/>
      <c r="D14" s="11"/>
      <c r="E14" s="2"/>
      <c r="F14" s="2"/>
      <c r="G14" s="11"/>
      <c r="H14" s="11"/>
      <c r="I14" s="11"/>
      <c r="J14" s="131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102"/>
    </row>
    <row r="15" spans="1:23" ht="16.5" customHeight="1">
      <c r="A15" s="13"/>
      <c r="B15" s="83"/>
      <c r="C15" s="11"/>
      <c r="D15" s="11"/>
      <c r="E15" s="2"/>
      <c r="F15" s="2"/>
      <c r="G15" s="11"/>
      <c r="H15" s="11"/>
      <c r="I15" s="132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102"/>
    </row>
    <row r="16" spans="1:23" ht="16.5" customHeight="1">
      <c r="A16" s="13"/>
      <c r="B16" s="83"/>
      <c r="C16" s="11"/>
      <c r="D16" s="11"/>
      <c r="E16" s="2"/>
      <c r="F16" s="2"/>
      <c r="G16" s="11"/>
      <c r="H16" s="11"/>
      <c r="I16" s="132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102"/>
    </row>
    <row r="17" spans="1:23" ht="16.5" customHeight="1" thickBot="1">
      <c r="A17" s="13"/>
      <c r="B17" s="83"/>
      <c r="C17" s="303" t="s">
        <v>62</v>
      </c>
      <c r="D17" s="10" t="s">
        <v>63</v>
      </c>
      <c r="E17" s="2"/>
      <c r="F17" s="2"/>
      <c r="G17" s="11"/>
      <c r="H17" s="11"/>
      <c r="I17" s="11"/>
      <c r="J17" s="131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102"/>
    </row>
    <row r="18" spans="2:23" s="65" customFormat="1" ht="16.5" customHeight="1" thickBot="1">
      <c r="B18" s="152"/>
      <c r="C18" s="67"/>
      <c r="D18" s="272"/>
      <c r="E18" s="273"/>
      <c r="F18" s="146"/>
      <c r="G18" s="67"/>
      <c r="H18" s="67"/>
      <c r="I18" s="67"/>
      <c r="J18" s="293"/>
      <c r="K18" s="67"/>
      <c r="L18" s="67"/>
      <c r="M18" s="67"/>
      <c r="N18" s="416" t="s">
        <v>35</v>
      </c>
      <c r="P18" s="67"/>
      <c r="Q18" s="67"/>
      <c r="R18" s="67"/>
      <c r="S18" s="67"/>
      <c r="T18" s="67"/>
      <c r="U18" s="67"/>
      <c r="V18" s="67"/>
      <c r="W18" s="294"/>
    </row>
    <row r="19" spans="2:23" s="65" customFormat="1" ht="16.5" customHeight="1" thickBot="1">
      <c r="B19" s="152"/>
      <c r="C19" s="67"/>
      <c r="E19" s="276" t="s">
        <v>66</v>
      </c>
      <c r="F19" s="277">
        <v>0.025</v>
      </c>
      <c r="G19" s="321"/>
      <c r="H19" s="67"/>
      <c r="I19" s="445"/>
      <c r="J19" s="446"/>
      <c r="K19" s="464" t="s">
        <v>126</v>
      </c>
      <c r="L19" s="461"/>
      <c r="M19" s="462">
        <v>49.065</v>
      </c>
      <c r="N19" s="463">
        <v>200</v>
      </c>
      <c r="R19" s="67"/>
      <c r="S19" s="67"/>
      <c r="T19" s="67"/>
      <c r="U19" s="67"/>
      <c r="V19" s="67"/>
      <c r="W19" s="294"/>
    </row>
    <row r="20" spans="2:23" s="65" customFormat="1" ht="16.5" customHeight="1">
      <c r="B20" s="152"/>
      <c r="C20" s="67"/>
      <c r="E20" s="272" t="s">
        <v>69</v>
      </c>
      <c r="F20" s="67">
        <v>744</v>
      </c>
      <c r="G20" s="67" t="s">
        <v>70</v>
      </c>
      <c r="H20" s="67"/>
      <c r="I20" s="67"/>
      <c r="J20" s="67"/>
      <c r="K20" s="67"/>
      <c r="L20" s="67"/>
      <c r="M20" s="67"/>
      <c r="N20" s="67"/>
      <c r="O20" s="67"/>
      <c r="P20" s="295"/>
      <c r="Q20" s="67"/>
      <c r="R20" s="67"/>
      <c r="S20" s="67"/>
      <c r="T20" s="67"/>
      <c r="U20" s="67"/>
      <c r="V20" s="67"/>
      <c r="W20" s="294"/>
    </row>
    <row r="21" spans="2:23" s="65" customFormat="1" ht="16.5" customHeight="1">
      <c r="B21" s="152"/>
      <c r="C21" s="67"/>
      <c r="E21" s="272" t="s">
        <v>111</v>
      </c>
      <c r="F21" s="67">
        <v>0.245</v>
      </c>
      <c r="G21" s="65" t="s">
        <v>68</v>
      </c>
      <c r="H21" s="67"/>
      <c r="I21" s="67"/>
      <c r="J21" s="67"/>
      <c r="K21" s="67"/>
      <c r="L21" s="67"/>
      <c r="M21" s="67"/>
      <c r="N21" s="67"/>
      <c r="O21" s="67"/>
      <c r="P21" s="295"/>
      <c r="Q21" s="67"/>
      <c r="R21" s="67"/>
      <c r="S21" s="67"/>
      <c r="T21" s="67"/>
      <c r="U21" s="67"/>
      <c r="V21" s="67"/>
      <c r="W21" s="294"/>
    </row>
    <row r="22" spans="2:23" s="65" customFormat="1" ht="16.5" customHeight="1">
      <c r="B22" s="152"/>
      <c r="C22" s="67"/>
      <c r="D22" s="67"/>
      <c r="E22" s="14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294"/>
    </row>
    <row r="23" spans="1:23" ht="16.5" customHeight="1">
      <c r="A23" s="13"/>
      <c r="B23" s="83"/>
      <c r="C23" s="303" t="s">
        <v>72</v>
      </c>
      <c r="D23" s="66" t="s">
        <v>73</v>
      </c>
      <c r="I23" s="11"/>
      <c r="J23" s="65"/>
      <c r="O23" s="11"/>
      <c r="P23" s="11"/>
      <c r="Q23" s="11"/>
      <c r="R23" s="11"/>
      <c r="S23" s="11"/>
      <c r="T23" s="11"/>
      <c r="V23" s="11"/>
      <c r="W23" s="102"/>
    </row>
    <row r="24" spans="1:23" ht="10.5" customHeight="1" thickBot="1">
      <c r="A24" s="13"/>
      <c r="B24" s="83"/>
      <c r="C24" s="2"/>
      <c r="D24" s="66"/>
      <c r="I24" s="11"/>
      <c r="J24" s="65"/>
      <c r="O24" s="11"/>
      <c r="P24" s="11"/>
      <c r="Q24" s="11"/>
      <c r="R24" s="11"/>
      <c r="S24" s="11"/>
      <c r="T24" s="11"/>
      <c r="V24" s="11"/>
      <c r="W24" s="102"/>
    </row>
    <row r="25" spans="2:23" s="65" customFormat="1" ht="16.5" customHeight="1" thickBot="1" thickTop="1">
      <c r="B25" s="152"/>
      <c r="C25" s="146"/>
      <c r="D25"/>
      <c r="E25"/>
      <c r="F25"/>
      <c r="G25"/>
      <c r="H25"/>
      <c r="I25" s="331" t="s">
        <v>74</v>
      </c>
      <c r="J25" s="419">
        <f>+J45*F19</f>
        <v>912.609</v>
      </c>
      <c r="L25"/>
      <c r="S25"/>
      <c r="T25"/>
      <c r="U25"/>
      <c r="W25" s="294"/>
    </row>
    <row r="26" spans="2:23" s="65" customFormat="1" ht="11.25" customHeight="1" thickTop="1">
      <c r="B26" s="152"/>
      <c r="C26" s="146"/>
      <c r="D26" s="67"/>
      <c r="E26" s="14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/>
      <c r="W26" s="294"/>
    </row>
    <row r="27" spans="1:23" ht="16.5" customHeight="1">
      <c r="A27" s="13"/>
      <c r="B27" s="83"/>
      <c r="C27" s="303" t="s">
        <v>75</v>
      </c>
      <c r="D27" s="66" t="s">
        <v>76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2"/>
    </row>
    <row r="28" spans="1:23" ht="13.5" customHeight="1" thickBot="1">
      <c r="A28" s="65"/>
      <c r="B28" s="83"/>
      <c r="C28" s="146"/>
      <c r="D28" s="146"/>
      <c r="E28" s="147"/>
      <c r="F28" s="148"/>
      <c r="G28" s="135"/>
      <c r="H28" s="135"/>
      <c r="I28" s="149"/>
      <c r="J28" s="149"/>
      <c r="K28" s="149"/>
      <c r="L28" s="149"/>
      <c r="M28" s="149"/>
      <c r="N28" s="149"/>
      <c r="O28" s="150"/>
      <c r="P28" s="149"/>
      <c r="Q28" s="149"/>
      <c r="R28" s="420"/>
      <c r="S28" s="421"/>
      <c r="T28" s="422"/>
      <c r="U28" s="212"/>
      <c r="V28" s="212"/>
      <c r="W28" s="105"/>
    </row>
    <row r="29" spans="1:23" ht="16.5" customHeight="1" thickTop="1">
      <c r="A29" s="65"/>
      <c r="B29" s="83"/>
      <c r="C29" s="118"/>
      <c r="D29" s="1"/>
      <c r="E29" s="1"/>
      <c r="F29" s="127"/>
      <c r="G29" s="206"/>
      <c r="H29" s="207"/>
      <c r="I29" s="208"/>
      <c r="J29" s="209"/>
      <c r="K29" s="210"/>
      <c r="L29" s="211"/>
      <c r="M29" s="207"/>
      <c r="N29" s="212"/>
      <c r="O29" s="27"/>
      <c r="P29" s="213"/>
      <c r="Q29" s="214"/>
      <c r="R29" s="215"/>
      <c r="S29" s="215"/>
      <c r="T29" s="215"/>
      <c r="U29" s="212"/>
      <c r="V29" s="212"/>
      <c r="W29" s="105"/>
    </row>
    <row r="30" spans="1:16" ht="15">
      <c r="A30" s="9"/>
      <c r="B30" s="490"/>
      <c r="C30" s="491"/>
      <c r="D30" s="133" t="s">
        <v>166</v>
      </c>
      <c r="E30" s="491"/>
      <c r="F30" s="492"/>
      <c r="G30" s="491"/>
      <c r="H30" s="493"/>
      <c r="I30" s="494"/>
      <c r="J30" s="491"/>
      <c r="K30" s="495"/>
      <c r="M30" s="491"/>
      <c r="N30" s="491"/>
      <c r="O30" s="491"/>
      <c r="P30" s="496"/>
    </row>
    <row r="31" spans="1:16" ht="15">
      <c r="A31" s="9"/>
      <c r="B31" s="490"/>
      <c r="C31" s="491"/>
      <c r="D31" s="491"/>
      <c r="E31" s="491"/>
      <c r="F31" s="492"/>
      <c r="G31" s="491"/>
      <c r="H31" s="493"/>
      <c r="I31" s="494"/>
      <c r="J31" s="491"/>
      <c r="K31" s="495"/>
      <c r="M31" s="491"/>
      <c r="N31" s="491"/>
      <c r="O31" s="491"/>
      <c r="P31" s="496"/>
    </row>
    <row r="32" spans="1:16" ht="15">
      <c r="A32" s="9"/>
      <c r="B32" s="490"/>
      <c r="C32" s="491"/>
      <c r="D32" s="491"/>
      <c r="E32" s="491"/>
      <c r="F32" s="492" t="s">
        <v>167</v>
      </c>
      <c r="G32" s="491"/>
      <c r="H32" s="493"/>
      <c r="I32" s="497">
        <v>9219.9</v>
      </c>
      <c r="J32" s="491"/>
      <c r="K32" s="495" t="s">
        <v>171</v>
      </c>
      <c r="M32" s="491"/>
      <c r="N32" s="491"/>
      <c r="O32" s="491"/>
      <c r="P32" s="496"/>
    </row>
    <row r="33" spans="1:23" ht="16.5" customHeight="1" thickBot="1">
      <c r="A33" s="65"/>
      <c r="B33" s="83"/>
      <c r="C33" s="118"/>
      <c r="D33" s="1"/>
      <c r="E33" s="1"/>
      <c r="F33" s="127"/>
      <c r="G33" s="206"/>
      <c r="H33" s="207"/>
      <c r="I33" s="208"/>
      <c r="L33" s="211"/>
      <c r="M33" s="207"/>
      <c r="N33" s="394"/>
      <c r="O33" s="395"/>
      <c r="P33" s="213"/>
      <c r="Q33" s="214"/>
      <c r="R33" s="215"/>
      <c r="S33" s="215"/>
      <c r="T33" s="215"/>
      <c r="U33" s="182"/>
      <c r="V33" s="182"/>
      <c r="W33" s="105"/>
    </row>
    <row r="34" spans="1:23" ht="17.25" thickBot="1" thickTop="1">
      <c r="A34" s="65"/>
      <c r="B34" s="152"/>
      <c r="C34" s="146"/>
      <c r="D34" s="153"/>
      <c r="E34" s="154"/>
      <c r="F34" s="155"/>
      <c r="G34" s="156"/>
      <c r="H34" s="156"/>
      <c r="I34" s="154"/>
      <c r="J34" s="134"/>
      <c r="K34" s="134"/>
      <c r="L34" s="154"/>
      <c r="M34" s="154"/>
      <c r="N34" s="154"/>
      <c r="O34" s="157"/>
      <c r="P34" s="154"/>
      <c r="Q34" s="154"/>
      <c r="R34" s="158"/>
      <c r="S34" s="159"/>
      <c r="T34" s="159"/>
      <c r="U34" s="160"/>
      <c r="V34" s="216" t="e">
        <f>SUM(#REF!)</f>
        <v>#REF!</v>
      </c>
      <c r="W34" s="163"/>
    </row>
    <row r="35" spans="1:23" ht="17.25" thickBot="1" thickTop="1">
      <c r="A35" s="65"/>
      <c r="B35" s="152"/>
      <c r="C35" s="146"/>
      <c r="D35" s="153"/>
      <c r="E35" s="154"/>
      <c r="F35" s="155"/>
      <c r="G35" s="156"/>
      <c r="H35" s="156"/>
      <c r="I35" s="331" t="s">
        <v>81</v>
      </c>
      <c r="J35" s="419">
        <f>I32</f>
        <v>9219.9</v>
      </c>
      <c r="L35" s="154"/>
      <c r="M35" s="154"/>
      <c r="N35" s="154"/>
      <c r="O35" s="157"/>
      <c r="P35" s="154"/>
      <c r="Q35" s="154"/>
      <c r="R35" s="158"/>
      <c r="S35" s="159"/>
      <c r="T35" s="159"/>
      <c r="U35" s="160"/>
      <c r="W35" s="163"/>
    </row>
    <row r="36" spans="1:23" ht="13.5" customHeight="1" thickTop="1">
      <c r="A36" s="65"/>
      <c r="B36" s="152"/>
      <c r="C36" s="146"/>
      <c r="D36" s="153"/>
      <c r="E36" s="154"/>
      <c r="F36" s="155"/>
      <c r="G36" s="156"/>
      <c r="H36" s="156"/>
      <c r="I36" s="154"/>
      <c r="J36" s="134"/>
      <c r="K36" s="134"/>
      <c r="L36" s="154"/>
      <c r="M36" s="154"/>
      <c r="N36" s="154"/>
      <c r="O36" s="157"/>
      <c r="P36" s="154"/>
      <c r="Q36" s="154"/>
      <c r="R36" s="158"/>
      <c r="S36" s="159"/>
      <c r="T36" s="159"/>
      <c r="U36" s="160"/>
      <c r="W36" s="163"/>
    </row>
    <row r="37" spans="1:23" ht="16.5" customHeight="1">
      <c r="A37" s="65"/>
      <c r="B37" s="152"/>
      <c r="C37" s="164" t="s">
        <v>82</v>
      </c>
      <c r="D37" s="165" t="s">
        <v>83</v>
      </c>
      <c r="E37" s="154"/>
      <c r="F37" s="155"/>
      <c r="G37" s="156"/>
      <c r="H37" s="156"/>
      <c r="I37" s="154"/>
      <c r="J37" s="134"/>
      <c r="K37" s="134"/>
      <c r="L37" s="154"/>
      <c r="M37" s="154"/>
      <c r="N37" s="154"/>
      <c r="O37" s="157"/>
      <c r="P37" s="154"/>
      <c r="Q37" s="154"/>
      <c r="R37" s="158"/>
      <c r="S37" s="159"/>
      <c r="T37" s="159"/>
      <c r="U37" s="160"/>
      <c r="W37" s="163"/>
    </row>
    <row r="38" spans="1:23" ht="16.5" customHeight="1">
      <c r="A38" s="65"/>
      <c r="B38" s="152"/>
      <c r="C38" s="164"/>
      <c r="D38" s="153"/>
      <c r="E38" s="154"/>
      <c r="F38" s="155"/>
      <c r="G38" s="156"/>
      <c r="H38" s="156"/>
      <c r="I38" s="154"/>
      <c r="J38" s="134"/>
      <c r="K38" s="134"/>
      <c r="L38" s="154"/>
      <c r="M38" s="154"/>
      <c r="N38" s="154"/>
      <c r="O38" s="157"/>
      <c r="P38" s="154"/>
      <c r="Q38" s="154"/>
      <c r="R38" s="154"/>
      <c r="S38" s="158"/>
      <c r="T38" s="159"/>
      <c r="W38" s="163"/>
    </row>
    <row r="39" spans="2:23" s="65" customFormat="1" ht="16.5" customHeight="1">
      <c r="B39" s="152"/>
      <c r="C39" s="146"/>
      <c r="D39" s="174"/>
      <c r="E39" s="170" t="s">
        <v>96</v>
      </c>
      <c r="F39" s="149" t="s">
        <v>85</v>
      </c>
      <c r="G39" t="s">
        <v>112</v>
      </c>
      <c r="H39" s="325"/>
      <c r="I39" s="500" t="s">
        <v>113</v>
      </c>
      <c r="J39" s="500"/>
      <c r="K39" s="412"/>
      <c r="L39" s="412"/>
      <c r="M39" s="412"/>
      <c r="O39" s="306"/>
      <c r="P39"/>
      <c r="Q39" s="168"/>
      <c r="R39" s="168"/>
      <c r="S39" s="67"/>
      <c r="T39"/>
      <c r="U39"/>
      <c r="V39"/>
      <c r="W39" s="163"/>
    </row>
    <row r="40" spans="2:23" s="65" customFormat="1" ht="16.5" customHeight="1">
      <c r="B40" s="152"/>
      <c r="C40" s="146"/>
      <c r="D40" s="323"/>
      <c r="E40" s="413" t="s">
        <v>139</v>
      </c>
      <c r="F40" s="323">
        <v>500</v>
      </c>
      <c r="G40" s="323">
        <v>1</v>
      </c>
      <c r="H40" s="325"/>
      <c r="I40" s="499">
        <f>G40*$F$20*$M$19</f>
        <v>36504.36</v>
      </c>
      <c r="J40" s="499"/>
      <c r="K40" s="412"/>
      <c r="L40" s="412"/>
      <c r="M40" s="412"/>
      <c r="O40" s="518"/>
      <c r="P40" s="518"/>
      <c r="Q40" s="518"/>
      <c r="R40" s="518"/>
      <c r="S40" s="518"/>
      <c r="T40" s="518"/>
      <c r="U40" s="518"/>
      <c r="V40"/>
      <c r="W40" s="163"/>
    </row>
    <row r="41" spans="2:23" s="65" customFormat="1" ht="16.5" customHeight="1">
      <c r="B41" s="152"/>
      <c r="C41" s="146"/>
      <c r="D41" s="323"/>
      <c r="E41" s="325"/>
      <c r="F41" s="412"/>
      <c r="G41" s="325"/>
      <c r="H41" s="325"/>
      <c r="I41" s="325"/>
      <c r="J41" s="412"/>
      <c r="K41" s="412"/>
      <c r="L41" s="412"/>
      <c r="M41" s="412"/>
      <c r="O41" s="518"/>
      <c r="P41" s="518"/>
      <c r="Q41" s="518"/>
      <c r="R41" s="518"/>
      <c r="S41" s="518"/>
      <c r="T41" s="518"/>
      <c r="U41" s="518"/>
      <c r="V41"/>
      <c r="W41" s="163"/>
    </row>
    <row r="42" spans="2:23" s="65" customFormat="1" ht="16.5" customHeight="1">
      <c r="B42" s="152"/>
      <c r="C42" s="146"/>
      <c r="D42" s="324"/>
      <c r="E42" s="325"/>
      <c r="F42" s="412"/>
      <c r="G42" s="325"/>
      <c r="H42" s="325"/>
      <c r="I42" s="325"/>
      <c r="J42" s="412"/>
      <c r="K42" s="412"/>
      <c r="L42" s="412"/>
      <c r="M42" s="412"/>
      <c r="O42" s="518"/>
      <c r="P42" s="518"/>
      <c r="Q42" s="518"/>
      <c r="R42" s="518"/>
      <c r="S42" s="518"/>
      <c r="T42" s="518"/>
      <c r="U42" s="518"/>
      <c r="V42"/>
      <c r="W42" s="163"/>
    </row>
    <row r="43" spans="1:23" ht="16.5" customHeight="1">
      <c r="A43" s="65"/>
      <c r="B43" s="152"/>
      <c r="C43" s="146"/>
      <c r="D43" s="324"/>
      <c r="E43" s="325"/>
      <c r="F43" s="412"/>
      <c r="G43" s="325"/>
      <c r="H43" s="325"/>
      <c r="I43" s="325"/>
      <c r="M43" s="323"/>
      <c r="N43" s="322"/>
      <c r="O43" s="322"/>
      <c r="P43" s="161"/>
      <c r="Q43" s="161"/>
      <c r="R43" s="161"/>
      <c r="S43" s="161"/>
      <c r="W43" s="163"/>
    </row>
    <row r="44" spans="1:23" ht="16.5" customHeight="1" thickBot="1">
      <c r="A44" s="65"/>
      <c r="B44" s="152"/>
      <c r="C44" s="146"/>
      <c r="D44" s="174"/>
      <c r="E44" s="262"/>
      <c r="F44" s="262"/>
      <c r="G44" s="149"/>
      <c r="I44" s="166"/>
      <c r="J44" s="306"/>
      <c r="L44" s="305"/>
      <c r="M44" s="166"/>
      <c r="N44" s="167"/>
      <c r="O44" s="168"/>
      <c r="P44" s="168"/>
      <c r="Q44" s="168"/>
      <c r="R44" s="168"/>
      <c r="S44" s="168"/>
      <c r="W44" s="163"/>
    </row>
    <row r="45" spans="1:23" ht="16.5" customHeight="1" thickBot="1" thickTop="1">
      <c r="A45" s="65"/>
      <c r="B45" s="152"/>
      <c r="C45" s="146"/>
      <c r="D45" s="149"/>
      <c r="E45" s="414"/>
      <c r="F45" s="414"/>
      <c r="G45" s="217"/>
      <c r="H45" s="3"/>
      <c r="I45" s="331" t="s">
        <v>122</v>
      </c>
      <c r="J45" s="419">
        <f>I40</f>
        <v>36504.36</v>
      </c>
      <c r="L45" s="301"/>
      <c r="M45" s="3"/>
      <c r="N45" s="304"/>
      <c r="O45" s="161"/>
      <c r="P45" s="161"/>
      <c r="Q45" s="161"/>
      <c r="R45" s="161"/>
      <c r="S45" s="161"/>
      <c r="W45" s="163"/>
    </row>
    <row r="46" spans="1:23" ht="16.5" customHeight="1" thickTop="1">
      <c r="A46" s="65"/>
      <c r="B46" s="152"/>
      <c r="C46" s="146"/>
      <c r="D46" s="134"/>
      <c r="E46" s="136"/>
      <c r="F46" s="149"/>
      <c r="G46" s="149"/>
      <c r="H46" s="150"/>
      <c r="J46" s="149"/>
      <c r="L46" s="171"/>
      <c r="M46" s="167"/>
      <c r="N46" s="167"/>
      <c r="O46" s="168"/>
      <c r="P46" s="168"/>
      <c r="Q46" s="168"/>
      <c r="R46" s="168"/>
      <c r="S46" s="168"/>
      <c r="W46" s="163"/>
    </row>
    <row r="47" spans="2:23" ht="16.5" customHeight="1">
      <c r="B47" s="152"/>
      <c r="C47" s="164" t="s">
        <v>101</v>
      </c>
      <c r="D47" s="172" t="s">
        <v>102</v>
      </c>
      <c r="E47" s="149"/>
      <c r="F47" s="173"/>
      <c r="G47" s="135"/>
      <c r="H47" s="134"/>
      <c r="I47" s="134"/>
      <c r="J47" s="134"/>
      <c r="K47" s="149"/>
      <c r="L47" s="149"/>
      <c r="M47" s="134"/>
      <c r="N47" s="149"/>
      <c r="O47" s="134"/>
      <c r="P47" s="134"/>
      <c r="Q47" s="134"/>
      <c r="R47" s="134"/>
      <c r="S47" s="134"/>
      <c r="T47" s="134"/>
      <c r="U47" s="134"/>
      <c r="W47" s="163"/>
    </row>
    <row r="48" spans="2:23" s="65" customFormat="1" ht="16.5" customHeight="1">
      <c r="B48" s="152"/>
      <c r="C48" s="146"/>
      <c r="D48" s="174" t="s">
        <v>103</v>
      </c>
      <c r="E48" s="175">
        <f>10*J35*J25/J45</f>
        <v>2304.975</v>
      </c>
      <c r="G48" s="135"/>
      <c r="L48" s="149"/>
      <c r="N48" s="149"/>
      <c r="O48" s="150"/>
      <c r="V48"/>
      <c r="W48" s="163"/>
    </row>
    <row r="49" spans="2:23" s="65" customFormat="1" ht="12.75" customHeight="1">
      <c r="B49" s="152"/>
      <c r="C49" s="146"/>
      <c r="E49" s="298"/>
      <c r="F49" s="148"/>
      <c r="G49" s="135"/>
      <c r="J49" s="135"/>
      <c r="K49" s="177"/>
      <c r="L49" s="149"/>
      <c r="M49" s="149"/>
      <c r="N49" s="149"/>
      <c r="O49" s="150"/>
      <c r="P49" s="149"/>
      <c r="Q49" s="149"/>
      <c r="R49" s="296"/>
      <c r="S49" s="296"/>
      <c r="T49" s="296"/>
      <c r="U49" s="297"/>
      <c r="V49"/>
      <c r="W49" s="163"/>
    </row>
    <row r="50" spans="2:23" ht="16.5" customHeight="1">
      <c r="B50" s="152"/>
      <c r="C50" s="146"/>
      <c r="D50" s="178" t="s">
        <v>140</v>
      </c>
      <c r="E50" s="176"/>
      <c r="F50" s="148"/>
      <c r="G50" s="135"/>
      <c r="H50" s="134"/>
      <c r="I50" s="134"/>
      <c r="N50" s="149"/>
      <c r="O50" s="150"/>
      <c r="P50" s="149"/>
      <c r="Q50" s="149"/>
      <c r="R50" s="166"/>
      <c r="S50" s="166"/>
      <c r="T50" s="166"/>
      <c r="U50" s="167"/>
      <c r="W50" s="163"/>
    </row>
    <row r="51" spans="2:23" ht="13.5" customHeight="1" thickBot="1">
      <c r="B51" s="152"/>
      <c r="C51" s="146"/>
      <c r="D51" s="178"/>
      <c r="E51" s="176"/>
      <c r="F51" s="148"/>
      <c r="G51" s="135"/>
      <c r="H51" s="134"/>
      <c r="I51" s="134"/>
      <c r="N51" s="149"/>
      <c r="O51" s="150"/>
      <c r="P51" s="149"/>
      <c r="Q51" s="149"/>
      <c r="R51" s="166"/>
      <c r="S51" s="166"/>
      <c r="T51" s="166"/>
      <c r="U51" s="167"/>
      <c r="W51" s="163"/>
    </row>
    <row r="52" spans="2:23" s="313" customFormat="1" ht="21" thickBot="1" thickTop="1">
      <c r="B52" s="307"/>
      <c r="C52" s="308"/>
      <c r="D52" s="309"/>
      <c r="E52" s="310"/>
      <c r="F52" s="311"/>
      <c r="G52" s="312"/>
      <c r="I52" s="314" t="s">
        <v>105</v>
      </c>
      <c r="J52" s="315">
        <f>IF(E48&gt;3*J25,J25*3,E48)</f>
        <v>2304.975</v>
      </c>
      <c r="M52" s="316"/>
      <c r="N52" s="316"/>
      <c r="O52" s="317"/>
      <c r="P52" s="316"/>
      <c r="Q52" s="316"/>
      <c r="R52" s="318"/>
      <c r="S52" s="318"/>
      <c r="T52" s="318"/>
      <c r="U52" s="319"/>
      <c r="V52"/>
      <c r="W52" s="320"/>
    </row>
    <row r="53" spans="2:23" ht="16.5" customHeight="1" thickBot="1" thickTop="1">
      <c r="B53" s="87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183"/>
      <c r="W53" s="179"/>
    </row>
    <row r="54" spans="2:23" ht="16.5" customHeight="1" thickTop="1">
      <c r="B54" s="9"/>
      <c r="C54" s="399"/>
      <c r="W54" s="9"/>
    </row>
  </sheetData>
  <sheetProtection password="CC12"/>
  <mergeCells count="5">
    <mergeCell ref="I40:J40"/>
    <mergeCell ref="I39:J39"/>
    <mergeCell ref="O41:U41"/>
    <mergeCell ref="O42:U42"/>
    <mergeCell ref="O40:U4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2008-05-27T14:16:58Z</cp:lastPrinted>
  <dcterms:created xsi:type="dcterms:W3CDTF">1998-04-21T14:28:46Z</dcterms:created>
  <dcterms:modified xsi:type="dcterms:W3CDTF">2008-06-03T15:14:56Z</dcterms:modified>
  <cp:category/>
  <cp:version/>
  <cp:contentType/>
  <cp:contentStatus/>
</cp:coreProperties>
</file>