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25" tabRatio="662" activeTab="3"/>
  </bookViews>
  <sheets>
    <sheet name="tot-0509-SUP" sheetId="1" r:id="rId1"/>
    <sheet name="SU (YACYLEC) " sheetId="2" r:id="rId2"/>
    <sheet name="SU (LITSA)" sheetId="3" r:id="rId3"/>
    <sheet name="SU (TIBA)" sheetId="4" r:id="rId4"/>
  </sheets>
  <definedNames>
    <definedName name="_xlnm.Print_Area" localSheetId="2">'SU (LITSA)'!$A$1:$AD$65</definedName>
    <definedName name="_xlnm.Print_Area" localSheetId="3">'SU (TIBA)'!$A$1:$W$70</definedName>
    <definedName name="_xlnm.Print_Area" localSheetId="1">'SU (YACYLEC) '!$A$1:$AD$67</definedName>
    <definedName name="_xlnm.Print_Area" localSheetId="0">'tot-0509-SUP'!$A$1:$K$24</definedName>
    <definedName name="INICIO" localSheetId="1">'SU (YACYLEC) '!INICIO</definedName>
    <definedName name="INICIO">[0]!INICIO</definedName>
    <definedName name="XX" localSheetId="1">'SU (YACYLEC) '!XX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<sst xmlns="http://schemas.openxmlformats.org/spreadsheetml/2006/main" count="353" uniqueCount="151">
  <si>
    <t>SISTEMA DE TRANSPORTE DE ENERGÍA ELÉCTRICA EN ALTA TENSIÓN</t>
  </si>
  <si>
    <t>TRANSENER S.A.</t>
  </si>
  <si>
    <t>C</t>
  </si>
  <si>
    <t>RINCON - SALTO GRANDE</t>
  </si>
  <si>
    <t>RINCON - SAN ISIDRO</t>
  </si>
  <si>
    <t>500/132</t>
  </si>
  <si>
    <t>BAHÍA BLANCA 500</t>
  </si>
  <si>
    <t>OLAVARRÍA 500</t>
  </si>
  <si>
    <t>LÍNEA A PETROQUÍMICA</t>
  </si>
  <si>
    <t>LÍNEA A PUNTA ALTA</t>
  </si>
  <si>
    <t>LÍNEA A PIGÜE</t>
  </si>
  <si>
    <t>LÍNEA A HENDERSON</t>
  </si>
  <si>
    <t>LÍNEA A TANDIL</t>
  </si>
  <si>
    <t>LÍNEA A AZUL</t>
  </si>
  <si>
    <t>LÍNEA A OLAVARRÍA</t>
  </si>
  <si>
    <t>EQUIPO</t>
  </si>
  <si>
    <t xml:space="preserve">ENTE NACIONAL REGULADOR </t>
  </si>
  <si>
    <t>DE LA ELECTRICIDAD</t>
  </si>
  <si>
    <t>LÍNEAS</t>
  </si>
  <si>
    <t>Transportista Independiente YACYLEC S.A.</t>
  </si>
  <si>
    <t>Transportista Independiente LITSA</t>
  </si>
  <si>
    <t>4.-</t>
  </si>
  <si>
    <t>SUPERVISIÓN</t>
  </si>
  <si>
    <t>Transportista Independiente TIBA S.A.</t>
  </si>
  <si>
    <t xml:space="preserve">TOTAL </t>
  </si>
  <si>
    <t>N°</t>
  </si>
  <si>
    <t>U
[kV]</t>
  </si>
  <si>
    <t>Long.
[km]</t>
  </si>
  <si>
    <t>CL</t>
  </si>
  <si>
    <t>K</t>
  </si>
  <si>
    <t>$/h</t>
  </si>
  <si>
    <t>Salida</t>
  </si>
  <si>
    <t>Entrada</t>
  </si>
  <si>
    <t>Hs.
Indisp.</t>
  </si>
  <si>
    <t>Mtos.
Indisp.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</si>
  <si>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</si>
  <si>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Rest.
%</t>
  </si>
  <si>
    <t>R.D.</t>
  </si>
  <si>
    <t>AUT.</t>
  </si>
  <si>
    <t>PENALIZ.
PROGRAM.</t>
  </si>
  <si>
    <t>REDUCC.
PROGRAM.</t>
  </si>
  <si>
    <t>RESTANTE
FORZADA</t>
  </si>
  <si>
    <t>Informó
enTérm.</t>
  </si>
  <si>
    <t>TOTAL
PENALIZAC.</t>
  </si>
  <si>
    <t>REDUCC.
RESTANTE</t>
  </si>
  <si>
    <t>PENALIZAC.
PROGRAM.</t>
  </si>
  <si>
    <t>PENALIZACION FORZADA
Por Salida      1ras 5 hs.     hs. Restantes</t>
  </si>
  <si>
    <t>ESTACIÓN
TRANSFORMADORA</t>
  </si>
  <si>
    <t>POT.
[MVA]</t>
  </si>
  <si>
    <t>Hs
Indisp.</t>
  </si>
  <si>
    <t>E.N.S.</t>
  </si>
  <si>
    <t>Salida en 220 kV en $/h</t>
  </si>
  <si>
    <t>PENALIZAC. FORZADA
Por Salida       hs. Restantes</t>
  </si>
  <si>
    <t>Tipo 
Sal.</t>
  </si>
  <si>
    <t>SISTEMA DE TRANSPORTE DE ENERGÍA ELÉCTRICA EN ALTA TENSIÓN - TRANSENER  S.A.</t>
  </si>
  <si>
    <t>4.- SUPERVISIÓN</t>
  </si>
  <si>
    <t>a)</t>
  </si>
  <si>
    <t>Datos</t>
  </si>
  <si>
    <t>Remuneración LÍNEAS 500 kV              =</t>
  </si>
  <si>
    <t>$/100 km-h</t>
  </si>
  <si>
    <t>Porcentaje por Supervisión  =</t>
  </si>
  <si>
    <t>Remuneración TRANSFORMADOR    =</t>
  </si>
  <si>
    <t>$/MVA</t>
  </si>
  <si>
    <t>Tiempo de servicio =</t>
  </si>
  <si>
    <t>hs</t>
  </si>
  <si>
    <t>Remuneración SALIDA 132 kV             =</t>
  </si>
  <si>
    <t>b)</t>
  </si>
  <si>
    <r>
      <t>CS:</t>
    </r>
    <r>
      <rPr>
        <sz val="12"/>
        <rFont val="Times New Roman"/>
        <family val="0"/>
      </rPr>
      <t xml:space="preserve"> es el cargo por supervisión de la operación que la concesionaria percibe por supervisar la operación y mantenimiento del transportista independiente, establecido en el reglamento de acceso.</t>
    </r>
  </si>
  <si>
    <t>CS =</t>
  </si>
  <si>
    <t>c)</t>
  </si>
  <si>
    <r>
      <t>SM: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es la suma de las sanciones a que en cada mes se hiciere pasible el Transportista Independiente, valorizadas con idénticos criterios que los que se aplican a la Concesionaria.</t>
    </r>
  </si>
  <si>
    <t>Tipo 
Sal</t>
  </si>
  <si>
    <t>REDUCC. FORZADA
Por Salida        1ras 5 hs.      hs. Restantes</t>
  </si>
  <si>
    <t>K (P;ENS)</t>
  </si>
  <si>
    <t>PENALIZAC. FORZADA
Por Salida    hs. Restantes</t>
  </si>
  <si>
    <t>SM =</t>
  </si>
  <si>
    <t>d)</t>
  </si>
  <si>
    <r>
      <t>RM:</t>
    </r>
    <r>
      <rPr>
        <sz val="12"/>
        <color indexed="8"/>
        <rFont val="Times New Roman"/>
        <family val="1"/>
      </rPr>
      <t xml:space="preserve"> es la remuneración que mensualmente recibiría el Transportista Independiente, si su servicio fuera valorizado conforme al régimen remuneratorio que se aplica a la Concesionaria.</t>
    </r>
  </si>
  <si>
    <t>LONG.</t>
  </si>
  <si>
    <t>U [kV]</t>
  </si>
  <si>
    <r>
      <t>RM</t>
    </r>
    <r>
      <rPr>
        <sz val="12"/>
        <rFont val="Times New Roman"/>
        <family val="1"/>
      </rPr>
      <t xml:space="preserve"> por Capacidad de Transporte</t>
    </r>
  </si>
  <si>
    <r>
      <t>RM</t>
    </r>
    <r>
      <rPr>
        <sz val="12"/>
        <rFont val="Times New Roman"/>
        <family val="1"/>
      </rPr>
      <t xml:space="preserve"> por Energía E. Transportada</t>
    </r>
  </si>
  <si>
    <r>
      <t>RM</t>
    </r>
    <r>
      <rPr>
        <sz val="12"/>
        <rFont val="Times New Roman"/>
        <family val="1"/>
      </rPr>
      <t xml:space="preserve"> Total</t>
    </r>
  </si>
  <si>
    <t xml:space="preserve"> Rincón - Salto Grande</t>
  </si>
  <si>
    <t xml:space="preserve"> Rincón - San Isidro</t>
  </si>
  <si>
    <t>TRANSFORMADOR</t>
  </si>
  <si>
    <t>POT. [MVA]</t>
  </si>
  <si>
    <r>
      <t>RM</t>
    </r>
    <r>
      <rPr>
        <sz val="12"/>
        <rFont val="Times New Roman"/>
        <family val="1"/>
      </rPr>
      <t xml:space="preserve"> por Capacidad de Transformación</t>
    </r>
  </si>
  <si>
    <r>
      <t>RM</t>
    </r>
    <r>
      <rPr>
        <sz val="12"/>
        <rFont val="Times New Roman"/>
        <family val="1"/>
      </rPr>
      <t xml:space="preserve"> por Potencia Puesta a Disposición</t>
    </r>
  </si>
  <si>
    <t>Rincón - TR06</t>
  </si>
  <si>
    <t>E.T.</t>
  </si>
  <si>
    <t>SALIDA</t>
  </si>
  <si>
    <r>
      <t>RM</t>
    </r>
    <r>
      <rPr>
        <sz val="12"/>
        <rFont val="Times New Roman"/>
        <family val="1"/>
      </rPr>
      <t xml:space="preserve"> por Conexión</t>
    </r>
  </si>
  <si>
    <t>Rincón</t>
  </si>
  <si>
    <t>Ituzaingó, Ita Ibate, Virasoro</t>
  </si>
  <si>
    <t>e)</t>
  </si>
  <si>
    <t>SANCIÓN</t>
  </si>
  <si>
    <t>Sanción calculada</t>
  </si>
  <si>
    <t>TOTAL A PENALIZAR A TRANSENER S.A POR SUPERVISIÓN A L.I.T.S.A.</t>
  </si>
  <si>
    <t>SANCIÓN =</t>
  </si>
  <si>
    <t>Valor Mensual del Canon                        =</t>
  </si>
  <si>
    <t>Línea Rincón - Resistencia</t>
  </si>
  <si>
    <t>3 Líneas Rincón - Yacyretá</t>
  </si>
  <si>
    <t>TOTAL A PENALIZAR A TRANSENER S.A POR SUPERVISIÓN A YACYLEC S.A.</t>
  </si>
  <si>
    <t>4.3.- Transportista Independiente  T.I.B.A.</t>
  </si>
  <si>
    <t xml:space="preserve">Cargo por Transformador por MVA = </t>
  </si>
  <si>
    <t>Cant. Puntos.</t>
  </si>
  <si>
    <r>
      <t>RM</t>
    </r>
    <r>
      <rPr>
        <sz val="12"/>
        <rFont val="Times New Roman"/>
        <family val="1"/>
      </rPr>
      <t xml:space="preserve"> por Cargos de Conexión</t>
    </r>
  </si>
  <si>
    <t>Bahía Blanca Trafo 1</t>
  </si>
  <si>
    <t>Bahía Blanca</t>
  </si>
  <si>
    <t>Bahía Blanca Trafo 2</t>
  </si>
  <si>
    <t>Olavarría Trafo 1</t>
  </si>
  <si>
    <t>Olavarría</t>
  </si>
  <si>
    <t>Olavarría Trafo 2</t>
  </si>
  <si>
    <t>Campana</t>
  </si>
  <si>
    <t>Campana Autotrafo</t>
  </si>
  <si>
    <t>RM =</t>
  </si>
  <si>
    <t>RINCON - PASO DE LA PATRIA</t>
  </si>
  <si>
    <t>4.1.- Transportista Independiente YACYLEC S.A.</t>
  </si>
  <si>
    <t>4.2.- Transportista Independiente L.I.T.S.A.</t>
  </si>
  <si>
    <t xml:space="preserve">Salida en 500 kV en $/h </t>
  </si>
  <si>
    <t>Salida en 132 kV en $/h</t>
  </si>
  <si>
    <t>TOTAL A PENALIZAR A TRANSENER S.A POR SUPERVISIÓN A T.I.B.A.</t>
  </si>
  <si>
    <t>LÍNEA A PETROQUÍMICA 2</t>
  </si>
  <si>
    <t>500/132/13,8</t>
  </si>
  <si>
    <t>F</t>
  </si>
  <si>
    <t>Salto Grande</t>
  </si>
  <si>
    <t>Trafo 2 500/132 kV</t>
  </si>
  <si>
    <t>$/hora</t>
  </si>
  <si>
    <t>Remuneración SALIDA 500 kV             =</t>
  </si>
  <si>
    <t>Salto Grande - TR02</t>
  </si>
  <si>
    <t>P</t>
  </si>
  <si>
    <t>(DTE 09/05)</t>
  </si>
  <si>
    <t>Desde el 01 al 30 de septiembre de 2005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</si>
  <si>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</si>
  <si>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</si>
  <si>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</si>
  <si>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</si>
  <si>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</si>
  <si>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</si>
  <si>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</si>
  <si>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</si>
  <si>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</si>
  <si>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</si>
  <si>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</si>
  <si>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</si>
  <si>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</si>
  <si>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</si>
  <si>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Valores remuneratorios según Decretos PEN  1462/05 y 1460/05</t>
  </si>
  <si>
    <t>TOTAL DE PENALIZACIONES - SUPERVISIÓN</t>
  </si>
  <si>
    <t>ANEXO IV.1.b. a la Resolución E.N.R.E.   N° 122  /2008</t>
  </si>
</sst>
</file>

<file path=xl/styles.xml><?xml version="1.0" encoding="utf-8"?>
<styleSheet xmlns="http://schemas.openxmlformats.org/spreadsheetml/2006/main">
  <numFmts count="6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)"/>
    <numFmt numFmtId="173" formatCode="0.0_)"/>
    <numFmt numFmtId="174" formatCode="0.0000000_)"/>
    <numFmt numFmtId="175" formatCode="#,##0.0000"/>
    <numFmt numFmtId="176" formatCode="0.00_)"/>
    <numFmt numFmtId="177" formatCode="#,##0.00000"/>
    <numFmt numFmtId="178" formatCode="0.0"/>
    <numFmt numFmtId="179" formatCode="0.000_)"/>
    <numFmt numFmtId="180" formatCode="0.000"/>
    <numFmt numFmtId="181" formatCode="&quot;$&quot;#,##0.00;&quot;$&quot;\-#,##0.00"/>
    <numFmt numFmtId="182" formatCode="&quot;$&quot;#,##0.00"/>
    <numFmt numFmtId="183" formatCode="#&quot;.&quot;#&quot;.-&quot;"/>
    <numFmt numFmtId="184" formatCode="#&quot;.&quot;#&quot;.&quot;#&quot;.-&quot;"/>
    <numFmt numFmtId="185" formatCode="#,##0;[Red]#,##0"/>
    <numFmt numFmtId="186" formatCode="#,##0.000000"/>
    <numFmt numFmtId="187" formatCode="#,##0.00;[Red]#,##0.00"/>
    <numFmt numFmtId="188" formatCode="&quot;$&quot;\ #,##0.00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\-yyyy"/>
    <numFmt numFmtId="198" formatCode="&quot;$&quot;\ #,##0.0;&quot;$&quot;\ \-#,##0.0"/>
    <numFmt numFmtId="199" formatCode="&quot;$&quot;\ #,##0.000;&quot;$&quot;\ \-#,##0.000"/>
    <numFmt numFmtId="200" formatCode="&quot;$&quot;\ #,##0.0000;&quot;$&quot;\ \-#,##0.0000"/>
    <numFmt numFmtId="201" formatCode="&quot;$&quot;\ #,##0.00000;&quot;$&quot;\ \-#,##0.00000"/>
    <numFmt numFmtId="202" formatCode="&quot;$&quot;\ #,##0.000000;&quot;$&quot;\ \-#,##0.000000"/>
    <numFmt numFmtId="203" formatCode="&quot;$&quot;#,##0.0;&quot;$&quot;\-#,##0.0"/>
    <numFmt numFmtId="204" formatCode="&quot;$&quot;#,##0;&quot;$&quot;\-#,##0"/>
    <numFmt numFmtId="205" formatCode="&quot;$&quot;\ #,##0.0000000;&quot;$&quot;\ \-#,##0.000000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#,##0\ &quot;pta&quot;;\-#,##0\ &quot;pta&quot;"/>
    <numFmt numFmtId="210" formatCode="#,##0\ &quot;pta&quot;;[Red]\-#,##0\ &quot;pta&quot;"/>
    <numFmt numFmtId="211" formatCode="#,##0.00\ &quot;pta&quot;;\-#,##0.00\ &quot;pta&quot;"/>
    <numFmt numFmtId="212" formatCode="#,##0.00\ &quot;pta&quot;;[Red]\-#,##0.00\ &quot;pta&quot;"/>
    <numFmt numFmtId="213" formatCode="_-* #,##0\ &quot;pta&quot;_-;\-* #,##0\ &quot;pta&quot;_-;_-* &quot;-&quot;\ &quot;pta&quot;_-;_-@_-"/>
    <numFmt numFmtId="214" formatCode="_-* #,##0\ _p_t_a_-;\-* #,##0\ _p_t_a_-;_-* &quot;-&quot;\ _p_t_a_-;_-@_-"/>
    <numFmt numFmtId="215" formatCode="_-* #,##0.00\ &quot;pta&quot;_-;\-* #,##0.00\ &quot;pta&quot;_-;_-* &quot;-&quot;??\ &quot;pta&quot;_-;_-@_-"/>
    <numFmt numFmtId="216" formatCode="_-* #,##0.00\ _p_t_a_-;\-* #,##0.00\ _p_t_a_-;_-* &quot;-&quot;??\ _p_t_a_-;_-@_-"/>
    <numFmt numFmtId="217" formatCode="&quot;$&quot;\ #,##0.000"/>
    <numFmt numFmtId="218" formatCode="#,##0.000_);[Red]\(#,##0.000\)"/>
    <numFmt numFmtId="219" formatCode="#,##0.0000_);[Red]\(#,##0.0000\)"/>
    <numFmt numFmtId="220" formatCode="#,##0.00000_);[Red]\(#,##0.00000\)"/>
    <numFmt numFmtId="221" formatCode="#,##0.000000_);[Red]\(#,##0.000000\)"/>
    <numFmt numFmtId="222" formatCode="0.0000"/>
    <numFmt numFmtId="223" formatCode="0.00000"/>
    <numFmt numFmtId="224" formatCode="0.000000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8"/>
      <name val="Times New Roman"/>
      <family val="1"/>
    </font>
    <font>
      <b/>
      <u val="single"/>
      <sz val="20"/>
      <name val="Times New Roman"/>
      <family val="1"/>
    </font>
    <font>
      <sz val="10"/>
      <name val="Arial"/>
      <family val="0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i/>
      <u val="single"/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20"/>
      <name val="Times New Roman"/>
      <family val="1"/>
    </font>
    <font>
      <sz val="20"/>
      <name val="MS Sans Serif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1"/>
      <name val="MS Sans Serif"/>
      <family val="2"/>
    </font>
    <font>
      <sz val="11"/>
      <color indexed="13"/>
      <name val="Times New Roman"/>
      <family val="1"/>
    </font>
    <font>
      <sz val="11"/>
      <color indexed="8"/>
      <name val="MS Sans Serif"/>
      <family val="2"/>
    </font>
    <font>
      <b/>
      <u val="single"/>
      <sz val="14"/>
      <name val="Times New Roman"/>
      <family val="1"/>
    </font>
    <font>
      <sz val="10"/>
      <name val="Wingdings"/>
      <family val="0"/>
    </font>
    <font>
      <b/>
      <i/>
      <u val="single"/>
      <sz val="12"/>
      <name val="Arial"/>
      <family val="0"/>
    </font>
    <font>
      <sz val="12"/>
      <name val="MS Sans Serif"/>
      <family val="0"/>
    </font>
    <font>
      <sz val="12"/>
      <color indexed="14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0"/>
      <color indexed="50"/>
      <name val="Times New Roman"/>
      <family val="0"/>
    </font>
    <font>
      <sz val="11"/>
      <color indexed="50"/>
      <name val="MS Sans Serif"/>
      <family val="2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b/>
      <sz val="12"/>
      <color indexed="8"/>
      <name val="Times New Roman"/>
      <family val="0"/>
    </font>
    <font>
      <sz val="14"/>
      <name val="MS Sans Serif"/>
      <family val="0"/>
    </font>
    <font>
      <b/>
      <sz val="10"/>
      <color indexed="48"/>
      <name val="Times New Roman"/>
      <family val="0"/>
    </font>
    <font>
      <sz val="11"/>
      <color indexed="9"/>
      <name val="MS Sans Serif"/>
      <family val="2"/>
    </font>
    <font>
      <b/>
      <sz val="10"/>
      <color indexed="9"/>
      <name val="Times New Roman"/>
      <family val="0"/>
    </font>
    <font>
      <sz val="10"/>
      <color indexed="9"/>
      <name val="Times New Roman"/>
      <family val="1"/>
    </font>
    <font>
      <sz val="11"/>
      <color indexed="56"/>
      <name val="MS Sans Serif"/>
      <family val="2"/>
    </font>
    <font>
      <b/>
      <sz val="10"/>
      <color indexed="56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48"/>
      <name val="Times New Roman"/>
      <family val="0"/>
    </font>
    <font>
      <b/>
      <sz val="12"/>
      <color indexed="9"/>
      <name val="Times New Roman"/>
      <family val="0"/>
    </font>
    <font>
      <sz val="11"/>
      <color indexed="34"/>
      <name val="MS Sans Serif"/>
      <family val="2"/>
    </font>
    <font>
      <sz val="10"/>
      <color indexed="34"/>
      <name val="MS Sans Serif"/>
      <family val="2"/>
    </font>
    <font>
      <b/>
      <sz val="12"/>
      <color indexed="34"/>
      <name val="Times New Roman"/>
      <family val="0"/>
    </font>
    <font>
      <sz val="10"/>
      <color indexed="9"/>
      <name val="MS Sans Serif"/>
      <family val="2"/>
    </font>
    <font>
      <b/>
      <i/>
      <u val="single"/>
      <sz val="12"/>
      <name val="Times New Roman"/>
      <family val="1"/>
    </font>
    <font>
      <b/>
      <sz val="14"/>
      <color indexed="8"/>
      <name val="Times New Roman"/>
      <family val="0"/>
    </font>
    <font>
      <sz val="14"/>
      <color indexed="14"/>
      <name val="Times New Roman"/>
      <family val="1"/>
    </font>
    <font>
      <sz val="14"/>
      <color indexed="10"/>
      <name val="Times New Roman"/>
      <family val="1"/>
    </font>
    <font>
      <b/>
      <i/>
      <sz val="10"/>
      <name val="Times New Roman"/>
      <family val="0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sz val="10"/>
      <color indexed="3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8"/>
        <bgColor indexed="64"/>
      </patternFill>
    </fill>
  </fills>
  <borders count="61">
    <border>
      <left/>
      <right/>
      <top/>
      <bottom/>
      <diagonal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medium"/>
      <top style="medium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10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176" fontId="4" fillId="0" borderId="1" xfId="0" applyNumberFormat="1" applyFont="1" applyBorder="1" applyAlignment="1" applyProtection="1">
      <alignment horizontal="center"/>
      <protection/>
    </xf>
    <xf numFmtId="172" fontId="4" fillId="2" borderId="1" xfId="0" applyNumberFormat="1" applyFont="1" applyFill="1" applyBorder="1" applyAlignment="1" applyProtection="1" quotePrefix="1">
      <alignment horizontal="center"/>
      <protection/>
    </xf>
    <xf numFmtId="176" fontId="4" fillId="0" borderId="2" xfId="0" applyNumberFormat="1" applyFont="1" applyBorder="1" applyAlignment="1" applyProtection="1">
      <alignment horizontal="center"/>
      <protection/>
    </xf>
    <xf numFmtId="179" fontId="4" fillId="0" borderId="2" xfId="0" applyNumberFormat="1" applyFont="1" applyBorder="1" applyAlignment="1" applyProtection="1" quotePrefix="1">
      <alignment horizontal="center"/>
      <protection/>
    </xf>
    <xf numFmtId="4" fontId="16" fillId="0" borderId="2" xfId="0" applyNumberFormat="1" applyFont="1" applyFill="1" applyBorder="1" applyAlignment="1">
      <alignment horizontal="right"/>
    </xf>
    <xf numFmtId="172" fontId="4" fillId="0" borderId="1" xfId="0" applyNumberFormat="1" applyFont="1" applyFill="1" applyBorder="1" applyAlignment="1" applyProtection="1" quotePrefix="1">
      <alignment horizontal="center"/>
      <protection/>
    </xf>
    <xf numFmtId="176" fontId="4" fillId="0" borderId="3" xfId="0" applyNumberFormat="1" applyFont="1" applyBorder="1" applyAlignment="1" applyProtection="1">
      <alignment horizontal="center"/>
      <protection/>
    </xf>
    <xf numFmtId="179" fontId="4" fillId="0" borderId="3" xfId="0" applyNumberFormat="1" applyFont="1" applyBorder="1" applyAlignment="1" applyProtection="1" quotePrefix="1">
      <alignment horizontal="center"/>
      <protection/>
    </xf>
    <xf numFmtId="4" fontId="5" fillId="0" borderId="3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center"/>
      <protection/>
    </xf>
    <xf numFmtId="179" fontId="4" fillId="0" borderId="0" xfId="0" applyNumberFormat="1" applyFont="1" applyBorder="1" applyAlignment="1" applyProtection="1" quotePrefix="1">
      <alignment horizontal="center"/>
      <protection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4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172" fontId="4" fillId="0" borderId="4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 quotePrefix="1">
      <alignment horizontal="center"/>
      <protection/>
    </xf>
    <xf numFmtId="176" fontId="4" fillId="0" borderId="1" xfId="0" applyNumberFormat="1" applyFont="1" applyFill="1" applyBorder="1" applyAlignment="1" applyProtection="1">
      <alignment horizontal="center"/>
      <protection/>
    </xf>
    <xf numFmtId="22" fontId="4" fillId="0" borderId="1" xfId="0" applyNumberFormat="1" applyFont="1" applyFill="1" applyBorder="1" applyAlignment="1">
      <alignment horizontal="center"/>
    </xf>
    <xf numFmtId="22" fontId="4" fillId="0" borderId="1" xfId="0" applyNumberFormat="1" applyFont="1" applyFill="1" applyBorder="1" applyAlignment="1" applyProtection="1">
      <alignment horizontal="center"/>
      <protection/>
    </xf>
    <xf numFmtId="4" fontId="4" fillId="0" borderId="1" xfId="0" applyNumberFormat="1" applyFont="1" applyFill="1" applyBorder="1" applyAlignment="1" applyProtection="1">
      <alignment horizontal="center"/>
      <protection/>
    </xf>
    <xf numFmtId="3" fontId="4" fillId="0" borderId="1" xfId="0" applyNumberFormat="1" applyFont="1" applyFill="1" applyBorder="1" applyAlignment="1" applyProtection="1">
      <alignment horizontal="center"/>
      <protection/>
    </xf>
    <xf numFmtId="176" fontId="4" fillId="0" borderId="1" xfId="0" applyNumberFormat="1" applyFont="1" applyBorder="1" applyAlignment="1" applyProtection="1" quotePrefix="1">
      <alignment horizontal="center"/>
      <protection/>
    </xf>
    <xf numFmtId="176" fontId="4" fillId="0" borderId="2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76" fontId="4" fillId="0" borderId="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6" fillId="0" borderId="7" xfId="0" applyFont="1" applyBorder="1" applyAlignment="1" applyProtection="1">
      <alignment horizontal="center"/>
      <protection/>
    </xf>
    <xf numFmtId="2" fontId="4" fillId="0" borderId="1" xfId="0" applyNumberFormat="1" applyFont="1" applyFill="1" applyBorder="1" applyAlignment="1" applyProtection="1" quotePrefix="1">
      <alignment horizontal="center"/>
      <protection/>
    </xf>
    <xf numFmtId="176" fontId="4" fillId="0" borderId="1" xfId="0" applyNumberFormat="1" applyFont="1" applyBorder="1" applyAlignment="1">
      <alignment horizontal="center"/>
    </xf>
    <xf numFmtId="4" fontId="17" fillId="0" borderId="1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20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2" fillId="0" borderId="0" xfId="0" applyFont="1" applyFill="1" applyBorder="1" applyAlignment="1" applyProtection="1">
      <alignment horizontal="centerContinuous"/>
      <protection/>
    </xf>
    <xf numFmtId="0" fontId="23" fillId="0" borderId="0" xfId="0" applyNumberFormat="1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Fill="1" applyBorder="1" applyAlignment="1" applyProtection="1">
      <alignment horizontal="left"/>
      <protection/>
    </xf>
    <xf numFmtId="0" fontId="20" fillId="0" borderId="0" xfId="0" applyFont="1" applyBorder="1" applyAlignment="1">
      <alignment/>
    </xf>
    <xf numFmtId="0" fontId="25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8" xfId="0" applyFont="1" applyBorder="1" applyAlignment="1">
      <alignment/>
    </xf>
    <xf numFmtId="0" fontId="26" fillId="0" borderId="9" xfId="0" applyFont="1" applyBorder="1" applyAlignment="1">
      <alignment/>
    </xf>
    <xf numFmtId="0" fontId="26" fillId="0" borderId="10" xfId="0" applyFont="1" applyBorder="1" applyAlignment="1">
      <alignment/>
    </xf>
    <xf numFmtId="0" fontId="11" fillId="0" borderId="11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4" fillId="0" borderId="0" xfId="0" applyNumberFormat="1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4" fillId="0" borderId="12" xfId="0" applyFont="1" applyBorder="1" applyAlignment="1">
      <alignment horizontal="centerContinuous"/>
    </xf>
    <xf numFmtId="0" fontId="14" fillId="0" borderId="0" xfId="0" applyFont="1" applyBorder="1" applyAlignment="1">
      <alignment/>
    </xf>
    <xf numFmtId="0" fontId="14" fillId="0" borderId="11" xfId="0" applyFont="1" applyBorder="1" applyAlignment="1">
      <alignment/>
    </xf>
    <xf numFmtId="0" fontId="13" fillId="0" borderId="0" xfId="0" applyNumberFormat="1" applyFont="1" applyBorder="1" applyAlignment="1">
      <alignment horizontal="right"/>
    </xf>
    <xf numFmtId="0" fontId="14" fillId="0" borderId="12" xfId="0" applyFont="1" applyBorder="1" applyAlignment="1">
      <alignment/>
    </xf>
    <xf numFmtId="0" fontId="13" fillId="0" borderId="0" xfId="0" applyNumberFormat="1" applyFont="1" applyBorder="1" applyAlignment="1">
      <alignment horizontal="right"/>
    </xf>
    <xf numFmtId="7" fontId="13" fillId="0" borderId="0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3" fillId="0" borderId="13" xfId="0" applyFont="1" applyBorder="1" applyAlignment="1">
      <alignment horizontal="center"/>
    </xf>
    <xf numFmtId="7" fontId="13" fillId="0" borderId="14" xfId="0" applyNumberFormat="1" applyFont="1" applyBorder="1" applyAlignment="1">
      <alignment horizontal="center"/>
    </xf>
    <xf numFmtId="0" fontId="26" fillId="0" borderId="15" xfId="0" applyFont="1" applyBorder="1" applyAlignment="1">
      <alignment/>
    </xf>
    <xf numFmtId="0" fontId="26" fillId="0" borderId="16" xfId="0" applyNumberFormat="1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0" xfId="0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7" fontId="26" fillId="0" borderId="0" xfId="0" applyNumberFormat="1" applyFont="1" applyBorder="1" applyAlignment="1">
      <alignment/>
    </xf>
    <xf numFmtId="176" fontId="26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28" fillId="0" borderId="0" xfId="0" applyNumberFormat="1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9" xfId="0" applyFont="1" applyBorder="1" applyAlignment="1" applyProtection="1">
      <alignment horizontal="left"/>
      <protection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12" xfId="0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0" fontId="29" fillId="0" borderId="18" xfId="0" applyFont="1" applyBorder="1" applyAlignment="1">
      <alignment horizontal="center" vertical="center"/>
    </xf>
    <xf numFmtId="176" fontId="29" fillId="0" borderId="18" xfId="0" applyNumberFormat="1" applyFont="1" applyBorder="1" applyAlignment="1" applyProtection="1">
      <alignment horizontal="center" vertical="center"/>
      <protection/>
    </xf>
    <xf numFmtId="0" fontId="29" fillId="0" borderId="18" xfId="0" applyFont="1" applyBorder="1" applyAlignment="1" applyProtection="1">
      <alignment horizontal="center" vertical="center"/>
      <protection/>
    </xf>
    <xf numFmtId="0" fontId="29" fillId="0" borderId="13" xfId="0" applyFont="1" applyBorder="1" applyAlignment="1" applyProtection="1">
      <alignment horizontal="center" vertical="center"/>
      <protection/>
    </xf>
    <xf numFmtId="0" fontId="29" fillId="0" borderId="14" xfId="0" applyFont="1" applyBorder="1" applyAlignment="1" applyProtection="1">
      <alignment horizontal="center" vertical="center"/>
      <protection/>
    </xf>
    <xf numFmtId="172" fontId="29" fillId="0" borderId="14" xfId="0" applyNumberFormat="1" applyFont="1" applyBorder="1" applyAlignment="1" applyProtection="1">
      <alignment horizontal="center" vertical="center" wrapTex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29" fillId="0" borderId="13" xfId="0" applyFont="1" applyBorder="1" applyAlignment="1" applyProtection="1">
      <alignment horizontal="center" vertical="center" wrapText="1"/>
      <protection/>
    </xf>
    <xf numFmtId="0" fontId="29" fillId="0" borderId="18" xfId="0" applyFont="1" applyBorder="1" applyAlignment="1" applyProtection="1">
      <alignment horizontal="center" vertical="center" wrapText="1"/>
      <protection/>
    </xf>
    <xf numFmtId="0" fontId="29" fillId="0" borderId="14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 vertical="center"/>
    </xf>
    <xf numFmtId="0" fontId="29" fillId="0" borderId="18" xfId="0" applyFont="1" applyFill="1" applyBorder="1" applyAlignment="1" applyProtection="1">
      <alignment horizontal="center" vertical="center"/>
      <protection/>
    </xf>
    <xf numFmtId="0" fontId="29" fillId="0" borderId="18" xfId="0" applyFont="1" applyFill="1" applyBorder="1" applyAlignment="1" applyProtection="1">
      <alignment horizontal="center" vertical="center" wrapText="1"/>
      <protection/>
    </xf>
    <xf numFmtId="0" fontId="29" fillId="0" borderId="18" xfId="0" applyFont="1" applyFill="1" applyBorder="1" applyAlignment="1" applyProtection="1" quotePrefix="1">
      <alignment horizontal="center" vertical="center" wrapText="1"/>
      <protection/>
    </xf>
    <xf numFmtId="0" fontId="29" fillId="0" borderId="18" xfId="0" applyFont="1" applyFill="1" applyBorder="1" applyAlignment="1">
      <alignment horizontal="center" vertical="center" wrapText="1"/>
    </xf>
    <xf numFmtId="4" fontId="17" fillId="0" borderId="2" xfId="0" applyNumberFormat="1" applyFont="1" applyFill="1" applyBorder="1" applyAlignment="1">
      <alignment horizontal="right"/>
    </xf>
    <xf numFmtId="0" fontId="29" fillId="0" borderId="14" xfId="0" applyFont="1" applyBorder="1" applyAlignment="1" applyProtection="1">
      <alignment horizontal="center" vertical="center" wrapText="1"/>
      <protection/>
    </xf>
    <xf numFmtId="176" fontId="17" fillId="0" borderId="1" xfId="0" applyNumberFormat="1" applyFont="1" applyFill="1" applyBorder="1" applyAlignment="1">
      <alignment horizontal="center"/>
    </xf>
    <xf numFmtId="172" fontId="4" fillId="0" borderId="0" xfId="0" applyNumberFormat="1" applyFont="1" applyBorder="1" applyAlignment="1" applyProtection="1">
      <alignment horizontal="center"/>
      <protection/>
    </xf>
    <xf numFmtId="7" fontId="13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Continuous"/>
    </xf>
    <xf numFmtId="0" fontId="18" fillId="0" borderId="0" xfId="0" applyFont="1" applyBorder="1" applyAlignment="1">
      <alignment/>
    </xf>
    <xf numFmtId="0" fontId="34" fillId="0" borderId="0" xfId="0" applyFont="1" applyBorder="1" applyAlignment="1" quotePrefix="1">
      <alignment horizontal="left"/>
    </xf>
    <xf numFmtId="176" fontId="16" fillId="0" borderId="0" xfId="0" applyNumberFormat="1" applyFont="1" applyBorder="1" applyAlignment="1" applyProtection="1">
      <alignment horizontal="left"/>
      <protection/>
    </xf>
    <xf numFmtId="0" fontId="35" fillId="0" borderId="0" xfId="0" applyFont="1" applyAlignment="1">
      <alignment/>
    </xf>
    <xf numFmtId="173" fontId="26" fillId="0" borderId="0" xfId="0" applyNumberFormat="1" applyFont="1" applyBorder="1" applyAlignment="1" applyProtection="1">
      <alignment horizontal="center"/>
      <protection/>
    </xf>
    <xf numFmtId="176" fontId="26" fillId="0" borderId="0" xfId="0" applyNumberFormat="1" applyFont="1" applyBorder="1" applyAlignment="1" applyProtection="1">
      <alignment horizontal="left"/>
      <protection/>
    </xf>
    <xf numFmtId="0" fontId="26" fillId="0" borderId="3" xfId="0" applyFont="1" applyBorder="1" applyAlignment="1">
      <alignment horizontal="center"/>
    </xf>
    <xf numFmtId="0" fontId="26" fillId="0" borderId="1" xfId="0" applyFont="1" applyBorder="1" applyAlignment="1">
      <alignment/>
    </xf>
    <xf numFmtId="172" fontId="26" fillId="0" borderId="2" xfId="0" applyNumberFormat="1" applyFont="1" applyBorder="1" applyAlignment="1" applyProtection="1">
      <alignment/>
      <protection/>
    </xf>
    <xf numFmtId="172" fontId="26" fillId="0" borderId="1" xfId="0" applyNumberFormat="1" applyFont="1" applyBorder="1" applyAlignment="1" applyProtection="1">
      <alignment horizontal="center"/>
      <protection/>
    </xf>
    <xf numFmtId="0" fontId="26" fillId="0" borderId="20" xfId="0" applyFont="1" applyBorder="1" applyAlignment="1">
      <alignment horizontal="center"/>
    </xf>
    <xf numFmtId="172" fontId="37" fillId="0" borderId="3" xfId="0" applyNumberFormat="1" applyFont="1" applyBorder="1" applyAlignment="1" applyProtection="1">
      <alignment horizontal="center"/>
      <protection/>
    </xf>
    <xf numFmtId="0" fontId="26" fillId="0" borderId="3" xfId="0" applyFont="1" applyBorder="1" applyAlignment="1" applyProtection="1">
      <alignment horizontal="center"/>
      <protection/>
    </xf>
    <xf numFmtId="173" fontId="26" fillId="0" borderId="3" xfId="0" applyNumberFormat="1" applyFont="1" applyBorder="1" applyAlignment="1" applyProtection="1">
      <alignment horizontal="center"/>
      <protection/>
    </xf>
    <xf numFmtId="176" fontId="26" fillId="0" borderId="3" xfId="0" applyNumberFormat="1" applyFont="1" applyBorder="1" applyAlignment="1" applyProtection="1">
      <alignment horizontal="center"/>
      <protection/>
    </xf>
    <xf numFmtId="0" fontId="26" fillId="0" borderId="0" xfId="0" applyFont="1" applyBorder="1" applyAlignment="1">
      <alignment horizontal="center"/>
    </xf>
    <xf numFmtId="172" fontId="37" fillId="0" borderId="0" xfId="0" applyNumberFormat="1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176" fontId="26" fillId="0" borderId="0" xfId="0" applyNumberFormat="1" applyFont="1" applyBorder="1" applyAlignment="1" applyProtection="1">
      <alignment horizontal="center"/>
      <protection/>
    </xf>
    <xf numFmtId="179" fontId="26" fillId="0" borderId="0" xfId="0" applyNumberFormat="1" applyFont="1" applyBorder="1" applyAlignment="1" applyProtection="1" quotePrefix="1">
      <alignment horizontal="center"/>
      <protection/>
    </xf>
    <xf numFmtId="2" fontId="26" fillId="0" borderId="21" xfId="0" applyNumberFormat="1" applyFont="1" applyBorder="1" applyAlignment="1" applyProtection="1">
      <alignment horizontal="center"/>
      <protection/>
    </xf>
    <xf numFmtId="0" fontId="26" fillId="0" borderId="11" xfId="0" applyFont="1" applyBorder="1" applyAlignment="1">
      <alignment/>
    </xf>
    <xf numFmtId="2" fontId="38" fillId="0" borderId="0" xfId="0" applyNumberFormat="1" applyFont="1" applyBorder="1" applyAlignment="1" applyProtection="1">
      <alignment horizontal="left"/>
      <protection/>
    </xf>
    <xf numFmtId="176" fontId="38" fillId="0" borderId="0" xfId="0" applyNumberFormat="1" applyFont="1" applyBorder="1" applyAlignment="1" applyProtection="1">
      <alignment horizontal="center"/>
      <protection/>
    </xf>
    <xf numFmtId="0" fontId="38" fillId="0" borderId="0" xfId="0" applyFont="1" applyBorder="1" applyAlignment="1" applyProtection="1">
      <alignment horizontal="center"/>
      <protection/>
    </xf>
    <xf numFmtId="173" fontId="38" fillId="0" borderId="0" xfId="0" applyNumberFormat="1" applyFont="1" applyBorder="1" applyAlignment="1" applyProtection="1">
      <alignment horizontal="center"/>
      <protection/>
    </xf>
    <xf numFmtId="179" fontId="38" fillId="0" borderId="0" xfId="0" applyNumberFormat="1" applyFont="1" applyBorder="1" applyAlignment="1" applyProtection="1" quotePrefix="1">
      <alignment horizont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Border="1" applyAlignment="1" applyProtection="1">
      <alignment horizontal="center"/>
      <protection/>
    </xf>
    <xf numFmtId="176" fontId="38" fillId="0" borderId="0" xfId="0" applyNumberFormat="1" applyFont="1" applyBorder="1" applyAlignment="1" applyProtection="1" quotePrefix="1">
      <alignment horizontal="center"/>
      <protection/>
    </xf>
    <xf numFmtId="4" fontId="38" fillId="0" borderId="0" xfId="0" applyNumberFormat="1" applyFont="1" applyBorder="1" applyAlignment="1" applyProtection="1">
      <alignment horizontal="center"/>
      <protection/>
    </xf>
    <xf numFmtId="7" fontId="38" fillId="0" borderId="0" xfId="0" applyNumberFormat="1" applyFont="1" applyFill="1" applyBorder="1" applyAlignment="1">
      <alignment horizontal="center"/>
    </xf>
    <xf numFmtId="4" fontId="26" fillId="0" borderId="12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39" fillId="0" borderId="0" xfId="0" applyNumberFormat="1" applyFont="1" applyBorder="1" applyAlignment="1" applyProtection="1">
      <alignment horizontal="left"/>
      <protection/>
    </xf>
    <xf numFmtId="2" fontId="36" fillId="0" borderId="0" xfId="0" applyNumberFormat="1" applyFont="1" applyBorder="1" applyAlignment="1" applyProtection="1">
      <alignment horizontal="center"/>
      <protection/>
    </xf>
    <xf numFmtId="176" fontId="37" fillId="0" borderId="0" xfId="0" applyNumberFormat="1" applyFont="1" applyBorder="1" applyAlignment="1" applyProtection="1" quotePrefix="1">
      <alignment horizontal="center"/>
      <protection/>
    </xf>
    <xf numFmtId="4" fontId="37" fillId="0" borderId="0" xfId="0" applyNumberFormat="1" applyFont="1" applyBorder="1" applyAlignment="1" applyProtection="1">
      <alignment horizontal="center"/>
      <protection/>
    </xf>
    <xf numFmtId="176" fontId="38" fillId="0" borderId="0" xfId="0" applyNumberFormat="1" applyFont="1" applyBorder="1" applyAlignment="1" applyProtection="1" quotePrefix="1">
      <alignment horizontal="right"/>
      <protection/>
    </xf>
    <xf numFmtId="0" fontId="26" fillId="0" borderId="0" xfId="0" applyFont="1" applyAlignment="1">
      <alignment horizontal="centerContinuous"/>
    </xf>
    <xf numFmtId="7" fontId="26" fillId="0" borderId="0" xfId="0" applyNumberFormat="1" applyFont="1" applyBorder="1" applyAlignment="1">
      <alignment horizontal="right"/>
    </xf>
    <xf numFmtId="176" fontId="27" fillId="0" borderId="0" xfId="0" applyNumberFormat="1" applyFont="1" applyBorder="1" applyAlignment="1" applyProtection="1">
      <alignment horizontal="left"/>
      <protection/>
    </xf>
    <xf numFmtId="10" fontId="26" fillId="0" borderId="0" xfId="0" applyNumberFormat="1" applyFont="1" applyBorder="1" applyAlignment="1" applyProtection="1">
      <alignment horizontal="center"/>
      <protection/>
    </xf>
    <xf numFmtId="0" fontId="26" fillId="0" borderId="0" xfId="0" applyFont="1" applyAlignment="1">
      <alignment horizontal="center"/>
    </xf>
    <xf numFmtId="7" fontId="26" fillId="0" borderId="0" xfId="0" applyNumberFormat="1" applyFont="1" applyAlignment="1">
      <alignment horizontal="right"/>
    </xf>
    <xf numFmtId="0" fontId="35" fillId="0" borderId="0" xfId="0" applyFont="1" applyAlignment="1" quotePrefix="1">
      <alignment/>
    </xf>
    <xf numFmtId="7" fontId="26" fillId="0" borderId="0" xfId="0" applyNumberFormat="1" applyFont="1" applyBorder="1" applyAlignment="1" applyProtection="1">
      <alignment horizontal="center"/>
      <protection/>
    </xf>
    <xf numFmtId="7" fontId="26" fillId="0" borderId="0" xfId="0" applyNumberFormat="1" applyFont="1" applyBorder="1" applyAlignment="1" applyProtection="1">
      <alignment horizontal="left"/>
      <protection/>
    </xf>
    <xf numFmtId="0" fontId="26" fillId="0" borderId="17" xfId="0" applyFont="1" applyFill="1" applyBorder="1" applyAlignment="1">
      <alignment/>
    </xf>
    <xf numFmtId="0" fontId="0" fillId="0" borderId="9" xfId="0" applyBorder="1" applyAlignment="1">
      <alignment/>
    </xf>
    <xf numFmtId="0" fontId="4" fillId="0" borderId="22" xfId="0" applyFont="1" applyBorder="1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42" fillId="3" borderId="18" xfId="0" applyFont="1" applyFill="1" applyBorder="1" applyAlignment="1" applyProtection="1">
      <alignment horizontal="center" vertical="center"/>
      <protection/>
    </xf>
    <xf numFmtId="176" fontId="43" fillId="3" borderId="1" xfId="0" applyNumberFormat="1" applyFont="1" applyFill="1" applyBorder="1" applyAlignment="1" applyProtection="1">
      <alignment horizontal="center"/>
      <protection/>
    </xf>
    <xf numFmtId="4" fontId="4" fillId="0" borderId="2" xfId="0" applyNumberFormat="1" applyFont="1" applyBorder="1" applyAlignment="1" applyProtection="1">
      <alignment horizontal="center"/>
      <protection/>
    </xf>
    <xf numFmtId="0" fontId="43" fillId="3" borderId="7" xfId="0" applyFont="1" applyFill="1" applyBorder="1" applyAlignment="1" applyProtection="1">
      <alignment horizontal="center"/>
      <protection/>
    </xf>
    <xf numFmtId="0" fontId="32" fillId="0" borderId="0" xfId="0" applyFont="1" applyBorder="1" applyAlignment="1">
      <alignment/>
    </xf>
    <xf numFmtId="0" fontId="14" fillId="0" borderId="12" xfId="0" applyFont="1" applyFill="1" applyBorder="1" applyAlignment="1">
      <alignment/>
    </xf>
    <xf numFmtId="0" fontId="29" fillId="0" borderId="18" xfId="21" applyFont="1" applyBorder="1" applyAlignment="1">
      <alignment horizontal="center" vertical="center"/>
      <protection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/>
    </xf>
    <xf numFmtId="172" fontId="4" fillId="0" borderId="1" xfId="0" applyNumberFormat="1" applyFont="1" applyFill="1" applyBorder="1" applyAlignment="1" applyProtection="1">
      <alignment horizontal="center"/>
      <protection/>
    </xf>
    <xf numFmtId="0" fontId="4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4" fillId="0" borderId="23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172" fontId="4" fillId="0" borderId="23" xfId="0" applyNumberFormat="1" applyFont="1" applyBorder="1" applyAlignment="1" applyProtection="1">
      <alignment horizontal="center"/>
      <protection/>
    </xf>
    <xf numFmtId="1" fontId="4" fillId="0" borderId="25" xfId="0" applyNumberFormat="1" applyFont="1" applyBorder="1" applyAlignment="1" applyProtection="1" quotePrefix="1">
      <alignment horizontal="center"/>
      <protection/>
    </xf>
    <xf numFmtId="22" fontId="4" fillId="0" borderId="3" xfId="0" applyNumberFormat="1" applyFont="1" applyFill="1" applyBorder="1" applyAlignment="1">
      <alignment horizontal="center"/>
    </xf>
    <xf numFmtId="22" fontId="4" fillId="0" borderId="3" xfId="0" applyNumberFormat="1" applyFont="1" applyFill="1" applyBorder="1" applyAlignment="1" applyProtection="1">
      <alignment horizontal="center"/>
      <protection/>
    </xf>
    <xf numFmtId="4" fontId="4" fillId="0" borderId="3" xfId="0" applyNumberFormat="1" applyFont="1" applyFill="1" applyBorder="1" applyAlignment="1" applyProtection="1">
      <alignment horizontal="center"/>
      <protection/>
    </xf>
    <xf numFmtId="3" fontId="4" fillId="0" borderId="3" xfId="0" applyNumberFormat="1" applyFont="1" applyFill="1" applyBorder="1" applyAlignment="1" applyProtection="1">
      <alignment horizontal="center"/>
      <protection/>
    </xf>
    <xf numFmtId="176" fontId="4" fillId="0" borderId="26" xfId="0" applyNumberFormat="1" applyFont="1" applyFill="1" applyBorder="1" applyAlignment="1">
      <alignment horizontal="center"/>
    </xf>
    <xf numFmtId="4" fontId="17" fillId="0" borderId="26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 applyProtection="1" quotePrefix="1">
      <alignment horizontal="center"/>
      <protection/>
    </xf>
    <xf numFmtId="176" fontId="4" fillId="0" borderId="0" xfId="0" applyNumberFormat="1" applyFont="1" applyFill="1" applyBorder="1" applyAlignment="1" applyProtection="1">
      <alignment horizontal="center"/>
      <protection/>
    </xf>
    <xf numFmtId="22" fontId="4" fillId="0" borderId="0" xfId="0" applyNumberFormat="1" applyFont="1" applyFill="1" applyBorder="1" applyAlignment="1">
      <alignment horizontal="center"/>
    </xf>
    <xf numFmtId="22" fontId="4" fillId="0" borderId="0" xfId="0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 quotePrefix="1">
      <alignment horizontal="center"/>
      <protection/>
    </xf>
    <xf numFmtId="172" fontId="4" fillId="0" borderId="0" xfId="0" applyNumberFormat="1" applyFont="1" applyFill="1" applyBorder="1" applyAlignment="1" applyProtection="1">
      <alignment horizontal="center"/>
      <protection/>
    </xf>
    <xf numFmtId="2" fontId="15" fillId="0" borderId="0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 applyProtection="1" quotePrefix="1">
      <alignment horizontal="center"/>
      <protection/>
    </xf>
    <xf numFmtId="4" fontId="17" fillId="0" borderId="18" xfId="0" applyNumberFormat="1" applyFont="1" applyFill="1" applyBorder="1" applyAlignment="1">
      <alignment horizontal="right"/>
    </xf>
    <xf numFmtId="1" fontId="26" fillId="0" borderId="0" xfId="0" applyNumberFormat="1" applyFont="1" applyBorder="1" applyAlignment="1" applyProtection="1">
      <alignment horizontal="center"/>
      <protection/>
    </xf>
    <xf numFmtId="172" fontId="4" fillId="0" borderId="1" xfId="0" applyNumberFormat="1" applyFont="1" applyBorder="1" applyAlignment="1" applyProtection="1">
      <alignment horizontal="center"/>
      <protection/>
    </xf>
    <xf numFmtId="0" fontId="4" fillId="0" borderId="27" xfId="0" applyFont="1" applyBorder="1" applyAlignment="1">
      <alignment horizontal="center"/>
    </xf>
    <xf numFmtId="176" fontId="42" fillId="3" borderId="18" xfId="0" applyNumberFormat="1" applyFont="1" applyFill="1" applyBorder="1" applyAlignment="1" applyProtection="1">
      <alignment horizontal="center" vertical="center"/>
      <protection/>
    </xf>
    <xf numFmtId="0" fontId="50" fillId="4" borderId="18" xfId="0" applyFont="1" applyFill="1" applyBorder="1" applyAlignment="1">
      <alignment horizontal="center" vertical="center" wrapText="1"/>
    </xf>
    <xf numFmtId="0" fontId="49" fillId="5" borderId="1" xfId="0" applyFont="1" applyFill="1" applyBorder="1" applyAlignment="1" applyProtection="1">
      <alignment horizontal="center"/>
      <protection/>
    </xf>
    <xf numFmtId="0" fontId="47" fillId="5" borderId="18" xfId="0" applyFont="1" applyFill="1" applyBorder="1" applyAlignment="1" applyProtection="1">
      <alignment horizontal="center" vertical="center"/>
      <protection/>
    </xf>
    <xf numFmtId="172" fontId="49" fillId="5" borderId="1" xfId="0" applyNumberFormat="1" applyFont="1" applyFill="1" applyBorder="1" applyAlignment="1" applyProtection="1">
      <alignment horizontal="center"/>
      <protection/>
    </xf>
    <xf numFmtId="0" fontId="51" fillId="4" borderId="1" xfId="0" applyFont="1" applyFill="1" applyBorder="1" applyAlignment="1" applyProtection="1">
      <alignment horizontal="center"/>
      <protection/>
    </xf>
    <xf numFmtId="2" fontId="51" fillId="4" borderId="1" xfId="0" applyNumberFormat="1" applyFont="1" applyFill="1" applyBorder="1" applyAlignment="1">
      <alignment horizontal="center"/>
    </xf>
    <xf numFmtId="0" fontId="41" fillId="6" borderId="13" xfId="0" applyFont="1" applyFill="1" applyBorder="1" applyAlignment="1" applyProtection="1">
      <alignment horizontal="centerContinuous" vertical="center" wrapText="1"/>
      <protection/>
    </xf>
    <xf numFmtId="0" fontId="41" fillId="6" borderId="14" xfId="0" applyFont="1" applyFill="1" applyBorder="1" applyAlignment="1">
      <alignment horizontal="centerContinuous" vertical="center"/>
    </xf>
    <xf numFmtId="176" fontId="40" fillId="6" borderId="28" xfId="0" applyNumberFormat="1" applyFont="1" applyFill="1" applyBorder="1" applyAlignment="1" applyProtection="1" quotePrefix="1">
      <alignment horizontal="center"/>
      <protection/>
    </xf>
    <xf numFmtId="176" fontId="40" fillId="6" borderId="29" xfId="0" applyNumberFormat="1" applyFont="1" applyFill="1" applyBorder="1" applyAlignment="1" applyProtection="1" quotePrefix="1">
      <alignment horizontal="center"/>
      <protection/>
    </xf>
    <xf numFmtId="176" fontId="48" fillId="7" borderId="1" xfId="0" applyNumberFormat="1" applyFont="1" applyFill="1" applyBorder="1" applyAlignment="1" applyProtection="1" quotePrefix="1">
      <alignment horizontal="center"/>
      <protection/>
    </xf>
    <xf numFmtId="0" fontId="47" fillId="7" borderId="18" xfId="0" applyFont="1" applyFill="1" applyBorder="1" applyAlignment="1">
      <alignment horizontal="center" vertical="center" wrapText="1"/>
    </xf>
    <xf numFmtId="172" fontId="43" fillId="3" borderId="1" xfId="0" applyNumberFormat="1" applyFont="1" applyFill="1" applyBorder="1" applyAlignment="1" applyProtection="1">
      <alignment horizontal="center"/>
      <protection/>
    </xf>
    <xf numFmtId="172" fontId="43" fillId="3" borderId="3" xfId="0" applyNumberFormat="1" applyFont="1" applyFill="1" applyBorder="1" applyAlignment="1" applyProtection="1">
      <alignment horizontal="center"/>
      <protection/>
    </xf>
    <xf numFmtId="176" fontId="49" fillId="7" borderId="3" xfId="0" applyNumberFormat="1" applyFont="1" applyFill="1" applyBorder="1" applyAlignment="1" applyProtection="1" quotePrefix="1">
      <alignment horizontal="center"/>
      <protection/>
    </xf>
    <xf numFmtId="173" fontId="53" fillId="3" borderId="3" xfId="0" applyNumberFormat="1" applyFont="1" applyFill="1" applyBorder="1" applyAlignment="1" applyProtection="1">
      <alignment horizontal="center"/>
      <protection/>
    </xf>
    <xf numFmtId="176" fontId="54" fillId="5" borderId="1" xfId="0" applyNumberFormat="1" applyFont="1" applyFill="1" applyBorder="1" applyAlignment="1" applyProtection="1">
      <alignment horizontal="center"/>
      <protection/>
    </xf>
    <xf numFmtId="176" fontId="54" fillId="5" borderId="3" xfId="0" applyNumberFormat="1" applyFont="1" applyFill="1" applyBorder="1" applyAlignment="1" applyProtection="1">
      <alignment horizontal="center"/>
      <protection/>
    </xf>
    <xf numFmtId="0" fontId="26" fillId="0" borderId="27" xfId="0" applyFont="1" applyBorder="1" applyAlignment="1">
      <alignment horizontal="center"/>
    </xf>
    <xf numFmtId="0" fontId="53" fillId="3" borderId="1" xfId="0" applyFont="1" applyFill="1" applyBorder="1" applyAlignment="1" applyProtection="1">
      <alignment horizontal="center"/>
      <protection/>
    </xf>
    <xf numFmtId="172" fontId="26" fillId="0" borderId="27" xfId="0" applyNumberFormat="1" applyFont="1" applyBorder="1" applyAlignment="1" applyProtection="1">
      <alignment horizontal="center"/>
      <protection/>
    </xf>
    <xf numFmtId="172" fontId="53" fillId="3" borderId="27" xfId="0" applyNumberFormat="1" applyFont="1" applyFill="1" applyBorder="1" applyAlignment="1" applyProtection="1">
      <alignment horizontal="center"/>
      <protection/>
    </xf>
    <xf numFmtId="0" fontId="54" fillId="5" borderId="27" xfId="0" applyFont="1" applyFill="1" applyBorder="1" applyAlignment="1">
      <alignment horizontal="center"/>
    </xf>
    <xf numFmtId="2" fontId="54" fillId="8" borderId="18" xfId="0" applyNumberFormat="1" applyFont="1" applyFill="1" applyBorder="1" applyAlignment="1" applyProtection="1">
      <alignment horizontal="center"/>
      <protection/>
    </xf>
    <xf numFmtId="2" fontId="44" fillId="9" borderId="18" xfId="0" applyNumberFormat="1" applyFont="1" applyFill="1" applyBorder="1" applyAlignment="1" applyProtection="1">
      <alignment horizontal="center"/>
      <protection/>
    </xf>
    <xf numFmtId="0" fontId="55" fillId="7" borderId="13" xfId="0" applyFont="1" applyFill="1" applyBorder="1" applyAlignment="1" applyProtection="1">
      <alignment horizontal="centerContinuous" vertical="center" wrapText="1"/>
      <protection/>
    </xf>
    <xf numFmtId="0" fontId="56" fillId="7" borderId="19" xfId="0" applyFont="1" applyFill="1" applyBorder="1" applyAlignment="1">
      <alignment horizontal="centerContinuous"/>
    </xf>
    <xf numFmtId="0" fontId="55" fillId="7" borderId="14" xfId="0" applyFont="1" applyFill="1" applyBorder="1" applyAlignment="1">
      <alignment horizontal="centerContinuous" vertical="center"/>
    </xf>
    <xf numFmtId="2" fontId="57" fillId="7" borderId="18" xfId="0" applyNumberFormat="1" applyFont="1" applyFill="1" applyBorder="1" applyAlignment="1" applyProtection="1">
      <alignment horizontal="center"/>
      <protection/>
    </xf>
    <xf numFmtId="0" fontId="47" fillId="8" borderId="18" xfId="0" applyFont="1" applyFill="1" applyBorder="1" applyAlignment="1">
      <alignment horizontal="center" vertical="center" wrapText="1"/>
    </xf>
    <xf numFmtId="0" fontId="31" fillId="9" borderId="18" xfId="0" applyFont="1" applyFill="1" applyBorder="1" applyAlignment="1">
      <alignment horizontal="center" vertical="center" wrapText="1"/>
    </xf>
    <xf numFmtId="0" fontId="47" fillId="10" borderId="13" xfId="0" applyFont="1" applyFill="1" applyBorder="1" applyAlignment="1">
      <alignment horizontal="centerContinuous" vertical="center" wrapText="1"/>
    </xf>
    <xf numFmtId="0" fontId="58" fillId="10" borderId="19" xfId="0" applyFont="1" applyFill="1" applyBorder="1" applyAlignment="1">
      <alignment horizontal="centerContinuous"/>
    </xf>
    <xf numFmtId="0" fontId="47" fillId="10" borderId="14" xfId="0" applyFont="1" applyFill="1" applyBorder="1" applyAlignment="1">
      <alignment horizontal="centerContinuous" vertical="center"/>
    </xf>
    <xf numFmtId="2" fontId="54" fillId="10" borderId="18" xfId="0" applyNumberFormat="1" applyFont="1" applyFill="1" applyBorder="1" applyAlignment="1" applyProtection="1">
      <alignment horizontal="center"/>
      <protection/>
    </xf>
    <xf numFmtId="0" fontId="47" fillId="11" borderId="18" xfId="0" applyFont="1" applyFill="1" applyBorder="1" applyAlignment="1">
      <alignment horizontal="centerContinuous" vertical="center" wrapText="1"/>
    </xf>
    <xf numFmtId="2" fontId="54" fillId="11" borderId="18" xfId="0" applyNumberFormat="1" applyFont="1" applyFill="1" applyBorder="1" applyAlignment="1" applyProtection="1">
      <alignment horizontal="center"/>
      <protection/>
    </xf>
    <xf numFmtId="0" fontId="47" fillId="12" borderId="18" xfId="0" applyFont="1" applyFill="1" applyBorder="1" applyAlignment="1">
      <alignment horizontal="centerContinuous" vertical="center" wrapText="1"/>
    </xf>
    <xf numFmtId="2" fontId="54" fillId="12" borderId="18" xfId="0" applyNumberFormat="1" applyFont="1" applyFill="1" applyBorder="1" applyAlignment="1" applyProtection="1">
      <alignment horizontal="center"/>
      <protection/>
    </xf>
    <xf numFmtId="176" fontId="26" fillId="0" borderId="0" xfId="0" applyNumberFormat="1" applyFont="1" applyBorder="1" applyAlignment="1" applyProtection="1">
      <alignment horizontal="centerContinuous"/>
      <protection/>
    </xf>
    <xf numFmtId="0" fontId="46" fillId="3" borderId="1" xfId="0" applyFont="1" applyFill="1" applyBorder="1" applyAlignment="1">
      <alignment horizontal="center"/>
    </xf>
    <xf numFmtId="176" fontId="46" fillId="3" borderId="1" xfId="0" applyNumberFormat="1" applyFont="1" applyFill="1" applyBorder="1" applyAlignment="1" applyProtection="1">
      <alignment horizontal="center"/>
      <protection/>
    </xf>
    <xf numFmtId="176" fontId="46" fillId="3" borderId="3" xfId="0" applyNumberFormat="1" applyFont="1" applyFill="1" applyBorder="1" applyAlignment="1" applyProtection="1">
      <alignment horizontal="center"/>
      <protection/>
    </xf>
    <xf numFmtId="183" fontId="13" fillId="0" borderId="0" xfId="0" applyNumberFormat="1" applyFont="1" applyBorder="1" applyAlignment="1">
      <alignment horizontal="right"/>
    </xf>
    <xf numFmtId="184" fontId="26" fillId="0" borderId="9" xfId="0" applyNumberFormat="1" applyFont="1" applyBorder="1" applyAlignment="1">
      <alignment/>
    </xf>
    <xf numFmtId="184" fontId="11" fillId="0" borderId="0" xfId="0" applyNumberFormat="1" applyFont="1" applyBorder="1" applyAlignment="1">
      <alignment horizontal="centerContinuous"/>
    </xf>
    <xf numFmtId="184" fontId="14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183" fontId="13" fillId="0" borderId="0" xfId="0" applyNumberFormat="1" applyFont="1" applyBorder="1" applyAlignment="1">
      <alignment horizontal="left"/>
    </xf>
    <xf numFmtId="0" fontId="26" fillId="0" borderId="0" xfId="0" applyFont="1" applyBorder="1" applyAlignment="1">
      <alignment horizontal="right"/>
    </xf>
    <xf numFmtId="7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 applyProtection="1">
      <alignment horizontal="left"/>
      <protection/>
    </xf>
    <xf numFmtId="7" fontId="26" fillId="0" borderId="0" xfId="0" applyNumberFormat="1" applyFont="1" applyBorder="1" applyAlignment="1">
      <alignment horizontal="centerContinuous"/>
    </xf>
    <xf numFmtId="0" fontId="26" fillId="0" borderId="0" xfId="0" applyFont="1" applyAlignment="1">
      <alignment horizontal="right"/>
    </xf>
    <xf numFmtId="10" fontId="26" fillId="0" borderId="0" xfId="0" applyNumberFormat="1" applyFont="1" applyBorder="1" applyAlignment="1" applyProtection="1">
      <alignment horizontal="right"/>
      <protection/>
    </xf>
    <xf numFmtId="0" fontId="47" fillId="13" borderId="13" xfId="0" applyFont="1" applyFill="1" applyBorder="1" applyAlignment="1" applyProtection="1">
      <alignment horizontal="centerContinuous" vertical="center" wrapText="1"/>
      <protection/>
    </xf>
    <xf numFmtId="0" fontId="47" fillId="13" borderId="14" xfId="0" applyFont="1" applyFill="1" applyBorder="1" applyAlignment="1">
      <alignment horizontal="centerContinuous" vertical="center"/>
    </xf>
    <xf numFmtId="0" fontId="49" fillId="13" borderId="30" xfId="0" applyFont="1" applyFill="1" applyBorder="1" applyAlignment="1">
      <alignment horizontal="center"/>
    </xf>
    <xf numFmtId="0" fontId="49" fillId="13" borderId="31" xfId="0" applyFont="1" applyFill="1" applyBorder="1" applyAlignment="1">
      <alignment horizontal="left"/>
    </xf>
    <xf numFmtId="176" fontId="48" fillId="13" borderId="32" xfId="0" applyNumberFormat="1" applyFont="1" applyFill="1" applyBorder="1" applyAlignment="1" applyProtection="1" quotePrefix="1">
      <alignment horizontal="center"/>
      <protection/>
    </xf>
    <xf numFmtId="176" fontId="48" fillId="13" borderId="6" xfId="0" applyNumberFormat="1" applyFont="1" applyFill="1" applyBorder="1" applyAlignment="1" applyProtection="1" quotePrefix="1">
      <alignment horizontal="center"/>
      <protection/>
    </xf>
    <xf numFmtId="176" fontId="49" fillId="13" borderId="33" xfId="0" applyNumberFormat="1" applyFont="1" applyFill="1" applyBorder="1" applyAlignment="1" applyProtection="1" quotePrefix="1">
      <alignment horizontal="center"/>
      <protection/>
    </xf>
    <xf numFmtId="176" fontId="49" fillId="13" borderId="25" xfId="0" applyNumberFormat="1" applyFont="1" applyFill="1" applyBorder="1" applyAlignment="1" applyProtection="1" quotePrefix="1">
      <alignment horizontal="center"/>
      <protection/>
    </xf>
    <xf numFmtId="0" fontId="47" fillId="14" borderId="18" xfId="0" applyFont="1" applyFill="1" applyBorder="1" applyAlignment="1">
      <alignment horizontal="center" vertical="center" wrapText="1"/>
    </xf>
    <xf numFmtId="2" fontId="48" fillId="14" borderId="1" xfId="0" applyNumberFormat="1" applyFont="1" applyFill="1" applyBorder="1" applyAlignment="1">
      <alignment horizontal="center"/>
    </xf>
    <xf numFmtId="2" fontId="49" fillId="14" borderId="3" xfId="0" applyNumberFormat="1" applyFont="1" applyFill="1" applyBorder="1" applyAlignment="1">
      <alignment horizontal="center"/>
    </xf>
    <xf numFmtId="0" fontId="47" fillId="7" borderId="18" xfId="0" applyFont="1" applyFill="1" applyBorder="1" applyAlignment="1">
      <alignment horizontal="centerContinuous" vertical="center" wrapText="1"/>
    </xf>
    <xf numFmtId="0" fontId="43" fillId="3" borderId="27" xfId="0" applyFont="1" applyFill="1" applyBorder="1" applyAlignment="1">
      <alignment horizontal="center"/>
    </xf>
    <xf numFmtId="0" fontId="49" fillId="14" borderId="27" xfId="0" applyFont="1" applyFill="1" applyBorder="1" applyAlignment="1">
      <alignment horizontal="center"/>
    </xf>
    <xf numFmtId="0" fontId="49" fillId="7" borderId="27" xfId="0" applyFont="1" applyFill="1" applyBorder="1" applyAlignment="1">
      <alignment horizontal="left"/>
    </xf>
    <xf numFmtId="0" fontId="59" fillId="0" borderId="0" xfId="0" applyFont="1" applyBorder="1" applyAlignment="1" quotePrefix="1">
      <alignment horizontal="left"/>
    </xf>
    <xf numFmtId="0" fontId="26" fillId="0" borderId="12" xfId="0" applyFont="1" applyFill="1" applyBorder="1" applyAlignment="1">
      <alignment/>
    </xf>
    <xf numFmtId="181" fontId="26" fillId="0" borderId="0" xfId="0" applyNumberFormat="1" applyFont="1" applyBorder="1" applyAlignment="1">
      <alignment/>
    </xf>
    <xf numFmtId="2" fontId="26" fillId="0" borderId="0" xfId="0" applyNumberFormat="1" applyFont="1" applyBorder="1" applyAlignment="1" applyProtection="1">
      <alignment horizontal="center"/>
      <protection/>
    </xf>
    <xf numFmtId="176" fontId="26" fillId="0" borderId="0" xfId="0" applyNumberFormat="1" applyFont="1" applyBorder="1" applyAlignment="1" applyProtection="1" quotePrefix="1">
      <alignment horizontal="center"/>
      <protection/>
    </xf>
    <xf numFmtId="0" fontId="26" fillId="0" borderId="0" xfId="0" applyFont="1" applyAlignment="1" quotePrefix="1">
      <alignment/>
    </xf>
    <xf numFmtId="181" fontId="26" fillId="0" borderId="0" xfId="0" applyNumberFormat="1" applyFont="1" applyBorder="1" applyAlignment="1" applyProtection="1">
      <alignment horizontal="centerContinuous"/>
      <protection/>
    </xf>
    <xf numFmtId="176" fontId="66" fillId="7" borderId="34" xfId="0" applyNumberFormat="1" applyFont="1" applyFill="1" applyBorder="1" applyAlignment="1" applyProtection="1" quotePrefix="1">
      <alignment horizontal="center"/>
      <protection/>
    </xf>
    <xf numFmtId="181" fontId="38" fillId="0" borderId="0" xfId="0" applyNumberFormat="1" applyFont="1" applyBorder="1" applyAlignment="1" applyProtection="1">
      <alignment horizontal="centerContinuous"/>
      <protection/>
    </xf>
    <xf numFmtId="7" fontId="38" fillId="0" borderId="35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176" fontId="38" fillId="0" borderId="0" xfId="0" applyNumberFormat="1" applyFont="1" applyBorder="1" applyAlignment="1" applyProtection="1" quotePrefix="1">
      <alignment horizontal="left"/>
      <protection/>
    </xf>
    <xf numFmtId="176" fontId="12" fillId="0" borderId="0" xfId="0" applyNumberFormat="1" applyFont="1" applyBorder="1" applyAlignment="1" applyProtection="1">
      <alignment horizontal="left"/>
      <protection/>
    </xf>
    <xf numFmtId="179" fontId="12" fillId="0" borderId="0" xfId="0" applyNumberFormat="1" applyFont="1" applyBorder="1" applyAlignment="1" applyProtection="1">
      <alignment horizontal="left"/>
      <protection/>
    </xf>
    <xf numFmtId="0" fontId="14" fillId="0" borderId="11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76" fontId="14" fillId="0" borderId="0" xfId="0" applyNumberFormat="1" applyFont="1" applyBorder="1" applyAlignment="1" applyProtection="1">
      <alignment horizontal="left" vertical="center"/>
      <protection/>
    </xf>
    <xf numFmtId="0" fontId="45" fillId="0" borderId="0" xfId="0" applyFont="1" applyAlignment="1" quotePrefix="1">
      <alignment vertical="center"/>
    </xf>
    <xf numFmtId="0" fontId="14" fillId="0" borderId="0" xfId="0" applyFont="1" applyBorder="1" applyAlignment="1" applyProtection="1">
      <alignment horizontal="center" vertical="center"/>
      <protection/>
    </xf>
    <xf numFmtId="173" fontId="14" fillId="0" borderId="0" xfId="0" applyNumberFormat="1" applyFont="1" applyBorder="1" applyAlignment="1" applyProtection="1">
      <alignment horizontal="center" vertical="center"/>
      <protection/>
    </xf>
    <xf numFmtId="0" fontId="45" fillId="0" borderId="0" xfId="0" applyFont="1" applyAlignment="1">
      <alignment vertical="center"/>
    </xf>
    <xf numFmtId="4" fontId="13" fillId="0" borderId="13" xfId="0" applyNumberFormat="1" applyFont="1" applyBorder="1" applyAlignment="1" applyProtection="1">
      <alignment horizontal="center" vertical="center"/>
      <protection/>
    </xf>
    <xf numFmtId="7" fontId="60" fillId="0" borderId="14" xfId="0" applyNumberFormat="1" applyFont="1" applyFill="1" applyBorder="1" applyAlignment="1">
      <alignment horizontal="center" vertical="center"/>
    </xf>
    <xf numFmtId="176" fontId="14" fillId="0" borderId="0" xfId="0" applyNumberFormat="1" applyFont="1" applyBorder="1" applyAlignment="1" applyProtection="1">
      <alignment horizontal="center" vertical="center"/>
      <protection/>
    </xf>
    <xf numFmtId="179" fontId="14" fillId="0" borderId="0" xfId="0" applyNumberFormat="1" applyFont="1" applyBorder="1" applyAlignment="1" applyProtection="1" quotePrefix="1">
      <alignment horizontal="center" vertical="center"/>
      <protection/>
    </xf>
    <xf numFmtId="2" fontId="61" fillId="0" borderId="0" xfId="0" applyNumberFormat="1" applyFont="1" applyBorder="1" applyAlignment="1" applyProtection="1">
      <alignment horizontal="center" vertical="center"/>
      <protection/>
    </xf>
    <xf numFmtId="176" fontId="62" fillId="0" borderId="0" xfId="0" applyNumberFormat="1" applyFont="1" applyBorder="1" applyAlignment="1" applyProtection="1" quotePrefix="1">
      <alignment horizontal="center" vertical="center"/>
      <protection/>
    </xf>
    <xf numFmtId="4" fontId="14" fillId="0" borderId="12" xfId="0" applyNumberFormat="1" applyFont="1" applyFill="1" applyBorder="1" applyAlignment="1">
      <alignment horizontal="center" vertical="center"/>
    </xf>
    <xf numFmtId="180" fontId="26" fillId="0" borderId="0" xfId="0" applyNumberFormat="1" applyFont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>
      <alignment horizontal="center"/>
    </xf>
    <xf numFmtId="0" fontId="63" fillId="0" borderId="0" xfId="0" applyFont="1" applyAlignment="1">
      <alignment horizontal="right" vertical="top"/>
    </xf>
    <xf numFmtId="0" fontId="64" fillId="0" borderId="0" xfId="0" applyFont="1" applyFill="1" applyAlignment="1">
      <alignment/>
    </xf>
    <xf numFmtId="0" fontId="65" fillId="0" borderId="0" xfId="0" applyFont="1" applyAlignment="1">
      <alignment horizontal="centerContinuous"/>
    </xf>
    <xf numFmtId="0" fontId="64" fillId="0" borderId="0" xfId="0" applyFont="1" applyAlignment="1">
      <alignment horizontal="centerContinuous"/>
    </xf>
    <xf numFmtId="0" fontId="64" fillId="0" borderId="0" xfId="0" applyFont="1" applyAlignment="1">
      <alignment/>
    </xf>
    <xf numFmtId="176" fontId="12" fillId="0" borderId="13" xfId="0" applyNumberFormat="1" applyFont="1" applyBorder="1" applyAlignment="1" applyProtection="1">
      <alignment horizontal="center"/>
      <protection/>
    </xf>
    <xf numFmtId="181" fontId="26" fillId="0" borderId="14" xfId="0" applyNumberFormat="1" applyFont="1" applyBorder="1" applyAlignment="1" applyProtection="1">
      <alignment horizontal="centerContinuous"/>
      <protection/>
    </xf>
    <xf numFmtId="0" fontId="48" fillId="8" borderId="27" xfId="0" applyFont="1" applyFill="1" applyBorder="1" applyAlignment="1">
      <alignment horizontal="center"/>
    </xf>
    <xf numFmtId="0" fontId="52" fillId="9" borderId="27" xfId="0" applyFont="1" applyFill="1" applyBorder="1" applyAlignment="1">
      <alignment horizontal="center"/>
    </xf>
    <xf numFmtId="176" fontId="66" fillId="7" borderId="30" xfId="0" applyNumberFormat="1" applyFont="1" applyFill="1" applyBorder="1" applyAlignment="1" applyProtection="1" quotePrefix="1">
      <alignment horizontal="center"/>
      <protection/>
    </xf>
    <xf numFmtId="4" fontId="66" fillId="7" borderId="22" xfId="0" applyNumberFormat="1" applyFont="1" applyFill="1" applyBorder="1" applyAlignment="1" applyProtection="1">
      <alignment horizontal="center"/>
      <protection/>
    </xf>
    <xf numFmtId="176" fontId="48" fillId="10" borderId="30" xfId="0" applyNumberFormat="1" applyFont="1" applyFill="1" applyBorder="1" applyAlignment="1" applyProtection="1" quotePrefix="1">
      <alignment horizontal="center"/>
      <protection/>
    </xf>
    <xf numFmtId="176" fontId="48" fillId="10" borderId="34" xfId="0" applyNumberFormat="1" applyFont="1" applyFill="1" applyBorder="1" applyAlignment="1" applyProtection="1" quotePrefix="1">
      <alignment horizontal="center"/>
      <protection/>
    </xf>
    <xf numFmtId="4" fontId="48" fillId="10" borderId="22" xfId="0" applyNumberFormat="1" applyFont="1" applyFill="1" applyBorder="1" applyAlignment="1" applyProtection="1">
      <alignment horizontal="center"/>
      <protection/>
    </xf>
    <xf numFmtId="4" fontId="48" fillId="11" borderId="27" xfId="0" applyNumberFormat="1" applyFont="1" applyFill="1" applyBorder="1" applyAlignment="1" applyProtection="1">
      <alignment horizontal="center"/>
      <protection/>
    </xf>
    <xf numFmtId="4" fontId="48" fillId="12" borderId="27" xfId="0" applyNumberFormat="1" applyFont="1" applyFill="1" applyBorder="1" applyAlignment="1" applyProtection="1">
      <alignment horizontal="center"/>
      <protection/>
    </xf>
    <xf numFmtId="0" fontId="4" fillId="0" borderId="22" xfId="0" applyFont="1" applyBorder="1" applyAlignment="1">
      <alignment horizontal="left"/>
    </xf>
    <xf numFmtId="0" fontId="16" fillId="0" borderId="22" xfId="0" applyFont="1" applyBorder="1" applyAlignment="1">
      <alignment horizontal="center"/>
    </xf>
    <xf numFmtId="4" fontId="4" fillId="0" borderId="1" xfId="0" applyNumberFormat="1" applyFont="1" applyFill="1" applyBorder="1" applyAlignment="1" applyProtection="1" quotePrefix="1">
      <alignment horizontal="center"/>
      <protection/>
    </xf>
    <xf numFmtId="2" fontId="48" fillId="8" borderId="1" xfId="0" applyNumberFormat="1" applyFont="1" applyFill="1" applyBorder="1" applyAlignment="1" applyProtection="1">
      <alignment horizontal="center"/>
      <protection/>
    </xf>
    <xf numFmtId="2" fontId="52" fillId="9" borderId="1" xfId="0" applyNumberFormat="1" applyFont="1" applyFill="1" applyBorder="1" applyAlignment="1" applyProtection="1">
      <alignment horizontal="center"/>
      <protection/>
    </xf>
    <xf numFmtId="176" fontId="66" fillId="7" borderId="28" xfId="0" applyNumberFormat="1" applyFont="1" applyFill="1" applyBorder="1" applyAlignment="1" applyProtection="1" quotePrefix="1">
      <alignment horizontal="center"/>
      <protection/>
    </xf>
    <xf numFmtId="176" fontId="66" fillId="7" borderId="36" xfId="0" applyNumberFormat="1" applyFont="1" applyFill="1" applyBorder="1" applyAlignment="1" applyProtection="1" quotePrefix="1">
      <alignment horizontal="center"/>
      <protection/>
    </xf>
    <xf numFmtId="4" fontId="66" fillId="7" borderId="2" xfId="0" applyNumberFormat="1" applyFont="1" applyFill="1" applyBorder="1" applyAlignment="1" applyProtection="1">
      <alignment horizontal="center"/>
      <protection/>
    </xf>
    <xf numFmtId="176" fontId="48" fillId="10" borderId="28" xfId="0" applyNumberFormat="1" applyFont="1" applyFill="1" applyBorder="1" applyAlignment="1" applyProtection="1" quotePrefix="1">
      <alignment horizontal="center"/>
      <protection/>
    </xf>
    <xf numFmtId="176" fontId="48" fillId="10" borderId="36" xfId="0" applyNumberFormat="1" applyFont="1" applyFill="1" applyBorder="1" applyAlignment="1" applyProtection="1" quotePrefix="1">
      <alignment horizontal="center"/>
      <protection/>
    </xf>
    <xf numFmtId="4" fontId="48" fillId="10" borderId="2" xfId="0" applyNumberFormat="1" applyFont="1" applyFill="1" applyBorder="1" applyAlignment="1" applyProtection="1">
      <alignment horizontal="center"/>
      <protection/>
    </xf>
    <xf numFmtId="4" fontId="48" fillId="11" borderId="1" xfId="0" applyNumberFormat="1" applyFont="1" applyFill="1" applyBorder="1" applyAlignment="1" applyProtection="1">
      <alignment horizontal="center"/>
      <protection/>
    </xf>
    <xf numFmtId="4" fontId="48" fillId="12" borderId="1" xfId="0" applyNumberFormat="1" applyFont="1" applyFill="1" applyBorder="1" applyAlignment="1" applyProtection="1">
      <alignment horizontal="center"/>
      <protection/>
    </xf>
    <xf numFmtId="2" fontId="48" fillId="8" borderId="3" xfId="0" applyNumberFormat="1" applyFont="1" applyFill="1" applyBorder="1" applyAlignment="1" applyProtection="1">
      <alignment horizontal="center"/>
      <protection/>
    </xf>
    <xf numFmtId="2" fontId="52" fillId="9" borderId="3" xfId="0" applyNumberFormat="1" applyFont="1" applyFill="1" applyBorder="1" applyAlignment="1" applyProtection="1">
      <alignment horizontal="center"/>
      <protection/>
    </xf>
    <xf numFmtId="176" fontId="66" fillId="7" borderId="37" xfId="0" applyNumberFormat="1" applyFont="1" applyFill="1" applyBorder="1" applyAlignment="1" applyProtection="1" quotePrefix="1">
      <alignment horizontal="center"/>
      <protection/>
    </xf>
    <xf numFmtId="176" fontId="66" fillId="7" borderId="38" xfId="0" applyNumberFormat="1" applyFont="1" applyFill="1" applyBorder="1" applyAlignment="1" applyProtection="1" quotePrefix="1">
      <alignment horizontal="center"/>
      <protection/>
    </xf>
    <xf numFmtId="4" fontId="66" fillId="7" borderId="26" xfId="0" applyNumberFormat="1" applyFont="1" applyFill="1" applyBorder="1" applyAlignment="1" applyProtection="1">
      <alignment horizontal="center"/>
      <protection/>
    </xf>
    <xf numFmtId="176" fontId="48" fillId="10" borderId="37" xfId="0" applyNumberFormat="1" applyFont="1" applyFill="1" applyBorder="1" applyAlignment="1" applyProtection="1" quotePrefix="1">
      <alignment horizontal="center"/>
      <protection/>
    </xf>
    <xf numFmtId="176" fontId="48" fillId="10" borderId="38" xfId="0" applyNumberFormat="1" applyFont="1" applyFill="1" applyBorder="1" applyAlignment="1" applyProtection="1" quotePrefix="1">
      <alignment horizontal="center"/>
      <protection/>
    </xf>
    <xf numFmtId="4" fontId="48" fillId="10" borderId="26" xfId="0" applyNumberFormat="1" applyFont="1" applyFill="1" applyBorder="1" applyAlignment="1" applyProtection="1">
      <alignment horizontal="center"/>
      <protection/>
    </xf>
    <xf numFmtId="4" fontId="48" fillId="11" borderId="3" xfId="0" applyNumberFormat="1" applyFont="1" applyFill="1" applyBorder="1" applyAlignment="1" applyProtection="1">
      <alignment horizontal="center"/>
      <protection/>
    </xf>
    <xf numFmtId="4" fontId="48" fillId="12" borderId="3" xfId="0" applyNumberFormat="1" applyFont="1" applyFill="1" applyBorder="1" applyAlignment="1" applyProtection="1">
      <alignment horizontal="center"/>
      <protection/>
    </xf>
    <xf numFmtId="176" fontId="30" fillId="0" borderId="3" xfId="0" applyNumberFormat="1" applyFont="1" applyFill="1" applyBorder="1" applyAlignment="1">
      <alignment horizontal="center"/>
    </xf>
    <xf numFmtId="7" fontId="16" fillId="0" borderId="18" xfId="0" applyNumberFormat="1" applyFont="1" applyBorder="1" applyAlignment="1" applyProtection="1">
      <alignment horizontal="right"/>
      <protection/>
    </xf>
    <xf numFmtId="2" fontId="54" fillId="0" borderId="19" xfId="0" applyNumberFormat="1" applyFont="1" applyFill="1" applyBorder="1" applyAlignment="1" applyProtection="1">
      <alignment horizontal="center"/>
      <protection/>
    </xf>
    <xf numFmtId="2" fontId="44" fillId="0" borderId="19" xfId="0" applyNumberFormat="1" applyFont="1" applyFill="1" applyBorder="1" applyAlignment="1" applyProtection="1">
      <alignment horizontal="center"/>
      <protection/>
    </xf>
    <xf numFmtId="2" fontId="57" fillId="0" borderId="19" xfId="0" applyNumberFormat="1" applyFont="1" applyFill="1" applyBorder="1" applyAlignment="1" applyProtection="1">
      <alignment horizontal="center"/>
      <protection/>
    </xf>
    <xf numFmtId="0" fontId="42" fillId="15" borderId="18" xfId="0" applyFont="1" applyFill="1" applyBorder="1" applyAlignment="1" applyProtection="1">
      <alignment horizontal="center" vertical="center"/>
      <protection/>
    </xf>
    <xf numFmtId="0" fontId="29" fillId="0" borderId="13" xfId="0" applyFont="1" applyFill="1" applyBorder="1" applyAlignment="1" applyProtection="1">
      <alignment horizontal="centerContinuous" vertical="center"/>
      <protection/>
    </xf>
    <xf numFmtId="0" fontId="29" fillId="0" borderId="19" xfId="0" applyFont="1" applyFill="1" applyBorder="1" applyAlignment="1" applyProtection="1">
      <alignment horizontal="centerContinuous" vertical="center"/>
      <protection/>
    </xf>
    <xf numFmtId="0" fontId="47" fillId="15" borderId="39" xfId="0" applyFont="1" applyFill="1" applyBorder="1" applyAlignment="1">
      <alignment vertical="center" wrapText="1"/>
    </xf>
    <xf numFmtId="0" fontId="47" fillId="15" borderId="40" xfId="0" applyFont="1" applyFill="1" applyBorder="1" applyAlignment="1">
      <alignment vertical="center" wrapText="1"/>
    </xf>
    <xf numFmtId="0" fontId="47" fillId="15" borderId="21" xfId="0" applyFont="1" applyFill="1" applyBorder="1" applyAlignment="1">
      <alignment vertical="center" wrapText="1"/>
    </xf>
    <xf numFmtId="0" fontId="46" fillId="15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Continuous"/>
    </xf>
    <xf numFmtId="0" fontId="49" fillId="15" borderId="41" xfId="0" applyFont="1" applyFill="1" applyBorder="1" applyAlignment="1">
      <alignment horizontal="left"/>
    </xf>
    <xf numFmtId="0" fontId="49" fillId="15" borderId="0" xfId="0" applyFont="1" applyFill="1" applyBorder="1" applyAlignment="1">
      <alignment horizontal="left"/>
    </xf>
    <xf numFmtId="0" fontId="49" fillId="15" borderId="42" xfId="0" applyFont="1" applyFill="1" applyBorder="1" applyAlignment="1">
      <alignment horizontal="left"/>
    </xf>
    <xf numFmtId="176" fontId="46" fillId="15" borderId="1" xfId="0" applyNumberFormat="1" applyFont="1" applyFill="1" applyBorder="1" applyAlignment="1" applyProtection="1">
      <alignment horizontal="center"/>
      <protection/>
    </xf>
    <xf numFmtId="176" fontId="4" fillId="0" borderId="7" xfId="0" applyNumberFormat="1" applyFont="1" applyBorder="1" applyAlignment="1" applyProtection="1">
      <alignment horizontal="centerContinuous"/>
      <protection/>
    </xf>
    <xf numFmtId="176" fontId="4" fillId="0" borderId="2" xfId="0" applyNumberFormat="1" applyFont="1" applyBorder="1" applyAlignment="1" applyProtection="1">
      <alignment horizontal="centerContinuous"/>
      <protection/>
    </xf>
    <xf numFmtId="176" fontId="48" fillId="15" borderId="41" xfId="0" applyNumberFormat="1" applyFont="1" applyFill="1" applyBorder="1" applyAlignment="1" applyProtection="1" quotePrefix="1">
      <alignment horizontal="center"/>
      <protection/>
    </xf>
    <xf numFmtId="176" fontId="48" fillId="15" borderId="0" xfId="0" applyNumberFormat="1" applyFont="1" applyFill="1" applyBorder="1" applyAlignment="1" applyProtection="1" quotePrefix="1">
      <alignment horizontal="center"/>
      <protection/>
    </xf>
    <xf numFmtId="176" fontId="48" fillId="15" borderId="42" xfId="0" applyNumberFormat="1" applyFont="1" applyFill="1" applyBorder="1" applyAlignment="1" applyProtection="1" quotePrefix="1">
      <alignment horizontal="center"/>
      <protection/>
    </xf>
    <xf numFmtId="176" fontId="46" fillId="15" borderId="3" xfId="0" applyNumberFormat="1" applyFont="1" applyFill="1" applyBorder="1" applyAlignment="1" applyProtection="1">
      <alignment horizontal="center"/>
      <protection/>
    </xf>
    <xf numFmtId="176" fontId="4" fillId="0" borderId="43" xfId="0" applyNumberFormat="1" applyFont="1" applyBorder="1" applyAlignment="1" applyProtection="1">
      <alignment horizontal="centerContinuous"/>
      <protection/>
    </xf>
    <xf numFmtId="176" fontId="4" fillId="0" borderId="26" xfId="0" applyNumberFormat="1" applyFont="1" applyBorder="1" applyAlignment="1" applyProtection="1">
      <alignment horizontal="centerContinuous"/>
      <protection/>
    </xf>
    <xf numFmtId="176" fontId="49" fillId="15" borderId="43" xfId="0" applyNumberFormat="1" applyFont="1" applyFill="1" applyBorder="1" applyAlignment="1" applyProtection="1" quotePrefix="1">
      <alignment horizontal="center"/>
      <protection/>
    </xf>
    <xf numFmtId="176" fontId="49" fillId="15" borderId="44" xfId="0" applyNumberFormat="1" applyFont="1" applyFill="1" applyBorder="1" applyAlignment="1" applyProtection="1" quotePrefix="1">
      <alignment horizontal="center"/>
      <protection/>
    </xf>
    <xf numFmtId="176" fontId="49" fillId="15" borderId="26" xfId="0" applyNumberFormat="1" applyFont="1" applyFill="1" applyBorder="1" applyAlignment="1" applyProtection="1" quotePrefix="1">
      <alignment horizontal="center"/>
      <protection/>
    </xf>
    <xf numFmtId="176" fontId="4" fillId="0" borderId="0" xfId="0" applyNumberFormat="1" applyFont="1" applyBorder="1" applyAlignment="1" applyProtection="1" quotePrefix="1">
      <alignment horizontal="centerContinuous"/>
      <protection/>
    </xf>
    <xf numFmtId="176" fontId="4" fillId="0" borderId="0" xfId="0" applyNumberFormat="1" applyFont="1" applyBorder="1" applyAlignment="1" applyProtection="1">
      <alignment horizontal="centerContinuous"/>
      <protection/>
    </xf>
    <xf numFmtId="4" fontId="17" fillId="0" borderId="0" xfId="0" applyNumberFormat="1" applyFont="1" applyFill="1" applyBorder="1" applyAlignment="1">
      <alignment horizontal="right"/>
    </xf>
    <xf numFmtId="7" fontId="12" fillId="0" borderId="0" xfId="0" applyNumberFormat="1" applyFont="1" applyBorder="1" applyAlignment="1">
      <alignment horizontal="centerContinuous"/>
    </xf>
    <xf numFmtId="176" fontId="2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178" fontId="26" fillId="0" borderId="0" xfId="0" applyNumberFormat="1" applyFont="1" applyBorder="1" applyAlignment="1" applyProtection="1">
      <alignment horizontal="center"/>
      <protection/>
    </xf>
    <xf numFmtId="7" fontId="26" fillId="0" borderId="35" xfId="0" applyNumberFormat="1" applyFont="1" applyBorder="1" applyAlignment="1">
      <alignment horizontal="centerContinuous"/>
    </xf>
    <xf numFmtId="0" fontId="22" fillId="0" borderId="0" xfId="0" applyFont="1" applyFill="1" applyBorder="1" applyAlignment="1" applyProtection="1">
      <alignment horizontal="center"/>
      <protection/>
    </xf>
    <xf numFmtId="0" fontId="16" fillId="0" borderId="45" xfId="0" applyFont="1" applyBorder="1" applyAlignment="1">
      <alignment horizontal="centerContinuous"/>
    </xf>
    <xf numFmtId="0" fontId="16" fillId="0" borderId="46" xfId="0" applyFont="1" applyBorder="1" applyAlignment="1">
      <alignment horizontal="centerContinuous"/>
    </xf>
    <xf numFmtId="0" fontId="16" fillId="0" borderId="47" xfId="0" applyFont="1" applyBorder="1" applyAlignment="1">
      <alignment horizontal="centerContinuous"/>
    </xf>
    <xf numFmtId="0" fontId="16" fillId="0" borderId="48" xfId="0" applyFont="1" applyBorder="1" applyAlignment="1">
      <alignment horizontal="centerContinuous"/>
    </xf>
    <xf numFmtId="0" fontId="16" fillId="0" borderId="49" xfId="0" applyFont="1" applyBorder="1" applyAlignment="1">
      <alignment horizontal="centerContinuous"/>
    </xf>
    <xf numFmtId="0" fontId="16" fillId="0" borderId="50" xfId="0" applyFont="1" applyBorder="1" applyAlignment="1">
      <alignment horizontal="centerContinuous"/>
    </xf>
    <xf numFmtId="172" fontId="16" fillId="0" borderId="0" xfId="0" applyNumberFormat="1" applyFont="1" applyBorder="1" applyAlignment="1" applyProtection="1" quotePrefix="1">
      <alignment horizontal="center"/>
      <protection/>
    </xf>
    <xf numFmtId="0" fontId="16" fillId="0" borderId="0" xfId="0" applyFont="1" applyFill="1" applyBorder="1" applyAlignment="1">
      <alignment horizontal="centerContinuous"/>
    </xf>
    <xf numFmtId="1" fontId="26" fillId="0" borderId="0" xfId="0" applyNumberFormat="1" applyFont="1" applyBorder="1" applyAlignment="1" applyProtection="1">
      <alignment horizontal="centerContinuous"/>
      <protection/>
    </xf>
    <xf numFmtId="0" fontId="22" fillId="0" borderId="0" xfId="0" applyFont="1" applyFill="1" applyBorder="1" applyAlignment="1" applyProtection="1">
      <alignment horizontal="left"/>
      <protection/>
    </xf>
    <xf numFmtId="1" fontId="0" fillId="0" borderId="51" xfId="0" applyNumberFormat="1" applyBorder="1" applyAlignment="1">
      <alignment horizontal="center"/>
    </xf>
    <xf numFmtId="1" fontId="16" fillId="0" borderId="52" xfId="0" applyNumberFormat="1" applyFont="1" applyBorder="1" applyAlignment="1">
      <alignment horizontal="center"/>
    </xf>
    <xf numFmtId="1" fontId="16" fillId="0" borderId="53" xfId="0" applyNumberFormat="1" applyFont="1" applyFill="1" applyBorder="1" applyAlignment="1">
      <alignment horizontal="center"/>
    </xf>
    <xf numFmtId="181" fontId="12" fillId="0" borderId="14" xfId="0" applyNumberFormat="1" applyFont="1" applyBorder="1" applyAlignment="1" applyProtection="1">
      <alignment horizontal="centerContinuous"/>
      <protection/>
    </xf>
    <xf numFmtId="2" fontId="54" fillId="0" borderId="44" xfId="0" applyNumberFormat="1" applyFont="1" applyFill="1" applyBorder="1" applyAlignment="1" applyProtection="1">
      <alignment horizontal="center"/>
      <protection/>
    </xf>
    <xf numFmtId="2" fontId="44" fillId="0" borderId="44" xfId="0" applyNumberFormat="1" applyFont="1" applyFill="1" applyBorder="1" applyAlignment="1" applyProtection="1">
      <alignment horizontal="center"/>
      <protection/>
    </xf>
    <xf numFmtId="2" fontId="57" fillId="0" borderId="44" xfId="0" applyNumberFormat="1" applyFont="1" applyFill="1" applyBorder="1" applyAlignment="1" applyProtection="1">
      <alignment horizontal="center"/>
      <protection/>
    </xf>
    <xf numFmtId="0" fontId="4" fillId="0" borderId="27" xfId="0" applyFont="1" applyFill="1" applyBorder="1" applyAlignment="1">
      <alignment horizontal="centerContinuous"/>
    </xf>
    <xf numFmtId="176" fontId="4" fillId="0" borderId="3" xfId="0" applyNumberFormat="1" applyFont="1" applyBorder="1" applyAlignment="1" applyProtection="1">
      <alignment horizontal="centerContinuous"/>
      <protection/>
    </xf>
    <xf numFmtId="0" fontId="6" fillId="0" borderId="22" xfId="0" applyFont="1" applyBorder="1" applyAlignment="1" applyProtection="1">
      <alignment horizontal="center"/>
      <protection/>
    </xf>
    <xf numFmtId="0" fontId="4" fillId="0" borderId="23" xfId="0" applyFont="1" applyBorder="1" applyAlignment="1">
      <alignment horizontal="center"/>
    </xf>
    <xf numFmtId="0" fontId="6" fillId="0" borderId="54" xfId="0" applyFont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 horizontal="center"/>
      <protection/>
    </xf>
    <xf numFmtId="172" fontId="5" fillId="0" borderId="23" xfId="0" applyNumberFormat="1" applyFont="1" applyBorder="1" applyAlignment="1" applyProtection="1" quotePrefix="1">
      <alignment horizontal="center"/>
      <protection/>
    </xf>
    <xf numFmtId="176" fontId="43" fillId="3" borderId="23" xfId="0" applyNumberFormat="1" applyFont="1" applyFill="1" applyBorder="1" applyAlignment="1" applyProtection="1">
      <alignment horizontal="center"/>
      <protection/>
    </xf>
    <xf numFmtId="22" fontId="4" fillId="0" borderId="33" xfId="0" applyNumberFormat="1" applyFont="1" applyBorder="1" applyAlignment="1">
      <alignment horizontal="center"/>
    </xf>
    <xf numFmtId="22" fontId="4" fillId="0" borderId="23" xfId="0" applyNumberFormat="1" applyFont="1" applyBorder="1" applyAlignment="1" applyProtection="1">
      <alignment horizontal="center"/>
      <protection/>
    </xf>
    <xf numFmtId="2" fontId="4" fillId="0" borderId="23" xfId="0" applyNumberFormat="1" applyFont="1" applyFill="1" applyBorder="1" applyAlignment="1" applyProtection="1" quotePrefix="1">
      <alignment horizontal="center"/>
      <protection/>
    </xf>
    <xf numFmtId="172" fontId="4" fillId="0" borderId="23" xfId="0" applyNumberFormat="1" applyFont="1" applyFill="1" applyBorder="1" applyAlignment="1" applyProtection="1" quotePrefix="1">
      <alignment horizontal="center"/>
      <protection/>
    </xf>
    <xf numFmtId="176" fontId="4" fillId="0" borderId="55" xfId="0" applyNumberFormat="1" applyFont="1" applyBorder="1" applyAlignment="1" applyProtection="1">
      <alignment horizontal="center"/>
      <protection/>
    </xf>
    <xf numFmtId="176" fontId="4" fillId="0" borderId="54" xfId="0" applyNumberFormat="1" applyFont="1" applyBorder="1" applyAlignment="1" applyProtection="1">
      <alignment horizontal="center"/>
      <protection/>
    </xf>
    <xf numFmtId="172" fontId="49" fillId="5" borderId="23" xfId="0" applyNumberFormat="1" applyFont="1" applyFill="1" applyBorder="1" applyAlignment="1" applyProtection="1">
      <alignment horizontal="center"/>
      <protection/>
    </xf>
    <xf numFmtId="2" fontId="51" fillId="4" borderId="23" xfId="0" applyNumberFormat="1" applyFont="1" applyFill="1" applyBorder="1" applyAlignment="1">
      <alignment horizontal="center"/>
    </xf>
    <xf numFmtId="176" fontId="40" fillId="6" borderId="33" xfId="0" applyNumberFormat="1" applyFont="1" applyFill="1" applyBorder="1" applyAlignment="1" applyProtection="1" quotePrefix="1">
      <alignment horizontal="center"/>
      <protection/>
    </xf>
    <xf numFmtId="176" fontId="40" fillId="6" borderId="25" xfId="0" applyNumberFormat="1" applyFont="1" applyFill="1" applyBorder="1" applyAlignment="1" applyProtection="1" quotePrefix="1">
      <alignment horizontal="center"/>
      <protection/>
    </xf>
    <xf numFmtId="176" fontId="48" fillId="7" borderId="23" xfId="0" applyNumberFormat="1" applyFont="1" applyFill="1" applyBorder="1" applyAlignment="1" applyProtection="1" quotePrefix="1">
      <alignment horizontal="center"/>
      <protection/>
    </xf>
    <xf numFmtId="176" fontId="4" fillId="0" borderId="23" xfId="0" applyNumberFormat="1" applyFont="1" applyBorder="1" applyAlignment="1">
      <alignment horizontal="center"/>
    </xf>
    <xf numFmtId="4" fontId="17" fillId="0" borderId="23" xfId="0" applyNumberFormat="1" applyFont="1" applyFill="1" applyBorder="1" applyAlignment="1">
      <alignment horizontal="right"/>
    </xf>
    <xf numFmtId="0" fontId="63" fillId="0" borderId="0" xfId="0" applyFont="1" applyAlignment="1">
      <alignment horizontal="right" vertical="top"/>
    </xf>
    <xf numFmtId="0" fontId="0" fillId="0" borderId="0" xfId="0" applyFont="1" applyBorder="1" applyAlignment="1" applyProtection="1">
      <alignment horizontal="center"/>
      <protection/>
    </xf>
    <xf numFmtId="180" fontId="0" fillId="0" borderId="0" xfId="0" applyNumberFormat="1" applyFont="1" applyBorder="1" applyAlignment="1">
      <alignment horizontal="centerContinuous"/>
    </xf>
    <xf numFmtId="1" fontId="16" fillId="0" borderId="56" xfId="0" applyNumberFormat="1" applyFont="1" applyBorder="1" applyAlignment="1">
      <alignment horizontal="center"/>
    </xf>
    <xf numFmtId="0" fontId="69" fillId="0" borderId="0" xfId="0" applyNumberFormat="1" applyFont="1" applyBorder="1" applyAlignment="1">
      <alignment horizontal="left"/>
    </xf>
    <xf numFmtId="0" fontId="4" fillId="0" borderId="1" xfId="0" applyFont="1" applyBorder="1" applyAlignment="1" applyProtection="1">
      <alignment horizontal="center"/>
      <protection locked="0"/>
    </xf>
    <xf numFmtId="22" fontId="4" fillId="0" borderId="2" xfId="0" applyNumberFormat="1" applyFont="1" applyBorder="1" applyAlignment="1" applyProtection="1">
      <alignment horizontal="center"/>
      <protection locked="0"/>
    </xf>
    <xf numFmtId="22" fontId="4" fillId="0" borderId="5" xfId="0" applyNumberFormat="1" applyFont="1" applyBorder="1" applyAlignment="1" applyProtection="1">
      <alignment horizontal="center"/>
      <protection locked="0"/>
    </xf>
    <xf numFmtId="22" fontId="4" fillId="0" borderId="7" xfId="0" applyNumberFormat="1" applyFont="1" applyBorder="1" applyAlignment="1" applyProtection="1">
      <alignment horizontal="center"/>
      <protection locked="0"/>
    </xf>
    <xf numFmtId="176" fontId="4" fillId="0" borderId="1" xfId="0" applyNumberFormat="1" applyFont="1" applyBorder="1" applyAlignment="1" applyProtection="1">
      <alignment horizontal="center"/>
      <protection locked="0"/>
    </xf>
    <xf numFmtId="22" fontId="4" fillId="0" borderId="1" xfId="0" applyNumberFormat="1" applyFont="1" applyFill="1" applyBorder="1" applyAlignment="1" applyProtection="1">
      <alignment horizontal="center"/>
      <protection locked="0"/>
    </xf>
    <xf numFmtId="176" fontId="4" fillId="0" borderId="4" xfId="0" applyNumberFormat="1" applyFont="1" applyBorder="1" applyAlignment="1" applyProtection="1">
      <alignment horizontal="center"/>
      <protection locked="0"/>
    </xf>
    <xf numFmtId="22" fontId="4" fillId="0" borderId="28" xfId="0" applyNumberFormat="1" applyFont="1" applyBorder="1" applyAlignment="1" applyProtection="1">
      <alignment horizontal="center"/>
      <protection locked="0"/>
    </xf>
    <xf numFmtId="22" fontId="4" fillId="0" borderId="1" xfId="0" applyNumberFormat="1" applyFont="1" applyBorder="1" applyAlignment="1" applyProtection="1">
      <alignment horizontal="center"/>
      <protection locked="0"/>
    </xf>
    <xf numFmtId="1" fontId="26" fillId="0" borderId="0" xfId="0" applyNumberFormat="1" applyFont="1" applyBorder="1" applyAlignment="1" applyProtection="1">
      <alignment horizontal="left"/>
      <protection/>
    </xf>
    <xf numFmtId="0" fontId="4" fillId="0" borderId="4" xfId="22" applyFont="1" applyFill="1" applyBorder="1" applyAlignment="1">
      <alignment horizontal="center"/>
      <protection/>
    </xf>
    <xf numFmtId="0" fontId="4" fillId="0" borderId="4" xfId="22" applyFill="1" applyBorder="1" applyAlignment="1">
      <alignment horizontal="center"/>
      <protection/>
    </xf>
    <xf numFmtId="0" fontId="4" fillId="0" borderId="4" xfId="22" applyFont="1" applyBorder="1" applyAlignment="1">
      <alignment horizontal="center"/>
      <protection/>
    </xf>
    <xf numFmtId="0" fontId="4" fillId="0" borderId="4" xfId="22" applyBorder="1" applyAlignment="1">
      <alignment horizontal="center"/>
      <protection/>
    </xf>
    <xf numFmtId="0" fontId="19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22" fontId="4" fillId="0" borderId="4" xfId="0" applyNumberFormat="1" applyFont="1" applyFill="1" applyBorder="1" applyAlignment="1">
      <alignment horizontal="center"/>
    </xf>
    <xf numFmtId="176" fontId="38" fillId="0" borderId="0" xfId="0" applyNumberFormat="1" applyFont="1" applyBorder="1" applyAlignment="1" applyProtection="1">
      <alignment horizontal="left"/>
      <protection/>
    </xf>
    <xf numFmtId="173" fontId="53" fillId="3" borderId="0" xfId="0" applyNumberFormat="1" applyFont="1" applyFill="1" applyBorder="1" applyAlignment="1" applyProtection="1">
      <alignment horizontal="center"/>
      <protection/>
    </xf>
    <xf numFmtId="176" fontId="54" fillId="5" borderId="0" xfId="0" applyNumberFormat="1" applyFont="1" applyFill="1" applyBorder="1" applyAlignment="1" applyProtection="1">
      <alignment horizontal="center"/>
      <protection/>
    </xf>
    <xf numFmtId="176" fontId="66" fillId="7" borderId="43" xfId="0" applyNumberFormat="1" applyFont="1" applyFill="1" applyBorder="1" applyAlignment="1" applyProtection="1" quotePrefix="1">
      <alignment horizontal="center"/>
      <protection/>
    </xf>
    <xf numFmtId="176" fontId="66" fillId="7" borderId="44" xfId="0" applyNumberFormat="1" applyFont="1" applyFill="1" applyBorder="1" applyAlignment="1" applyProtection="1" quotePrefix="1">
      <alignment horizontal="center"/>
      <protection/>
    </xf>
    <xf numFmtId="176" fontId="48" fillId="10" borderId="43" xfId="0" applyNumberFormat="1" applyFont="1" applyFill="1" applyBorder="1" applyAlignment="1" applyProtection="1" quotePrefix="1">
      <alignment horizontal="center"/>
      <protection/>
    </xf>
    <xf numFmtId="176" fontId="48" fillId="10" borderId="44" xfId="0" applyNumberFormat="1" applyFont="1" applyFill="1" applyBorder="1" applyAlignment="1" applyProtection="1" quotePrefix="1">
      <alignment horizontal="center"/>
      <protection/>
    </xf>
    <xf numFmtId="4" fontId="5" fillId="0" borderId="42" xfId="0" applyNumberFormat="1" applyFont="1" applyBorder="1" applyAlignment="1" applyProtection="1">
      <alignment horizontal="center"/>
      <protection/>
    </xf>
    <xf numFmtId="7" fontId="16" fillId="0" borderId="3" xfId="0" applyNumberFormat="1" applyFont="1" applyBorder="1" applyAlignment="1" applyProtection="1">
      <alignment horizontal="right"/>
      <protection/>
    </xf>
    <xf numFmtId="2" fontId="48" fillId="8" borderId="26" xfId="0" applyNumberFormat="1" applyFont="1" applyFill="1" applyBorder="1" applyAlignment="1" applyProtection="1">
      <alignment horizontal="center"/>
      <protection/>
    </xf>
    <xf numFmtId="4" fontId="66" fillId="7" borderId="0" xfId="0" applyNumberFormat="1" applyFont="1" applyFill="1" applyBorder="1" applyAlignment="1" applyProtection="1">
      <alignment horizontal="center"/>
      <protection/>
    </xf>
    <xf numFmtId="176" fontId="48" fillId="10" borderId="0" xfId="0" applyNumberFormat="1" applyFont="1" applyFill="1" applyBorder="1" applyAlignment="1" applyProtection="1" quotePrefix="1">
      <alignment horizontal="center"/>
      <protection/>
    </xf>
    <xf numFmtId="4" fontId="48" fillId="10" borderId="0" xfId="0" applyNumberFormat="1" applyFont="1" applyFill="1" applyBorder="1" applyAlignment="1" applyProtection="1">
      <alignment horizontal="center"/>
      <protection/>
    </xf>
    <xf numFmtId="4" fontId="48" fillId="11" borderId="0" xfId="0" applyNumberFormat="1" applyFont="1" applyFill="1" applyBorder="1" applyAlignment="1" applyProtection="1">
      <alignment horizontal="center"/>
      <protection/>
    </xf>
    <xf numFmtId="4" fontId="48" fillId="12" borderId="0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Border="1" applyAlignment="1" applyProtection="1">
      <alignment horizontal="center"/>
      <protection/>
    </xf>
    <xf numFmtId="2" fontId="15" fillId="0" borderId="19" xfId="0" applyNumberFormat="1" applyFont="1" applyFill="1" applyBorder="1" applyAlignment="1">
      <alignment horizontal="center"/>
    </xf>
    <xf numFmtId="172" fontId="26" fillId="0" borderId="27" xfId="0" applyNumberFormat="1" applyFont="1" applyBorder="1" applyAlignment="1" applyProtection="1">
      <alignment/>
      <protection/>
    </xf>
    <xf numFmtId="4" fontId="4" fillId="2" borderId="27" xfId="0" applyNumberFormat="1" applyFont="1" applyFill="1" applyBorder="1" applyAlignment="1" applyProtection="1" quotePrefix="1">
      <alignment horizontal="center"/>
      <protection/>
    </xf>
    <xf numFmtId="0" fontId="52" fillId="9" borderId="22" xfId="0" applyFont="1" applyFill="1" applyBorder="1" applyAlignment="1">
      <alignment horizontal="center"/>
    </xf>
    <xf numFmtId="0" fontId="0" fillId="0" borderId="12" xfId="0" applyBorder="1" applyAlignment="1">
      <alignment/>
    </xf>
    <xf numFmtId="176" fontId="48" fillId="13" borderId="57" xfId="0" applyNumberFormat="1" applyFont="1" applyFill="1" applyBorder="1" applyAlignment="1" applyProtection="1" quotePrefix="1">
      <alignment horizontal="center"/>
      <protection/>
    </xf>
    <xf numFmtId="180" fontId="0" fillId="0" borderId="58" xfId="0" applyNumberFormat="1" applyFont="1" applyBorder="1" applyAlignment="1" applyProtection="1">
      <alignment horizontal="center" vertical="center"/>
      <protection/>
    </xf>
    <xf numFmtId="180" fontId="0" fillId="0" borderId="6" xfId="0" applyNumberFormat="1" applyFont="1" applyBorder="1" applyAlignment="1">
      <alignment horizontal="center" vertical="center"/>
    </xf>
    <xf numFmtId="180" fontId="0" fillId="0" borderId="59" xfId="0" applyNumberFormat="1" applyFont="1" applyBorder="1" applyAlignment="1">
      <alignment horizontal="center" vertical="center"/>
    </xf>
    <xf numFmtId="0" fontId="29" fillId="0" borderId="13" xfId="0" applyFont="1" applyFill="1" applyBorder="1" applyAlignment="1" applyProtection="1" quotePrefix="1">
      <alignment horizontal="center" vertical="center" wrapText="1"/>
      <protection/>
    </xf>
    <xf numFmtId="0" fontId="29" fillId="0" borderId="14" xfId="0" applyFont="1" applyFill="1" applyBorder="1" applyAlignment="1" applyProtection="1" quotePrefix="1">
      <alignment horizontal="center" vertical="center" wrapText="1"/>
      <protection/>
    </xf>
    <xf numFmtId="172" fontId="26" fillId="0" borderId="20" xfId="0" applyNumberFormat="1" applyFont="1" applyBorder="1" applyAlignment="1" applyProtection="1">
      <alignment horizontal="center"/>
      <protection/>
    </xf>
    <xf numFmtId="172" fontId="26" fillId="0" borderId="22" xfId="0" applyNumberFormat="1" applyFont="1" applyBorder="1" applyAlignment="1" applyProtection="1">
      <alignment horizontal="center"/>
      <protection/>
    </xf>
    <xf numFmtId="0" fontId="19" fillId="2" borderId="60" xfId="0" applyFont="1" applyFill="1" applyBorder="1" applyAlignment="1">
      <alignment horizontal="center"/>
    </xf>
    <xf numFmtId="0" fontId="19" fillId="2" borderId="57" xfId="0" applyFont="1" applyFill="1" applyBorder="1" applyAlignment="1">
      <alignment horizontal="center"/>
    </xf>
    <xf numFmtId="0" fontId="29" fillId="0" borderId="13" xfId="0" applyFont="1" applyBorder="1" applyAlignment="1" applyProtection="1">
      <alignment horizontal="center" vertical="center"/>
      <protection/>
    </xf>
    <xf numFmtId="0" fontId="29" fillId="0" borderId="19" xfId="0" applyFont="1" applyBorder="1" applyAlignment="1" applyProtection="1">
      <alignment horizontal="center" vertical="center"/>
      <protection/>
    </xf>
    <xf numFmtId="179" fontId="4" fillId="0" borderId="7" xfId="0" applyNumberFormat="1" applyFont="1" applyBorder="1" applyAlignment="1" applyProtection="1">
      <alignment horizontal="center"/>
      <protection/>
    </xf>
    <xf numFmtId="179" fontId="4" fillId="0" borderId="2" xfId="0" applyNumberFormat="1" applyFont="1" applyBorder="1" applyAlignment="1" applyProtection="1" quotePrefix="1">
      <alignment horizontal="center"/>
      <protection/>
    </xf>
    <xf numFmtId="176" fontId="4" fillId="0" borderId="20" xfId="0" applyNumberFormat="1" applyFont="1" applyBorder="1" applyAlignment="1" applyProtection="1">
      <alignment horizontal="center"/>
      <protection/>
    </xf>
    <xf numFmtId="176" fontId="4" fillId="0" borderId="22" xfId="0" applyNumberFormat="1" applyFont="1" applyBorder="1" applyAlignment="1" applyProtection="1">
      <alignment horizontal="center"/>
      <protection/>
    </xf>
    <xf numFmtId="176" fontId="12" fillId="0" borderId="0" xfId="0" applyNumberFormat="1" applyFont="1" applyBorder="1" applyAlignment="1" applyProtection="1">
      <alignment horizontal="center"/>
      <protection/>
    </xf>
    <xf numFmtId="176" fontId="26" fillId="0" borderId="54" xfId="0" applyNumberFormat="1" applyFont="1" applyBorder="1" applyAlignment="1" applyProtection="1">
      <alignment horizontal="center"/>
      <protection/>
    </xf>
    <xf numFmtId="176" fontId="26" fillId="0" borderId="55" xfId="0" applyNumberFormat="1" applyFont="1" applyBorder="1" applyAlignment="1" applyProtection="1">
      <alignment horizontal="center"/>
      <protection/>
    </xf>
    <xf numFmtId="176" fontId="4" fillId="0" borderId="54" xfId="0" applyNumberFormat="1" applyFont="1" applyBorder="1" applyAlignment="1" applyProtection="1">
      <alignment horizontal="center"/>
      <protection/>
    </xf>
    <xf numFmtId="176" fontId="4" fillId="0" borderId="55" xfId="0" applyNumberFormat="1" applyFont="1" applyBorder="1" applyAlignment="1" applyProtection="1">
      <alignment horizontal="center"/>
      <protection/>
    </xf>
    <xf numFmtId="0" fontId="6" fillId="0" borderId="60" xfId="0" applyFont="1" applyBorder="1" applyAlignment="1" applyProtection="1">
      <alignment horizontal="center"/>
      <protection/>
    </xf>
    <xf numFmtId="0" fontId="6" fillId="0" borderId="57" xfId="0" applyFont="1" applyBorder="1" applyAlignment="1" applyProtection="1">
      <alignment horizontal="center"/>
      <protection/>
    </xf>
    <xf numFmtId="0" fontId="4" fillId="2" borderId="60" xfId="0" applyFont="1" applyFill="1" applyBorder="1" applyAlignment="1">
      <alignment horizontal="center"/>
    </xf>
    <xf numFmtId="0" fontId="4" fillId="2" borderId="57" xfId="0" applyFont="1" applyFill="1" applyBorder="1" applyAlignment="1">
      <alignment horizontal="center"/>
    </xf>
    <xf numFmtId="0" fontId="29" fillId="0" borderId="14" xfId="0" applyFont="1" applyBorder="1" applyAlignment="1" applyProtection="1">
      <alignment horizontal="center" vertical="center"/>
      <protection/>
    </xf>
    <xf numFmtId="176" fontId="4" fillId="0" borderId="60" xfId="0" applyNumberFormat="1" applyFont="1" applyBorder="1" applyAlignment="1" applyProtection="1">
      <alignment horizontal="center"/>
      <protection/>
    </xf>
    <xf numFmtId="176" fontId="4" fillId="0" borderId="57" xfId="0" applyNumberFormat="1" applyFont="1" applyBorder="1" applyAlignment="1" applyProtection="1">
      <alignment horizontal="center"/>
      <protection/>
    </xf>
    <xf numFmtId="7" fontId="16" fillId="0" borderId="0" xfId="0" applyNumberFormat="1" applyFont="1" applyFill="1" applyBorder="1" applyAlignment="1">
      <alignment horizontal="center"/>
    </xf>
    <xf numFmtId="7" fontId="16" fillId="0" borderId="35" xfId="0" applyNumberFormat="1" applyFont="1" applyFill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DENOR9604" xfId="21"/>
    <cellStyle name="Normal_línea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790575</xdr:colOff>
      <xdr:row>0</xdr:row>
      <xdr:rowOff>9525</xdr:rowOff>
    </xdr:from>
    <xdr:to>
      <xdr:col>1</xdr:col>
      <xdr:colOff>333375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525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11</xdr:col>
      <xdr:colOff>47625</xdr:colOff>
      <xdr:row>17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96225" y="3409950"/>
          <a:ext cx="29432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1247775</xdr:colOff>
      <xdr:row>0</xdr:row>
      <xdr:rowOff>9525</xdr:rowOff>
    </xdr:from>
    <xdr:to>
      <xdr:col>0</xdr:col>
      <xdr:colOff>1752600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9525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29875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0</xdr:row>
      <xdr:rowOff>9525</xdr:rowOff>
    </xdr:from>
    <xdr:to>
      <xdr:col>0</xdr:col>
      <xdr:colOff>1381125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35"/>
  <sheetViews>
    <sheetView zoomScale="75" zoomScaleNormal="75" workbookViewId="0" topLeftCell="A1">
      <selection activeCell="B2" sqref="B2"/>
    </sheetView>
  </sheetViews>
  <sheetFormatPr defaultColWidth="11.421875" defaultRowHeight="12.75"/>
  <cols>
    <col min="1" max="1" width="22.7109375" style="13" customWidth="1"/>
    <col min="2" max="2" width="7.7109375" style="13" customWidth="1"/>
    <col min="3" max="3" width="12.28125" style="13" customWidth="1"/>
    <col min="4" max="4" width="10.7109375" style="13" customWidth="1"/>
    <col min="5" max="5" width="15.8515625" style="13" customWidth="1"/>
    <col min="6" max="6" width="17.00390625" style="13" customWidth="1"/>
    <col min="7" max="7" width="30.28125" style="13" customWidth="1"/>
    <col min="8" max="8" width="15.8515625" style="13" customWidth="1"/>
    <col min="9" max="9" width="15.7109375" style="13" customWidth="1"/>
    <col min="10" max="10" width="12.28125" style="13" customWidth="1"/>
    <col min="11" max="11" width="15.7109375" style="13" customWidth="1"/>
    <col min="12" max="13" width="11.421875" style="13" customWidth="1"/>
    <col min="14" max="14" width="14.140625" style="13" customWidth="1"/>
    <col min="15" max="15" width="11.421875" style="13" customWidth="1"/>
    <col min="16" max="16" width="14.7109375" style="13" customWidth="1"/>
    <col min="17" max="17" width="11.421875" style="13" customWidth="1"/>
    <col min="18" max="18" width="12.00390625" style="13" customWidth="1"/>
    <col min="19" max="16384" width="11.421875" style="13" customWidth="1"/>
  </cols>
  <sheetData>
    <row r="1" spans="2:11" s="49" customFormat="1" ht="26.25">
      <c r="B1" s="50"/>
      <c r="E1" s="10"/>
      <c r="K1" s="437"/>
    </row>
    <row r="2" spans="2:10" s="49" customFormat="1" ht="26.25">
      <c r="B2" s="50" t="s">
        <v>150</v>
      </c>
      <c r="C2" s="51"/>
      <c r="D2" s="52"/>
      <c r="E2" s="52"/>
      <c r="F2" s="52"/>
      <c r="G2" s="52"/>
      <c r="H2" s="52"/>
      <c r="I2" s="52"/>
      <c r="J2" s="52"/>
    </row>
    <row r="3" spans="3:19" ht="12.75">
      <c r="C3"/>
      <c r="D3" s="53"/>
      <c r="E3" s="53"/>
      <c r="F3" s="53"/>
      <c r="G3" s="53"/>
      <c r="H3" s="53"/>
      <c r="I3" s="53"/>
      <c r="J3" s="53"/>
      <c r="P3" s="11"/>
      <c r="Q3" s="11"/>
      <c r="R3" s="11"/>
      <c r="S3" s="11"/>
    </row>
    <row r="4" spans="1:19" s="56" customFormat="1" ht="11.25">
      <c r="A4" s="54" t="s">
        <v>16</v>
      </c>
      <c r="B4" s="55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</row>
    <row r="5" spans="1:19" s="56" customFormat="1" ht="11.25">
      <c r="A5" s="54" t="s">
        <v>17</v>
      </c>
      <c r="B5" s="55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2:19" s="49" customFormat="1" ht="11.25" customHeight="1">
      <c r="B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2:19" s="7" customFormat="1" ht="21">
      <c r="B7" s="127" t="s">
        <v>0</v>
      </c>
      <c r="C7" s="60"/>
      <c r="D7" s="5"/>
      <c r="E7" s="5"/>
      <c r="F7" s="6"/>
      <c r="G7" s="6"/>
      <c r="H7" s="6"/>
      <c r="I7" s="6"/>
      <c r="J7" s="6"/>
      <c r="K7" s="8"/>
      <c r="L7" s="8"/>
      <c r="M7" s="8"/>
      <c r="N7" s="8"/>
      <c r="O7" s="8"/>
      <c r="P7" s="8"/>
      <c r="Q7" s="8"/>
      <c r="R7" s="8"/>
      <c r="S7" s="8"/>
    </row>
    <row r="8" spans="9:19" ht="12.75"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2:19" s="7" customFormat="1" ht="21">
      <c r="B9" s="127" t="s">
        <v>1</v>
      </c>
      <c r="C9" s="60"/>
      <c r="D9" s="5"/>
      <c r="E9" s="5"/>
      <c r="F9" s="5"/>
      <c r="G9" s="5"/>
      <c r="H9" s="5"/>
      <c r="I9" s="6"/>
      <c r="J9" s="6"/>
      <c r="K9" s="8"/>
      <c r="L9" s="8"/>
      <c r="M9" s="8"/>
      <c r="N9" s="8"/>
      <c r="O9" s="8"/>
      <c r="P9" s="8"/>
      <c r="Q9" s="8"/>
      <c r="R9" s="8"/>
      <c r="S9" s="8"/>
    </row>
    <row r="10" spans="4:19" ht="12.75">
      <c r="D10" s="62"/>
      <c r="E10" s="62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2:19" s="7" customFormat="1" ht="20.25">
      <c r="B11" s="127" t="s">
        <v>149</v>
      </c>
      <c r="C11" s="3"/>
      <c r="D11" s="61"/>
      <c r="E11" s="61"/>
      <c r="F11" s="5"/>
      <c r="G11" s="5"/>
      <c r="H11" s="5"/>
      <c r="I11" s="6"/>
      <c r="J11" s="6"/>
      <c r="K11" s="8"/>
      <c r="L11" s="8"/>
      <c r="M11" s="8"/>
      <c r="N11" s="8"/>
      <c r="O11" s="8"/>
      <c r="P11" s="8"/>
      <c r="Q11" s="8"/>
      <c r="R11" s="8"/>
      <c r="S11" s="8"/>
    </row>
    <row r="12" spans="4:19" s="63" customFormat="1" ht="16.5" thickBot="1">
      <c r="D12" s="64"/>
      <c r="E12" s="64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</row>
    <row r="13" spans="2:19" s="63" customFormat="1" ht="16.5" thickTop="1">
      <c r="B13" s="66"/>
      <c r="C13" s="67"/>
      <c r="D13" s="67"/>
      <c r="E13" s="262"/>
      <c r="F13" s="67"/>
      <c r="G13" s="67"/>
      <c r="H13" s="67"/>
      <c r="I13" s="67"/>
      <c r="J13" s="68"/>
      <c r="K13" s="65"/>
      <c r="L13" s="65"/>
      <c r="M13" s="65"/>
      <c r="N13" s="65"/>
      <c r="O13" s="65"/>
      <c r="P13" s="65"/>
      <c r="Q13" s="65"/>
      <c r="R13" s="65"/>
      <c r="S13" s="65"/>
    </row>
    <row r="14" spans="2:19" s="12" customFormat="1" ht="19.5">
      <c r="B14" s="69" t="s">
        <v>133</v>
      </c>
      <c r="C14" s="70"/>
      <c r="D14" s="71"/>
      <c r="E14" s="263"/>
      <c r="F14" s="72"/>
      <c r="G14" s="72"/>
      <c r="H14" s="72"/>
      <c r="I14" s="73"/>
      <c r="J14" s="74"/>
      <c r="K14" s="75"/>
      <c r="L14" s="75"/>
      <c r="M14" s="75"/>
      <c r="N14" s="75"/>
      <c r="O14" s="75"/>
      <c r="P14" s="75"/>
      <c r="Q14" s="75"/>
      <c r="R14" s="75"/>
      <c r="S14" s="75"/>
    </row>
    <row r="15" spans="2:19" s="12" customFormat="1" ht="12.75" customHeight="1">
      <c r="B15" s="76"/>
      <c r="C15" s="79"/>
      <c r="D15" s="261"/>
      <c r="E15" s="265"/>
      <c r="F15" s="43"/>
      <c r="G15" s="43"/>
      <c r="H15" s="43"/>
      <c r="I15" s="80"/>
      <c r="J15" s="78"/>
      <c r="K15" s="75"/>
      <c r="L15" s="75"/>
      <c r="M15" s="75"/>
      <c r="N15" s="75"/>
      <c r="O15" s="75"/>
      <c r="P15" s="75"/>
      <c r="Q15" s="75"/>
      <c r="R15" s="75"/>
      <c r="S15" s="75"/>
    </row>
    <row r="16" spans="2:19" s="12" customFormat="1" ht="19.5">
      <c r="B16" s="76"/>
      <c r="C16" s="79" t="s">
        <v>21</v>
      </c>
      <c r="D16" s="266" t="s">
        <v>22</v>
      </c>
      <c r="E16" s="264"/>
      <c r="F16" s="43"/>
      <c r="G16" s="43"/>
      <c r="H16" s="43"/>
      <c r="I16" s="80"/>
      <c r="J16" s="78"/>
      <c r="K16" s="75"/>
      <c r="L16" s="75"/>
      <c r="M16" s="75"/>
      <c r="N16" s="75"/>
      <c r="O16" s="75"/>
      <c r="P16" s="75"/>
      <c r="Q16" s="75"/>
      <c r="R16" s="75"/>
      <c r="S16" s="75"/>
    </row>
    <row r="17" spans="2:19" s="12" customFormat="1" ht="19.5">
      <c r="B17" s="76"/>
      <c r="C17" s="79"/>
      <c r="D17" s="261">
        <v>41</v>
      </c>
      <c r="E17" s="265" t="s">
        <v>19</v>
      </c>
      <c r="F17" s="43"/>
      <c r="G17" s="43"/>
      <c r="H17" s="43"/>
      <c r="I17" s="80">
        <f>'SU (YACYLEC) '!K65</f>
        <v>2859.358896857432</v>
      </c>
      <c r="J17" s="78"/>
      <c r="K17" s="75"/>
      <c r="L17" s="75"/>
      <c r="M17" s="75"/>
      <c r="N17" s="75"/>
      <c r="O17" s="75"/>
      <c r="P17" s="75"/>
      <c r="Q17" s="75"/>
      <c r="R17" s="75"/>
      <c r="S17" s="75"/>
    </row>
    <row r="18" spans="2:19" s="12" customFormat="1" ht="19.5">
      <c r="B18" s="76"/>
      <c r="C18" s="79"/>
      <c r="D18" s="261">
        <v>42</v>
      </c>
      <c r="E18" s="265" t="s">
        <v>20</v>
      </c>
      <c r="F18" s="43"/>
      <c r="G18" s="43"/>
      <c r="H18" s="43"/>
      <c r="I18" s="80">
        <f>'SU (LITSA)'!K63</f>
        <v>63.483565903999995</v>
      </c>
      <c r="J18" s="78"/>
      <c r="K18" s="75"/>
      <c r="L18" s="75"/>
      <c r="M18" s="75"/>
      <c r="N18" s="75"/>
      <c r="O18" s="75"/>
      <c r="P18" s="75"/>
      <c r="Q18" s="75"/>
      <c r="R18" s="75"/>
      <c r="S18" s="75"/>
    </row>
    <row r="19" spans="2:19" s="12" customFormat="1" ht="19.5">
      <c r="B19" s="76"/>
      <c r="C19" s="79"/>
      <c r="D19" s="261">
        <v>43</v>
      </c>
      <c r="E19" s="265" t="s">
        <v>23</v>
      </c>
      <c r="F19" s="43"/>
      <c r="G19" s="43"/>
      <c r="H19" s="43"/>
      <c r="I19" s="80">
        <f>'SU (TIBA)'!J69</f>
        <v>1273.8020350000004</v>
      </c>
      <c r="J19" s="78"/>
      <c r="K19" s="75"/>
      <c r="L19" s="75"/>
      <c r="M19" s="75"/>
      <c r="N19" s="75"/>
      <c r="O19" s="75"/>
      <c r="P19" s="75"/>
      <c r="Q19" s="75"/>
      <c r="R19" s="75"/>
      <c r="S19" s="75"/>
    </row>
    <row r="20" spans="2:19" s="12" customFormat="1" ht="20.25" thickBot="1">
      <c r="B20" s="76"/>
      <c r="C20" s="77"/>
      <c r="D20" s="261"/>
      <c r="E20" s="264"/>
      <c r="F20" s="43"/>
      <c r="G20" s="43"/>
      <c r="H20" s="43"/>
      <c r="I20" s="75"/>
      <c r="J20" s="78"/>
      <c r="K20" s="75"/>
      <c r="L20" s="75"/>
      <c r="M20" s="75"/>
      <c r="N20" s="75"/>
      <c r="O20" s="75"/>
      <c r="P20" s="75"/>
      <c r="Q20" s="75"/>
      <c r="R20" s="75"/>
      <c r="S20" s="75"/>
    </row>
    <row r="21" spans="2:19" s="12" customFormat="1" ht="20.25" thickBot="1" thickTop="1">
      <c r="B21" s="76"/>
      <c r="C21" s="79"/>
      <c r="D21" s="79"/>
      <c r="F21" s="83" t="s">
        <v>24</v>
      </c>
      <c r="G21" s="84">
        <f>SUM(I15:I19)</f>
        <v>4196.644497761432</v>
      </c>
      <c r="H21" s="126"/>
      <c r="J21" s="78"/>
      <c r="K21" s="75"/>
      <c r="L21" s="75"/>
      <c r="M21" s="75"/>
      <c r="N21" s="75"/>
      <c r="O21" s="75"/>
      <c r="P21" s="75"/>
      <c r="Q21" s="75"/>
      <c r="R21" s="75"/>
      <c r="S21" s="75"/>
    </row>
    <row r="22" spans="2:19" s="12" customFormat="1" ht="9.75" customHeight="1" thickTop="1">
      <c r="B22" s="76"/>
      <c r="C22" s="79"/>
      <c r="D22" s="79"/>
      <c r="F22" s="298"/>
      <c r="G22" s="126"/>
      <c r="H22" s="126"/>
      <c r="J22" s="78"/>
      <c r="K22" s="75"/>
      <c r="L22" s="75"/>
      <c r="M22" s="75"/>
      <c r="N22" s="75"/>
      <c r="O22" s="75"/>
      <c r="P22" s="75"/>
      <c r="Q22" s="75"/>
      <c r="R22" s="75"/>
      <c r="S22" s="75"/>
    </row>
    <row r="23" spans="2:19" s="12" customFormat="1" ht="18.75">
      <c r="B23" s="76"/>
      <c r="C23" s="441" t="s">
        <v>148</v>
      </c>
      <c r="D23" s="79"/>
      <c r="F23" s="298"/>
      <c r="G23" s="126"/>
      <c r="H23" s="126"/>
      <c r="J23" s="78"/>
      <c r="K23" s="75"/>
      <c r="L23" s="75"/>
      <c r="M23" s="75"/>
      <c r="N23" s="75"/>
      <c r="O23" s="75"/>
      <c r="P23" s="75"/>
      <c r="Q23" s="75"/>
      <c r="R23" s="75"/>
      <c r="S23" s="75"/>
    </row>
    <row r="24" spans="2:19" s="63" customFormat="1" ht="10.5" customHeight="1" thickBot="1">
      <c r="B24" s="85"/>
      <c r="C24" s="86"/>
      <c r="D24" s="86"/>
      <c r="E24" s="87"/>
      <c r="F24" s="87"/>
      <c r="G24" s="87"/>
      <c r="H24" s="87"/>
      <c r="I24" s="87"/>
      <c r="J24" s="88"/>
      <c r="K24" s="65"/>
      <c r="L24" s="65"/>
      <c r="M24" s="89"/>
      <c r="N24" s="90"/>
      <c r="O24" s="90"/>
      <c r="P24" s="91"/>
      <c r="Q24" s="92"/>
      <c r="R24" s="65"/>
      <c r="S24" s="65"/>
    </row>
    <row r="25" spans="4:19" ht="13.5" thickTop="1">
      <c r="D25" s="11"/>
      <c r="F25" s="11"/>
      <c r="G25" s="11"/>
      <c r="H25" s="11"/>
      <c r="I25" s="11"/>
      <c r="J25" s="11"/>
      <c r="K25" s="11"/>
      <c r="L25" s="11"/>
      <c r="M25" s="42"/>
      <c r="N25" s="93"/>
      <c r="O25" s="93"/>
      <c r="P25" s="11"/>
      <c r="Q25" s="2"/>
      <c r="R25" s="11"/>
      <c r="S25" s="11"/>
    </row>
    <row r="26" spans="4:19" ht="12.75">
      <c r="D26" s="11"/>
      <c r="F26" s="11"/>
      <c r="G26" s="11"/>
      <c r="H26" s="11"/>
      <c r="I26" s="11"/>
      <c r="J26" s="11"/>
      <c r="K26" s="11"/>
      <c r="L26" s="11"/>
      <c r="M26" s="11"/>
      <c r="N26" s="94"/>
      <c r="O26" s="94"/>
      <c r="P26" s="95"/>
      <c r="Q26" s="2"/>
      <c r="R26" s="11"/>
      <c r="S26" s="11"/>
    </row>
    <row r="27" spans="4:19" ht="12.75"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94"/>
      <c r="O27" s="94"/>
      <c r="P27" s="95"/>
      <c r="Q27" s="2"/>
      <c r="R27" s="11"/>
      <c r="S27" s="11"/>
    </row>
    <row r="28" spans="4:19" ht="12.75">
      <c r="D28" s="11"/>
      <c r="E28" s="11"/>
      <c r="L28" s="11"/>
      <c r="M28" s="11"/>
      <c r="N28" s="11"/>
      <c r="O28" s="11"/>
      <c r="P28" s="11"/>
      <c r="Q28" s="11"/>
      <c r="R28" s="11"/>
      <c r="S28" s="11"/>
    </row>
    <row r="29" spans="4:19" ht="12.75">
      <c r="D29" s="11"/>
      <c r="E29" s="11"/>
      <c r="P29" s="11"/>
      <c r="Q29" s="11"/>
      <c r="R29" s="11"/>
      <c r="S29" s="11"/>
    </row>
    <row r="30" spans="4:19" ht="12.75">
      <c r="D30" s="11"/>
      <c r="E30" s="11"/>
      <c r="P30" s="11"/>
      <c r="Q30" s="11"/>
      <c r="R30" s="11"/>
      <c r="S30" s="11"/>
    </row>
    <row r="31" spans="4:19" ht="12.75">
      <c r="D31" s="11"/>
      <c r="E31" s="11"/>
      <c r="P31" s="11"/>
      <c r="Q31" s="11"/>
      <c r="R31" s="11"/>
      <c r="S31" s="11"/>
    </row>
    <row r="32" spans="4:19" ht="12.75">
      <c r="D32" s="11"/>
      <c r="E32" s="11"/>
      <c r="P32" s="11"/>
      <c r="Q32" s="11"/>
      <c r="R32" s="11"/>
      <c r="S32" s="11"/>
    </row>
    <row r="33" spans="4:19" ht="12.75">
      <c r="D33" s="11"/>
      <c r="E33" s="11"/>
      <c r="P33" s="11"/>
      <c r="Q33" s="11"/>
      <c r="R33" s="11"/>
      <c r="S33" s="11"/>
    </row>
    <row r="34" spans="16:19" ht="12.75">
      <c r="P34" s="11"/>
      <c r="Q34" s="11"/>
      <c r="R34" s="11"/>
      <c r="S34" s="11"/>
    </row>
    <row r="35" spans="16:19" ht="12.75">
      <c r="P35" s="11"/>
      <c r="Q35" s="11"/>
      <c r="R35" s="11"/>
      <c r="S35" s="11"/>
    </row>
  </sheetData>
  <printOptions/>
  <pageMargins left="1.24" right="0.1968503937007874" top="0.52" bottom="0.7874015748031497" header="0.39" footer="0.5118110236220472"/>
  <pageSetup fitToHeight="1" fitToWidth="1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AG67"/>
  <sheetViews>
    <sheetView zoomScale="75" zoomScaleNormal="75" workbookViewId="0" topLeftCell="B1">
      <selection activeCell="L22" sqref="L22"/>
    </sheetView>
  </sheetViews>
  <sheetFormatPr defaultColWidth="11.421875" defaultRowHeight="12.75"/>
  <cols>
    <col min="1" max="1" width="14.421875" style="0" customWidth="1"/>
    <col min="2" max="2" width="15.7109375" style="0" customWidth="1"/>
    <col min="3" max="3" width="7.140625" style="0" customWidth="1"/>
    <col min="4" max="4" width="30.7109375" style="0" customWidth="1"/>
    <col min="5" max="5" width="20.7109375" style="0" customWidth="1"/>
    <col min="6" max="6" width="15.00390625" style="0" customWidth="1"/>
    <col min="7" max="7" width="14.7109375" style="0" customWidth="1"/>
    <col min="8" max="8" width="13.8515625" style="0" hidden="1" customWidth="1"/>
    <col min="9" max="9" width="18.7109375" style="0" hidden="1" customWidth="1"/>
    <col min="10" max="10" width="18.7109375" style="0" customWidth="1"/>
    <col min="11" max="11" width="24.7109375" style="0" customWidth="1"/>
    <col min="12" max="12" width="15.00390625" style="0" customWidth="1"/>
    <col min="13" max="13" width="10.7109375" style="0" customWidth="1"/>
    <col min="14" max="14" width="9.7109375" style="0" customWidth="1"/>
    <col min="15" max="15" width="10.57421875" style="0" customWidth="1"/>
    <col min="16" max="16" width="8.421875" style="0" customWidth="1"/>
    <col min="17" max="17" width="7.7109375" style="0" customWidth="1"/>
    <col min="18" max="18" width="13.140625" style="0" hidden="1" customWidth="1"/>
    <col min="19" max="19" width="12.421875" style="0" hidden="1" customWidth="1"/>
    <col min="20" max="20" width="17.57421875" style="0" hidden="1" customWidth="1"/>
    <col min="21" max="21" width="14.8515625" style="0" hidden="1" customWidth="1"/>
    <col min="22" max="22" width="20.7109375" style="0" hidden="1" customWidth="1"/>
    <col min="23" max="23" width="15.7109375" style="0" hidden="1" customWidth="1"/>
    <col min="24" max="24" width="17.7109375" style="0" hidden="1" customWidth="1"/>
    <col min="25" max="25" width="12.8515625" style="0" hidden="1" customWidth="1"/>
    <col min="26" max="26" width="14.28125" style="0" hidden="1" customWidth="1"/>
    <col min="27" max="27" width="24.28125" style="0" hidden="1" customWidth="1"/>
    <col min="28" max="28" width="9.7109375" style="0" customWidth="1"/>
    <col min="29" max="29" width="17.28125" style="0" customWidth="1"/>
    <col min="30" max="30" width="1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41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AD1" s="437"/>
    </row>
    <row r="2" spans="1:23" ht="27" customHeight="1">
      <c r="A2" s="41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30" s="325" customFormat="1" ht="30.75">
      <c r="A3" s="322"/>
      <c r="B3" s="323" t="str">
        <f>'tot-0509-SUP'!B2</f>
        <v>ANEXO IV.1.b. a la Resolución E.N.R.E.   N° 122  /2008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AB3" s="324"/>
      <c r="AC3" s="324"/>
      <c r="AD3" s="324"/>
    </row>
    <row r="4" spans="1:2" s="56" customFormat="1" ht="11.25">
      <c r="A4" s="54" t="s">
        <v>16</v>
      </c>
      <c r="B4" s="54"/>
    </row>
    <row r="5" spans="1:2" s="56" customFormat="1" ht="11.25">
      <c r="A5" s="54" t="s">
        <v>17</v>
      </c>
      <c r="B5" s="54"/>
    </row>
    <row r="6" s="56" customFormat="1" ht="12" thickBot="1">
      <c r="A6" s="54"/>
    </row>
    <row r="7" spans="1:30" ht="16.5" customHeight="1" thickTop="1">
      <c r="A7" s="13"/>
      <c r="B7" s="96"/>
      <c r="C7" s="97"/>
      <c r="D7" s="97"/>
      <c r="E7" s="98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177"/>
      <c r="X7" s="177"/>
      <c r="Y7" s="177"/>
      <c r="Z7" s="177"/>
      <c r="AA7" s="177"/>
      <c r="AB7" s="177"/>
      <c r="AC7" s="177"/>
      <c r="AD7" s="99"/>
    </row>
    <row r="8" spans="1:30" ht="20.25">
      <c r="A8" s="13"/>
      <c r="B8" s="81"/>
      <c r="C8" s="11"/>
      <c r="D8" s="4" t="s">
        <v>54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8"/>
      <c r="Q8" s="128"/>
      <c r="R8" s="11"/>
      <c r="S8" s="11"/>
      <c r="T8" s="11"/>
      <c r="U8" s="11"/>
      <c r="V8" s="11"/>
      <c r="AD8" s="100"/>
    </row>
    <row r="9" spans="1:30" ht="16.5" customHeight="1">
      <c r="A9" s="13"/>
      <c r="B9" s="8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AD9" s="100"/>
    </row>
    <row r="10" spans="2:30" s="12" customFormat="1" ht="20.25">
      <c r="B10" s="76"/>
      <c r="C10" s="75"/>
      <c r="D10" s="4" t="s">
        <v>55</v>
      </c>
      <c r="E10" s="75"/>
      <c r="F10" s="75"/>
      <c r="G10" s="75"/>
      <c r="H10" s="75"/>
      <c r="N10" s="75"/>
      <c r="O10" s="75"/>
      <c r="P10" s="185"/>
      <c r="Q10" s="185"/>
      <c r="R10" s="75"/>
      <c r="S10" s="75"/>
      <c r="T10" s="75"/>
      <c r="U10" s="75"/>
      <c r="V10" s="75"/>
      <c r="W10"/>
      <c r="X10" s="75"/>
      <c r="Y10" s="75"/>
      <c r="Z10" s="75"/>
      <c r="AA10" s="75"/>
      <c r="AB10" s="75"/>
      <c r="AC10"/>
      <c r="AD10" s="186"/>
    </row>
    <row r="11" spans="1:30" ht="16.5" customHeight="1">
      <c r="A11" s="13"/>
      <c r="B11" s="8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AD11" s="100"/>
    </row>
    <row r="12" spans="2:30" s="12" customFormat="1" ht="20.25">
      <c r="B12" s="76"/>
      <c r="C12" s="75"/>
      <c r="D12" s="4" t="s">
        <v>118</v>
      </c>
      <c r="E12" s="75"/>
      <c r="F12" s="75"/>
      <c r="G12" s="75"/>
      <c r="H12" s="75"/>
      <c r="N12" s="75"/>
      <c r="O12" s="75"/>
      <c r="P12" s="185"/>
      <c r="Q12" s="185"/>
      <c r="R12" s="75"/>
      <c r="S12" s="75"/>
      <c r="T12" s="75"/>
      <c r="U12" s="75"/>
      <c r="V12" s="75"/>
      <c r="W12"/>
      <c r="X12" s="75"/>
      <c r="Y12" s="75"/>
      <c r="Z12" s="75"/>
      <c r="AA12" s="75"/>
      <c r="AB12" s="75"/>
      <c r="AC12"/>
      <c r="AD12" s="186"/>
    </row>
    <row r="13" spans="1:30" ht="16.5" customHeight="1">
      <c r="A13" s="13"/>
      <c r="B13" s="81"/>
      <c r="C13" s="11"/>
      <c r="D13" s="11"/>
      <c r="E13" s="13"/>
      <c r="F13" s="13"/>
      <c r="G13" s="13"/>
      <c r="H13" s="13"/>
      <c r="I13" s="101"/>
      <c r="J13" s="101"/>
      <c r="K13" s="101"/>
      <c r="L13" s="101"/>
      <c r="M13" s="101"/>
      <c r="N13" s="101"/>
      <c r="O13" s="101"/>
      <c r="P13" s="101"/>
      <c r="Q13" s="101"/>
      <c r="R13" s="11"/>
      <c r="S13" s="11"/>
      <c r="T13" s="11"/>
      <c r="U13" s="11"/>
      <c r="V13" s="11"/>
      <c r="AD13" s="100"/>
    </row>
    <row r="14" spans="2:30" s="12" customFormat="1" ht="19.5">
      <c r="B14" s="69" t="str">
        <f>'tot-0509-SUP'!B14</f>
        <v>Desde el 01 al 30 de septiembre de 2005</v>
      </c>
      <c r="C14" s="70"/>
      <c r="D14" s="72"/>
      <c r="E14" s="72"/>
      <c r="F14" s="72"/>
      <c r="G14" s="72"/>
      <c r="H14" s="72"/>
      <c r="I14" s="73"/>
      <c r="J14" s="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188"/>
      <c r="V14" s="188"/>
      <c r="W14"/>
      <c r="X14" s="189"/>
      <c r="Y14" s="189"/>
      <c r="Z14" s="189"/>
      <c r="AA14" s="189"/>
      <c r="AB14" s="188"/>
      <c r="AC14" s="3"/>
      <c r="AD14" s="74"/>
    </row>
    <row r="15" spans="1:30" ht="16.5" customHeight="1">
      <c r="A15" s="13"/>
      <c r="B15" s="81"/>
      <c r="C15" s="11"/>
      <c r="D15" s="11"/>
      <c r="E15" s="2"/>
      <c r="F15" s="2"/>
      <c r="G15" s="11"/>
      <c r="H15" s="11"/>
      <c r="I15" s="11"/>
      <c r="J15" s="129"/>
      <c r="K15" s="11"/>
      <c r="L15" s="11"/>
      <c r="M15" s="11"/>
      <c r="N15" s="13"/>
      <c r="O15" s="13"/>
      <c r="P15" s="11"/>
      <c r="Q15" s="11"/>
      <c r="R15" s="11"/>
      <c r="S15" s="11"/>
      <c r="T15" s="11"/>
      <c r="U15" s="11"/>
      <c r="V15" s="11"/>
      <c r="AD15" s="100"/>
    </row>
    <row r="16" spans="1:30" ht="16.5" customHeight="1">
      <c r="A16" s="13"/>
      <c r="B16" s="81"/>
      <c r="C16" s="11"/>
      <c r="D16" s="11"/>
      <c r="E16" s="2"/>
      <c r="F16" s="2"/>
      <c r="G16" s="11"/>
      <c r="H16" s="11"/>
      <c r="I16" s="130"/>
      <c r="J16" s="11"/>
      <c r="K16" s="9"/>
      <c r="M16" s="11"/>
      <c r="N16" s="13"/>
      <c r="O16" s="13"/>
      <c r="P16" s="11"/>
      <c r="Q16" s="11"/>
      <c r="R16" s="11"/>
      <c r="S16" s="11"/>
      <c r="T16" s="11"/>
      <c r="U16" s="11"/>
      <c r="V16" s="11"/>
      <c r="AD16" s="100"/>
    </row>
    <row r="17" spans="1:30" ht="16.5" customHeight="1">
      <c r="A17" s="13"/>
      <c r="B17" s="81"/>
      <c r="C17" s="11"/>
      <c r="D17" s="11"/>
      <c r="E17" s="2"/>
      <c r="F17" s="2"/>
      <c r="G17" s="11"/>
      <c r="H17" s="11"/>
      <c r="I17" s="130"/>
      <c r="J17" s="11"/>
      <c r="K17" s="9"/>
      <c r="M17" s="11"/>
      <c r="N17" s="13"/>
      <c r="O17" s="13"/>
      <c r="P17" s="11"/>
      <c r="Q17" s="11"/>
      <c r="R17" s="11"/>
      <c r="S17" s="11"/>
      <c r="T17" s="11"/>
      <c r="U17" s="11"/>
      <c r="V17" s="11"/>
      <c r="AD17" s="100"/>
    </row>
    <row r="18" spans="1:30" ht="16.5" customHeight="1">
      <c r="A18" s="13"/>
      <c r="B18" s="81"/>
      <c r="C18" s="298" t="s">
        <v>56</v>
      </c>
      <c r="D18" s="10" t="s">
        <v>57</v>
      </c>
      <c r="E18" s="2"/>
      <c r="F18" s="2"/>
      <c r="G18" s="11"/>
      <c r="H18" s="11"/>
      <c r="I18" s="11"/>
      <c r="J18" s="129"/>
      <c r="K18" s="11"/>
      <c r="L18" s="11"/>
      <c r="M18" s="11"/>
      <c r="N18" s="13"/>
      <c r="O18" s="13"/>
      <c r="P18" s="11"/>
      <c r="Q18" s="11"/>
      <c r="R18" s="11"/>
      <c r="S18" s="11"/>
      <c r="T18" s="11"/>
      <c r="U18" s="11"/>
      <c r="V18" s="11"/>
      <c r="AD18" s="100"/>
    </row>
    <row r="19" spans="2:30" s="63" customFormat="1" ht="16.5" customHeight="1">
      <c r="B19" s="149"/>
      <c r="C19" s="65"/>
      <c r="D19" s="267"/>
      <c r="E19" s="268"/>
      <c r="F19" s="143"/>
      <c r="G19" s="65"/>
      <c r="H19" s="65"/>
      <c r="I19" s="65"/>
      <c r="J19" s="288"/>
      <c r="K19" s="65"/>
      <c r="L19" s="65"/>
      <c r="M19" s="65"/>
      <c r="P19" s="65"/>
      <c r="Q19" s="65"/>
      <c r="R19" s="65"/>
      <c r="S19" s="65"/>
      <c r="T19" s="65"/>
      <c r="U19" s="65"/>
      <c r="V19" s="65"/>
      <c r="W19"/>
      <c r="AD19" s="289"/>
    </row>
    <row r="20" spans="2:30" s="63" customFormat="1" ht="16.5" customHeight="1">
      <c r="B20" s="149"/>
      <c r="C20" s="65"/>
      <c r="D20" s="269" t="s">
        <v>58</v>
      </c>
      <c r="F20" s="316">
        <v>89.969</v>
      </c>
      <c r="G20" s="269" t="s">
        <v>59</v>
      </c>
      <c r="H20" s="65"/>
      <c r="I20" s="65"/>
      <c r="J20" s="133"/>
      <c r="K20" s="271" t="s">
        <v>60</v>
      </c>
      <c r="L20" s="272">
        <v>0.0065</v>
      </c>
      <c r="R20" s="65"/>
      <c r="S20" s="65"/>
      <c r="T20" s="65"/>
      <c r="U20" s="65"/>
      <c r="V20" s="65"/>
      <c r="W20"/>
      <c r="AD20" s="289"/>
    </row>
    <row r="21" spans="2:30" s="63" customFormat="1" ht="16.5" customHeight="1">
      <c r="B21" s="149"/>
      <c r="C21" s="65"/>
      <c r="D21" s="395" t="s">
        <v>100</v>
      </c>
      <c r="E21" s="395"/>
      <c r="F21" s="270">
        <v>4736334</v>
      </c>
      <c r="G21" s="270"/>
      <c r="H21" s="65"/>
      <c r="I21" s="65"/>
      <c r="J21" s="65"/>
      <c r="K21" s="267" t="s">
        <v>63</v>
      </c>
      <c r="L21" s="65">
        <v>720</v>
      </c>
      <c r="M21" s="65" t="s">
        <v>64</v>
      </c>
      <c r="N21" s="65"/>
      <c r="O21" s="438"/>
      <c r="P21" s="439"/>
      <c r="Q21" s="11"/>
      <c r="R21" s="65"/>
      <c r="S21" s="65"/>
      <c r="T21" s="65"/>
      <c r="U21" s="65"/>
      <c r="V21" s="65"/>
      <c r="W21"/>
      <c r="AD21" s="289"/>
    </row>
    <row r="22" spans="2:30" s="63" customFormat="1" ht="16.5" customHeight="1">
      <c r="B22" s="149"/>
      <c r="C22" s="65"/>
      <c r="D22" s="65"/>
      <c r="E22" s="14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/>
      <c r="AD22" s="289"/>
    </row>
    <row r="23" spans="1:30" ht="16.5" customHeight="1">
      <c r="A23" s="13"/>
      <c r="B23" s="81"/>
      <c r="C23" s="298" t="s">
        <v>66</v>
      </c>
      <c r="D23" s="64" t="s">
        <v>67</v>
      </c>
      <c r="I23" s="11"/>
      <c r="J23" s="63"/>
      <c r="O23" s="11"/>
      <c r="P23" s="11"/>
      <c r="Q23" s="11"/>
      <c r="R23" s="11"/>
      <c r="S23" s="11"/>
      <c r="T23" s="11"/>
      <c r="V23" s="11"/>
      <c r="X23" s="11"/>
      <c r="Y23" s="11"/>
      <c r="Z23" s="11"/>
      <c r="AA23" s="11"/>
      <c r="AB23" s="11"/>
      <c r="AC23" s="11"/>
      <c r="AD23" s="100"/>
    </row>
    <row r="24" spans="1:30" ht="10.5" customHeight="1" thickBot="1">
      <c r="A24" s="13"/>
      <c r="B24" s="81"/>
      <c r="C24" s="2"/>
      <c r="D24" s="64"/>
      <c r="I24" s="11"/>
      <c r="J24" s="63"/>
      <c r="O24" s="11"/>
      <c r="P24" s="11"/>
      <c r="Q24" s="11"/>
      <c r="R24" s="11"/>
      <c r="S24" s="11"/>
      <c r="T24" s="11"/>
      <c r="V24" s="11"/>
      <c r="X24" s="11"/>
      <c r="Y24" s="11"/>
      <c r="Z24" s="11"/>
      <c r="AA24" s="11"/>
      <c r="AB24" s="11"/>
      <c r="AC24" s="11"/>
      <c r="AD24" s="100"/>
    </row>
    <row r="25" spans="2:30" s="63" customFormat="1" ht="16.5" customHeight="1" thickBot="1" thickTop="1">
      <c r="B25" s="149"/>
      <c r="C25" s="143"/>
      <c r="D25"/>
      <c r="E25"/>
      <c r="F25"/>
      <c r="G25"/>
      <c r="H25"/>
      <c r="I25"/>
      <c r="J25" s="326" t="s">
        <v>68</v>
      </c>
      <c r="K25" s="327">
        <f>F21*L20</f>
        <v>30786.171</v>
      </c>
      <c r="L25"/>
      <c r="S25"/>
      <c r="T25"/>
      <c r="U25"/>
      <c r="W25"/>
      <c r="AD25" s="289"/>
    </row>
    <row r="26" spans="2:30" s="63" customFormat="1" ht="11.25" customHeight="1" thickTop="1">
      <c r="B26" s="149"/>
      <c r="C26" s="143"/>
      <c r="D26" s="65"/>
      <c r="E26" s="14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/>
      <c r="W26"/>
      <c r="AD26" s="289"/>
    </row>
    <row r="27" spans="1:30" ht="16.5" customHeight="1">
      <c r="A27" s="13"/>
      <c r="B27" s="81"/>
      <c r="C27" s="298" t="s">
        <v>69</v>
      </c>
      <c r="D27" s="64" t="s">
        <v>70</v>
      </c>
      <c r="E27" s="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AD27" s="100"/>
    </row>
    <row r="28" spans="1:30" ht="21.75" customHeight="1" thickBot="1">
      <c r="A28" s="13"/>
      <c r="B28" s="81"/>
      <c r="C28" s="11"/>
      <c r="D28" s="11"/>
      <c r="E28" s="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AD28" s="100"/>
    </row>
    <row r="29" spans="2:31" s="13" customFormat="1" ht="33.75" customHeight="1" thickBot="1" thickTop="1">
      <c r="B29" s="81"/>
      <c r="C29" s="104" t="s">
        <v>25</v>
      </c>
      <c r="D29" s="187" t="s">
        <v>18</v>
      </c>
      <c r="E29" s="109" t="s">
        <v>26</v>
      </c>
      <c r="F29" s="110" t="s">
        <v>27</v>
      </c>
      <c r="G29" s="105" t="s">
        <v>28</v>
      </c>
      <c r="H29" s="217" t="s">
        <v>29</v>
      </c>
      <c r="I29" s="220" t="s">
        <v>30</v>
      </c>
      <c r="J29" s="106" t="s">
        <v>31</v>
      </c>
      <c r="K29" s="107" t="s">
        <v>32</v>
      </c>
      <c r="L29" s="111" t="s">
        <v>33</v>
      </c>
      <c r="M29" s="112" t="s">
        <v>34</v>
      </c>
      <c r="N29" s="111" t="s">
        <v>71</v>
      </c>
      <c r="O29" s="111" t="s">
        <v>36</v>
      </c>
      <c r="P29" s="107" t="s">
        <v>37</v>
      </c>
      <c r="Q29" s="106" t="s">
        <v>38</v>
      </c>
      <c r="R29" s="247" t="s">
        <v>39</v>
      </c>
      <c r="S29" s="248" t="s">
        <v>40</v>
      </c>
      <c r="T29" s="243" t="s">
        <v>46</v>
      </c>
      <c r="U29" s="244"/>
      <c r="V29" s="245"/>
      <c r="W29" s="249" t="s">
        <v>72</v>
      </c>
      <c r="X29" s="250"/>
      <c r="Y29" s="251"/>
      <c r="Z29" s="253" t="s">
        <v>41</v>
      </c>
      <c r="AA29" s="255" t="s">
        <v>44</v>
      </c>
      <c r="AB29" s="113" t="s">
        <v>42</v>
      </c>
      <c r="AC29" s="121" t="s">
        <v>43</v>
      </c>
      <c r="AD29" s="102"/>
      <c r="AE29"/>
    </row>
    <row r="30" spans="1:30" ht="16.5" customHeight="1" thickTop="1">
      <c r="A30" s="13"/>
      <c r="B30" s="81"/>
      <c r="C30" s="135"/>
      <c r="D30" s="135"/>
      <c r="E30" s="136"/>
      <c r="F30" s="137"/>
      <c r="G30" s="238"/>
      <c r="H30" s="239"/>
      <c r="I30" s="240"/>
      <c r="J30" s="236"/>
      <c r="K30" s="138"/>
      <c r="L30" s="14"/>
      <c r="M30" s="14"/>
      <c r="N30" s="48"/>
      <c r="O30" s="48"/>
      <c r="P30" s="14"/>
      <c r="Q30" s="216"/>
      <c r="R30" s="328"/>
      <c r="S30" s="329"/>
      <c r="T30" s="330"/>
      <c r="U30" s="295"/>
      <c r="V30" s="331"/>
      <c r="W30" s="332"/>
      <c r="X30" s="333"/>
      <c r="Y30" s="334"/>
      <c r="Z30" s="335"/>
      <c r="AA30" s="336"/>
      <c r="AB30" s="337"/>
      <c r="AC30" s="338"/>
      <c r="AD30" s="100"/>
    </row>
    <row r="31" spans="1:30" ht="16.5" customHeight="1">
      <c r="A31" s="13"/>
      <c r="B31" s="81"/>
      <c r="C31" s="442" t="s">
        <v>134</v>
      </c>
      <c r="D31" s="26" t="s">
        <v>117</v>
      </c>
      <c r="E31" s="26">
        <v>500</v>
      </c>
      <c r="F31" s="26">
        <v>227</v>
      </c>
      <c r="G31" s="215" t="s">
        <v>2</v>
      </c>
      <c r="H31" s="237">
        <f>IF(G31="A",200,IF(G31="B",60,20))</f>
        <v>20</v>
      </c>
      <c r="I31" s="234">
        <f>IF(F31&gt;100,F31,100)*$F$20/100</f>
        <v>204.22963</v>
      </c>
      <c r="J31" s="458">
        <v>38619.5375</v>
      </c>
      <c r="K31" s="445">
        <v>38619.55416666667</v>
      </c>
      <c r="L31" s="339">
        <f>IF(D31="","",(K31-J31)*24)</f>
        <v>0.4000000000814907</v>
      </c>
      <c r="M31" s="20">
        <f>IF(D31="","",ROUND((K31-J31)*24*60,0))</f>
        <v>24</v>
      </c>
      <c r="N31" s="17" t="s">
        <v>125</v>
      </c>
      <c r="O31" s="18" t="str">
        <f>IF(D31="","","--")</f>
        <v>--</v>
      </c>
      <c r="P31" s="15" t="str">
        <f>IF(D31="","","NO")</f>
        <v>NO</v>
      </c>
      <c r="Q31" s="15" t="str">
        <f>IF(D31="","",IF(OR(N31="P",N31="RP"),"--","NO"))</f>
        <v>NO</v>
      </c>
      <c r="R31" s="340" t="str">
        <f>IF(N31="P",+I31*H31*ROUND(M31/60,2)/100,"--")</f>
        <v>--</v>
      </c>
      <c r="S31" s="341" t="str">
        <f>IF(N31="RP",I31*H31*ROUND(M31/60,2)*0.01*O31/100,"--")</f>
        <v>--</v>
      </c>
      <c r="T31" s="342">
        <f>IF(AND(N31="F",Q31="NO"),IF(P31="SI",1.2,1)*I31*H31,"--")</f>
        <v>4084.5926</v>
      </c>
      <c r="U31" s="343">
        <f>IF(AND(M31&gt;10,N31="F"),IF(M31&lt;=300,ROUND(M31/60,2),5)*I31*H31*IF(P31="SI",1.2,1),"--")</f>
        <v>1633.83704</v>
      </c>
      <c r="V31" s="344" t="str">
        <f>IF(AND(N31="F",M31&gt;300),IF(P31="SI",1.2,1)*(ROUND(M31/60,2)-5)*I31*H31*0.1,"--")</f>
        <v>--</v>
      </c>
      <c r="W31" s="345" t="str">
        <f>IF(AND(N31="R",Q31="NO"),IF(P31="SI",1.2,1)*I31*H31*O31/100,"--")</f>
        <v>--</v>
      </c>
      <c r="X31" s="346" t="str">
        <f>IF(AND(M31&gt;10,N31="R"),IF(M31&lt;=300,ROUND(M31/60,2),5)*I31*H31*O31/100*IF(P31="SI",1.2,1),"--")</f>
        <v>--</v>
      </c>
      <c r="Y31" s="347" t="str">
        <f>IF(AND(N31="R",M31&gt;300),IF(P31="SI",1.2,1)*(ROUND(M31/60,2)-5)*I31*H31*O31/100*0.1,"--")</f>
        <v>--</v>
      </c>
      <c r="Z31" s="348" t="str">
        <f>IF(N31="RF",IF(P31="SI",1.2,1)*ROUND(M31/60,2)*I31*H31*0.1,"--")</f>
        <v>--</v>
      </c>
      <c r="AA31" s="349" t="str">
        <f>IF(N31="RR",IF(P31="SI",1.2,1)*ROUND(M31/60,2)*I31*H31*O31/100*0.1,"--")</f>
        <v>--</v>
      </c>
      <c r="AB31" s="183" t="str">
        <f>IF(D31="","","SI")</f>
        <v>SI</v>
      </c>
      <c r="AC31" s="19">
        <f>IF(D31="","",SUM(R31:AA31)*IF(AB31="SI",1,2))</f>
        <v>5718.42964</v>
      </c>
      <c r="AD31" s="103"/>
    </row>
    <row r="32" spans="1:30" ht="16.5" customHeight="1" thickBot="1">
      <c r="A32" s="63"/>
      <c r="B32" s="81"/>
      <c r="C32" s="134"/>
      <c r="D32" s="134"/>
      <c r="E32" s="139"/>
      <c r="F32" s="140"/>
      <c r="G32" s="141"/>
      <c r="H32" s="233"/>
      <c r="I32" s="235"/>
      <c r="J32" s="142"/>
      <c r="K32" s="142"/>
      <c r="L32" s="21"/>
      <c r="M32" s="21"/>
      <c r="N32" s="21"/>
      <c r="O32" s="22"/>
      <c r="P32" s="21"/>
      <c r="Q32" s="21"/>
      <c r="R32" s="350"/>
      <c r="S32" s="351"/>
      <c r="T32" s="352"/>
      <c r="U32" s="353"/>
      <c r="V32" s="354"/>
      <c r="W32" s="355"/>
      <c r="X32" s="356"/>
      <c r="Y32" s="357"/>
      <c r="Z32" s="358"/>
      <c r="AA32" s="359"/>
      <c r="AB32" s="23"/>
      <c r="AC32" s="360"/>
      <c r="AD32" s="103"/>
    </row>
    <row r="33" spans="1:30" ht="16.5" customHeight="1" thickBot="1" thickTop="1">
      <c r="A33" s="63"/>
      <c r="B33" s="81"/>
      <c r="C33" s="143"/>
      <c r="D33" s="143"/>
      <c r="E33" s="144"/>
      <c r="F33" s="145"/>
      <c r="G33" s="132"/>
      <c r="H33" s="460"/>
      <c r="I33" s="461"/>
      <c r="J33" s="146"/>
      <c r="K33" s="146"/>
      <c r="L33" s="24"/>
      <c r="M33" s="24"/>
      <c r="N33" s="24"/>
      <c r="O33" s="25"/>
      <c r="P33" s="24"/>
      <c r="Q33" s="24"/>
      <c r="R33" s="350"/>
      <c r="S33" s="351"/>
      <c r="T33" s="462"/>
      <c r="U33" s="463"/>
      <c r="V33" s="354"/>
      <c r="W33" s="464"/>
      <c r="X33" s="465"/>
      <c r="Y33" s="357"/>
      <c r="Z33" s="358"/>
      <c r="AA33" s="359"/>
      <c r="AB33" s="466"/>
      <c r="AC33" s="467">
        <f>SUM(AC31:AC32)</f>
        <v>5718.42964</v>
      </c>
      <c r="AD33" s="103"/>
    </row>
    <row r="34" spans="1:30" ht="16.5" customHeight="1" thickBot="1" thickTop="1">
      <c r="A34" s="63"/>
      <c r="B34" s="81"/>
      <c r="C34" s="143"/>
      <c r="D34" s="143"/>
      <c r="E34" s="144"/>
      <c r="F34" s="145"/>
      <c r="G34" s="132"/>
      <c r="H34" s="460"/>
      <c r="I34" s="461"/>
      <c r="J34" s="146"/>
      <c r="K34" s="146"/>
      <c r="L34" s="24"/>
      <c r="M34" s="24"/>
      <c r="N34" s="24"/>
      <c r="O34" s="25"/>
      <c r="P34" s="24"/>
      <c r="Q34" s="24"/>
      <c r="R34" s="468"/>
      <c r="S34" s="351"/>
      <c r="T34" s="462"/>
      <c r="U34" s="463"/>
      <c r="V34" s="469"/>
      <c r="W34" s="470"/>
      <c r="X34" s="470"/>
      <c r="Y34" s="471"/>
      <c r="Z34" s="472"/>
      <c r="AA34" s="473"/>
      <c r="AB34" s="474"/>
      <c r="AC34" s="475"/>
      <c r="AD34" s="103"/>
    </row>
    <row r="35" spans="1:30" s="13" customFormat="1" ht="33.75" customHeight="1" thickBot="1" thickTop="1">
      <c r="A35" s="41"/>
      <c r="B35" s="115"/>
      <c r="C35" s="117" t="s">
        <v>25</v>
      </c>
      <c r="D35" s="119" t="s">
        <v>47</v>
      </c>
      <c r="E35" s="118" t="s">
        <v>15</v>
      </c>
      <c r="F35" s="484" t="s">
        <v>48</v>
      </c>
      <c r="G35" s="485"/>
      <c r="H35" s="181" t="s">
        <v>30</v>
      </c>
      <c r="I35" s="118" t="s">
        <v>31</v>
      </c>
      <c r="J35" s="106" t="s">
        <v>31</v>
      </c>
      <c r="K35" s="107" t="s">
        <v>32</v>
      </c>
      <c r="L35" s="119" t="s">
        <v>34</v>
      </c>
      <c r="M35" s="111" t="s">
        <v>53</v>
      </c>
      <c r="N35" s="111" t="s">
        <v>36</v>
      </c>
      <c r="O35" s="107" t="s">
        <v>37</v>
      </c>
      <c r="P35" s="490" t="s">
        <v>38</v>
      </c>
      <c r="Q35" s="491"/>
      <c r="R35" s="274"/>
      <c r="S35" s="284" t="s">
        <v>41</v>
      </c>
      <c r="T35" s="114" t="s">
        <v>42</v>
      </c>
      <c r="U35" s="121" t="s">
        <v>43</v>
      </c>
      <c r="V35" s="100"/>
      <c r="X35"/>
      <c r="Y35"/>
      <c r="AB35" s="114" t="s">
        <v>42</v>
      </c>
      <c r="AC35" s="121" t="s">
        <v>43</v>
      </c>
      <c r="AD35" s="82"/>
    </row>
    <row r="36" spans="1:30" ht="16.5" customHeight="1" thickTop="1">
      <c r="A36" s="13"/>
      <c r="B36" s="81"/>
      <c r="C36" s="135"/>
      <c r="D36" s="135"/>
      <c r="E36" s="476"/>
      <c r="F36" s="486"/>
      <c r="G36" s="487"/>
      <c r="H36" s="237"/>
      <c r="I36" s="240"/>
      <c r="J36" s="236"/>
      <c r="K36" s="138"/>
      <c r="L36" s="477"/>
      <c r="M36" s="216"/>
      <c r="N36" s="178"/>
      <c r="O36" s="216"/>
      <c r="P36" s="494">
        <f>IF(D36="","",IF(OR(#REF!="P",#REF!="RP"),"--","NO"))</f>
      </c>
      <c r="Q36" s="495"/>
      <c r="R36" s="478"/>
      <c r="T36" s="330"/>
      <c r="U36" s="295"/>
      <c r="V36" s="331"/>
      <c r="W36" s="332"/>
      <c r="X36" s="333"/>
      <c r="Y36" s="334"/>
      <c r="Z36" s="335"/>
      <c r="AA36" s="336"/>
      <c r="AB36" s="337"/>
      <c r="AC36" s="338"/>
      <c r="AD36" s="479"/>
    </row>
    <row r="37" spans="1:30" ht="16.5" customHeight="1">
      <c r="A37" s="13"/>
      <c r="B37" s="81"/>
      <c r="C37" s="442"/>
      <c r="D37" s="456"/>
      <c r="E37" s="456"/>
      <c r="F37" s="488"/>
      <c r="G37" s="489"/>
      <c r="H37" s="237"/>
      <c r="I37" s="447"/>
      <c r="J37" s="443"/>
      <c r="K37" s="445"/>
      <c r="L37" s="16"/>
      <c r="M37" s="446"/>
      <c r="N37" s="18"/>
      <c r="O37" s="15"/>
      <c r="P37" s="492"/>
      <c r="Q37" s="493"/>
      <c r="R37" s="480"/>
      <c r="S37" s="341"/>
      <c r="T37" s="342"/>
      <c r="U37" s="343"/>
      <c r="V37" s="344"/>
      <c r="W37" s="345"/>
      <c r="X37" s="346"/>
      <c r="Y37" s="347"/>
      <c r="Z37" s="348"/>
      <c r="AA37" s="349"/>
      <c r="AB37" s="183"/>
      <c r="AC37" s="19"/>
      <c r="AD37" s="479"/>
    </row>
    <row r="38" spans="1:30" ht="16.5" customHeight="1">
      <c r="A38" s="13"/>
      <c r="B38" s="81"/>
      <c r="C38" s="442"/>
      <c r="D38" s="456"/>
      <c r="E38" s="456"/>
      <c r="F38" s="488"/>
      <c r="G38" s="489"/>
      <c r="H38" s="237"/>
      <c r="I38" s="447"/>
      <c r="J38" s="443"/>
      <c r="K38" s="445"/>
      <c r="L38" s="16"/>
      <c r="M38" s="446"/>
      <c r="N38" s="18"/>
      <c r="O38" s="15"/>
      <c r="P38" s="492"/>
      <c r="Q38" s="493"/>
      <c r="R38" s="480"/>
      <c r="S38" s="341"/>
      <c r="T38" s="342"/>
      <c r="U38" s="343"/>
      <c r="V38" s="344"/>
      <c r="W38" s="345"/>
      <c r="X38" s="346"/>
      <c r="Y38" s="347"/>
      <c r="Z38" s="348"/>
      <c r="AA38" s="349"/>
      <c r="AB38" s="183"/>
      <c r="AC38" s="19"/>
      <c r="AD38" s="479"/>
    </row>
    <row r="39" spans="1:30" ht="16.5" customHeight="1" thickBot="1">
      <c r="A39" s="63"/>
      <c r="B39" s="81"/>
      <c r="C39" s="134"/>
      <c r="D39" s="134"/>
      <c r="E39" s="139"/>
      <c r="F39" s="497"/>
      <c r="G39" s="498"/>
      <c r="H39" s="233"/>
      <c r="I39" s="235"/>
      <c r="J39" s="142"/>
      <c r="K39" s="142"/>
      <c r="L39" s="21"/>
      <c r="M39" s="21"/>
      <c r="N39" s="21"/>
      <c r="O39" s="22"/>
      <c r="P39" s="499"/>
      <c r="Q39" s="500"/>
      <c r="R39" s="350"/>
      <c r="S39" s="351"/>
      <c r="T39" s="352"/>
      <c r="U39" s="353"/>
      <c r="V39" s="354"/>
      <c r="W39" s="355"/>
      <c r="X39" s="356"/>
      <c r="Y39" s="357"/>
      <c r="Z39" s="358"/>
      <c r="AA39" s="359"/>
      <c r="AB39" s="23"/>
      <c r="AC39" s="360"/>
      <c r="AD39" s="103"/>
    </row>
    <row r="40" spans="1:30" ht="16.5" customHeight="1" thickBot="1" thickTop="1">
      <c r="A40" s="63"/>
      <c r="B40" s="81"/>
      <c r="C40" s="143"/>
      <c r="D40" s="143"/>
      <c r="E40" s="144"/>
      <c r="F40" s="145"/>
      <c r="G40" s="132"/>
      <c r="H40" s="460"/>
      <c r="I40" s="461"/>
      <c r="J40" s="146"/>
      <c r="K40" s="146"/>
      <c r="L40" s="24"/>
      <c r="M40" s="24"/>
      <c r="N40" s="24"/>
      <c r="O40" s="25"/>
      <c r="P40" s="24"/>
      <c r="Q40" s="24"/>
      <c r="R40" s="350"/>
      <c r="S40" s="351"/>
      <c r="T40" s="462"/>
      <c r="U40" s="463"/>
      <c r="V40" s="354"/>
      <c r="W40" s="464"/>
      <c r="X40" s="465"/>
      <c r="Y40" s="357"/>
      <c r="Z40" s="358"/>
      <c r="AA40" s="359"/>
      <c r="AB40" s="466"/>
      <c r="AC40" s="467">
        <f>SUM(AC38:AC38)</f>
        <v>0</v>
      </c>
      <c r="AD40" s="103"/>
    </row>
    <row r="41" spans="1:30" ht="16.5" customHeight="1" thickBot="1" thickTop="1">
      <c r="A41" s="63"/>
      <c r="B41" s="81"/>
      <c r="C41" s="143"/>
      <c r="D41" s="143"/>
      <c r="E41" s="144"/>
      <c r="F41" s="145"/>
      <c r="G41" s="132"/>
      <c r="H41" s="132"/>
      <c r="I41" s="146"/>
      <c r="J41" s="146"/>
      <c r="K41" s="146"/>
      <c r="L41" s="146"/>
      <c r="M41" s="146"/>
      <c r="N41" s="146"/>
      <c r="O41" s="147"/>
      <c r="P41" s="146"/>
      <c r="Q41" s="146"/>
      <c r="R41" s="241">
        <f aca="true" t="shared" si="0" ref="R41:AA41">SUM(R30:R32)</f>
        <v>0</v>
      </c>
      <c r="S41" s="242">
        <f t="shared" si="0"/>
        <v>0</v>
      </c>
      <c r="T41" s="246">
        <f t="shared" si="0"/>
        <v>4084.5926</v>
      </c>
      <c r="U41" s="246">
        <f t="shared" si="0"/>
        <v>1633.83704</v>
      </c>
      <c r="V41" s="246">
        <f t="shared" si="0"/>
        <v>0</v>
      </c>
      <c r="W41" s="252">
        <f t="shared" si="0"/>
        <v>0</v>
      </c>
      <c r="X41" s="252">
        <f t="shared" si="0"/>
        <v>0</v>
      </c>
      <c r="Y41" s="252">
        <f t="shared" si="0"/>
        <v>0</v>
      </c>
      <c r="Z41" s="254">
        <f t="shared" si="0"/>
        <v>0</v>
      </c>
      <c r="AA41" s="256">
        <f t="shared" si="0"/>
        <v>0</v>
      </c>
      <c r="AB41" s="211"/>
      <c r="AC41" s="211"/>
      <c r="AD41" s="103"/>
    </row>
    <row r="42" spans="1:30" ht="13.5" customHeight="1" hidden="1" thickBot="1" thickTop="1">
      <c r="A42" s="63"/>
      <c r="B42" s="81"/>
      <c r="C42" s="143"/>
      <c r="D42" s="143"/>
      <c r="E42" s="144"/>
      <c r="F42" s="145"/>
      <c r="G42" s="132"/>
      <c r="H42" s="132"/>
      <c r="I42" s="146"/>
      <c r="J42" s="146"/>
      <c r="K42" s="146"/>
      <c r="L42" s="146"/>
      <c r="M42" s="146"/>
      <c r="N42" s="146"/>
      <c r="O42" s="147"/>
      <c r="P42" s="146"/>
      <c r="Q42" s="146"/>
      <c r="R42" s="362"/>
      <c r="S42" s="363"/>
      <c r="T42" s="364"/>
      <c r="U42" s="364"/>
      <c r="V42" s="364"/>
      <c r="W42" s="362"/>
      <c r="X42" s="362"/>
      <c r="Y42" s="362"/>
      <c r="Z42" s="362"/>
      <c r="AA42" s="362"/>
      <c r="AB42" s="291"/>
      <c r="AC42" s="174"/>
      <c r="AD42" s="103"/>
    </row>
    <row r="43" spans="1:33" s="13" customFormat="1" ht="33.75" customHeight="1" hidden="1" thickBot="1" thickTop="1">
      <c r="A43" s="41"/>
      <c r="B43" s="115"/>
      <c r="C43" s="117" t="s">
        <v>25</v>
      </c>
      <c r="D43" s="119" t="s">
        <v>47</v>
      </c>
      <c r="E43" s="118" t="s">
        <v>15</v>
      </c>
      <c r="F43" s="120" t="s">
        <v>48</v>
      </c>
      <c r="G43" s="121" t="s">
        <v>26</v>
      </c>
      <c r="H43" s="181" t="s">
        <v>30</v>
      </c>
      <c r="I43" s="365"/>
      <c r="J43" s="118" t="s">
        <v>31</v>
      </c>
      <c r="K43" s="118" t="s">
        <v>32</v>
      </c>
      <c r="L43" s="119" t="s">
        <v>49</v>
      </c>
      <c r="M43" s="119" t="s">
        <v>34</v>
      </c>
      <c r="N43" s="111" t="s">
        <v>53</v>
      </c>
      <c r="O43" s="118" t="s">
        <v>38</v>
      </c>
      <c r="P43" s="366" t="s">
        <v>50</v>
      </c>
      <c r="Q43" s="367"/>
      <c r="R43" s="181" t="s">
        <v>73</v>
      </c>
      <c r="S43" s="281" t="s">
        <v>39</v>
      </c>
      <c r="T43" s="273" t="s">
        <v>74</v>
      </c>
      <c r="U43" s="274"/>
      <c r="V43" s="284" t="s">
        <v>41</v>
      </c>
      <c r="W43" s="368"/>
      <c r="X43" s="369"/>
      <c r="Y43" s="369"/>
      <c r="Z43" s="369"/>
      <c r="AA43" s="370"/>
      <c r="AB43" s="114"/>
      <c r="AC43" s="121"/>
      <c r="AD43" s="100"/>
      <c r="AF43"/>
      <c r="AG43"/>
    </row>
    <row r="44" spans="1:30" ht="16.5" customHeight="1" hidden="1" thickTop="1">
      <c r="A44" s="13"/>
      <c r="B44" s="81"/>
      <c r="C44" s="27"/>
      <c r="D44" s="27"/>
      <c r="E44" s="27"/>
      <c r="F44" s="27"/>
      <c r="G44" s="190"/>
      <c r="H44" s="258"/>
      <c r="I44" s="371"/>
      <c r="J44" s="27"/>
      <c r="K44" s="27"/>
      <c r="L44" s="27"/>
      <c r="M44" s="27"/>
      <c r="N44" s="27"/>
      <c r="O44" s="191"/>
      <c r="P44" s="372"/>
      <c r="Q44" s="373"/>
      <c r="R44" s="285"/>
      <c r="S44" s="286"/>
      <c r="T44" s="275"/>
      <c r="U44" s="276"/>
      <c r="V44" s="287"/>
      <c r="W44" s="374"/>
      <c r="X44" s="375"/>
      <c r="Y44" s="375"/>
      <c r="Z44" s="375"/>
      <c r="AA44" s="376"/>
      <c r="AB44" s="191"/>
      <c r="AC44" s="192"/>
      <c r="AD44" s="100"/>
    </row>
    <row r="45" spans="1:30" ht="16.5" customHeight="1" hidden="1">
      <c r="A45" s="13"/>
      <c r="B45" s="81"/>
      <c r="C45" s="27"/>
      <c r="D45" s="28"/>
      <c r="E45" s="29"/>
      <c r="F45" s="30"/>
      <c r="G45" s="31"/>
      <c r="H45" s="259" t="e">
        <f>F45*#REF!</f>
        <v>#REF!</v>
      </c>
      <c r="I45" s="377"/>
      <c r="J45" s="34"/>
      <c r="K45" s="34"/>
      <c r="L45" s="35">
        <f>IF(D45="","",(K45-J45)*24)</f>
      </c>
      <c r="M45" s="36">
        <f>IF(D45="","",(K45-J45)*24*60)</f>
      </c>
      <c r="N45" s="32"/>
      <c r="O45" s="37">
        <f>IF(D45="","",IF(N45="P","--","NO"))</f>
      </c>
      <c r="P45" s="378">
        <f>IF(D45="","","NO")</f>
      </c>
      <c r="Q45" s="379"/>
      <c r="R45" s="230">
        <f>200*IF(P45="SI",1,0.1)*IF(N45="P",0.1,1)</f>
        <v>20</v>
      </c>
      <c r="S45" s="282" t="str">
        <f>IF(N45="P",H45*R45*ROUND(M45/60,2),"--")</f>
        <v>--</v>
      </c>
      <c r="T45" s="277" t="str">
        <f>IF(AND(N45="F",O45="NO"),H45*R45,"--")</f>
        <v>--</v>
      </c>
      <c r="U45" s="278" t="str">
        <f>IF(N45="F",H45*R45*ROUND(M45/60,2),"--")</f>
        <v>--</v>
      </c>
      <c r="V45" s="228" t="str">
        <f>IF(N45="RF",H45*R45*ROUND(M45/60,2),"--")</f>
        <v>--</v>
      </c>
      <c r="W45" s="380"/>
      <c r="X45" s="381"/>
      <c r="Y45" s="381"/>
      <c r="Z45" s="381"/>
      <c r="AA45" s="382"/>
      <c r="AB45" s="38"/>
      <c r="AC45" s="122"/>
      <c r="AD45" s="103"/>
    </row>
    <row r="46" spans="1:30" ht="16.5" customHeight="1" hidden="1">
      <c r="A46" s="13"/>
      <c r="B46" s="81"/>
      <c r="C46" s="27"/>
      <c r="D46" s="28"/>
      <c r="E46" s="29"/>
      <c r="F46" s="30"/>
      <c r="G46" s="31"/>
      <c r="H46" s="259" t="e">
        <f>F46*#REF!</f>
        <v>#REF!</v>
      </c>
      <c r="I46" s="377"/>
      <c r="J46" s="33"/>
      <c r="K46" s="34"/>
      <c r="L46" s="35">
        <f>IF(D46="","",(K46-J46)*24)</f>
      </c>
      <c r="M46" s="36">
        <f>IF(D46="","",(K46-J46)*24*60)</f>
      </c>
      <c r="N46" s="32"/>
      <c r="O46" s="37">
        <f>IF(D46="","",IF(N46="P","--","NO"))</f>
      </c>
      <c r="P46" s="378">
        <f>IF(D46="","","NO")</f>
      </c>
      <c r="Q46" s="379"/>
      <c r="R46" s="230">
        <f>200*IF(P46="SI",1,0.1)*IF(N46="P",0.1,1)</f>
        <v>20</v>
      </c>
      <c r="S46" s="282" t="str">
        <f>IF(N46="P",H46*R46*ROUND(M46/60,2),"--")</f>
        <v>--</v>
      </c>
      <c r="T46" s="277" t="str">
        <f>IF(AND(N46="F",O46="NO"),H46*R46,"--")</f>
        <v>--</v>
      </c>
      <c r="U46" s="278" t="str">
        <f>IF(N46="F",H46*R46*ROUND(M46/60,2),"--")</f>
        <v>--</v>
      </c>
      <c r="V46" s="228" t="str">
        <f>IF(N46="RF",H46*R46*ROUND(M46/60,2),"--")</f>
        <v>--</v>
      </c>
      <c r="W46" s="380"/>
      <c r="X46" s="381"/>
      <c r="Y46" s="381"/>
      <c r="Z46" s="381"/>
      <c r="AA46" s="382"/>
      <c r="AB46" s="38"/>
      <c r="AC46" s="122"/>
      <c r="AD46" s="103"/>
    </row>
    <row r="47" spans="1:30" ht="16.5" customHeight="1" hidden="1">
      <c r="A47" s="13"/>
      <c r="B47" s="81"/>
      <c r="C47" s="27"/>
      <c r="D47" s="28"/>
      <c r="E47" s="29"/>
      <c r="F47" s="30"/>
      <c r="G47" s="31"/>
      <c r="H47" s="259" t="e">
        <f>F47*#REF!</f>
        <v>#REF!</v>
      </c>
      <c r="I47" s="377"/>
      <c r="J47" s="33"/>
      <c r="K47" s="34"/>
      <c r="L47" s="35">
        <f>IF(D47="","",(K47-J47)*24)</f>
      </c>
      <c r="M47" s="36">
        <f>IF(D47="","",(K47-J47)*24*60)</f>
      </c>
      <c r="N47" s="32"/>
      <c r="O47" s="37">
        <f>IF(D47="","",IF(N47="P","--","NO"))</f>
      </c>
      <c r="P47" s="378">
        <f>IF(D47="","","NO")</f>
      </c>
      <c r="Q47" s="379"/>
      <c r="R47" s="230">
        <f>200*IF(P47="SI",1,0.1)*IF(N47="P",0.1,1)</f>
        <v>20</v>
      </c>
      <c r="S47" s="282" t="str">
        <f>IF(N47="P",H47*R47*ROUND(M47/60,2),"--")</f>
        <v>--</v>
      </c>
      <c r="T47" s="277" t="str">
        <f>IF(AND(N47="F",O47="NO"),H47*R47,"--")</f>
        <v>--</v>
      </c>
      <c r="U47" s="278" t="str">
        <f>IF(N47="F",H47*R47*ROUND(M47/60,2),"--")</f>
        <v>--</v>
      </c>
      <c r="V47" s="228" t="str">
        <f>IF(N47="RF",H47*R47*ROUND(M47/60,2),"--")</f>
        <v>--</v>
      </c>
      <c r="W47" s="380"/>
      <c r="X47" s="381"/>
      <c r="Y47" s="381"/>
      <c r="Z47" s="381"/>
      <c r="AA47" s="382"/>
      <c r="AB47" s="38"/>
      <c r="AC47" s="122"/>
      <c r="AD47" s="103"/>
    </row>
    <row r="48" spans="1:30" ht="16.5" customHeight="1" hidden="1">
      <c r="A48" s="13"/>
      <c r="B48" s="81"/>
      <c r="C48" s="27"/>
      <c r="D48" s="28"/>
      <c r="E48" s="29"/>
      <c r="F48" s="30"/>
      <c r="G48" s="31"/>
      <c r="H48" s="259" t="e">
        <f>F48*#REF!</f>
        <v>#REF!</v>
      </c>
      <c r="I48" s="377"/>
      <c r="J48" s="33"/>
      <c r="K48" s="34"/>
      <c r="L48" s="35">
        <f>IF(D48="","",(K48-J48)*24)</f>
      </c>
      <c r="M48" s="36">
        <f>IF(D48="","",(K48-J48)*24*60)</f>
      </c>
      <c r="N48" s="32"/>
      <c r="O48" s="37">
        <f>IF(D48="","",IF(N48="P","--","NO"))</f>
      </c>
      <c r="P48" s="378">
        <f>IF(D48="","","NO")</f>
      </c>
      <c r="Q48" s="379"/>
      <c r="R48" s="230">
        <f>200*IF(P48="SI",1,0.1)*IF(N48="P",0.1,1)</f>
        <v>20</v>
      </c>
      <c r="S48" s="282" t="str">
        <f>IF(N48="P",H48*R48*ROUND(M48/60,2),"--")</f>
        <v>--</v>
      </c>
      <c r="T48" s="277" t="str">
        <f>IF(AND(N48="F",O48="NO"),H48*R48,"--")</f>
        <v>--</v>
      </c>
      <c r="U48" s="278" t="str">
        <f>IF(N48="F",H48*R48*ROUND(M48/60,2),"--")</f>
        <v>--</v>
      </c>
      <c r="V48" s="228" t="str">
        <f>IF(N48="RF",H48*R48*ROUND(M48/60,2),"--")</f>
        <v>--</v>
      </c>
      <c r="W48" s="380"/>
      <c r="X48" s="381"/>
      <c r="Y48" s="381"/>
      <c r="Z48" s="381"/>
      <c r="AA48" s="382"/>
      <c r="AB48" s="38"/>
      <c r="AC48" s="122"/>
      <c r="AD48" s="103"/>
    </row>
    <row r="49" spans="1:30" ht="16.5" customHeight="1" hidden="1" thickBot="1">
      <c r="A49" s="63"/>
      <c r="B49" s="81"/>
      <c r="C49" s="39"/>
      <c r="D49" s="193"/>
      <c r="E49" s="194"/>
      <c r="F49" s="195"/>
      <c r="G49" s="196"/>
      <c r="H49" s="260"/>
      <c r="I49" s="383"/>
      <c r="J49" s="197"/>
      <c r="K49" s="198"/>
      <c r="L49" s="199"/>
      <c r="M49" s="200"/>
      <c r="N49" s="40"/>
      <c r="O49" s="21"/>
      <c r="P49" s="384"/>
      <c r="Q49" s="385"/>
      <c r="R49" s="231"/>
      <c r="S49" s="283"/>
      <c r="T49" s="279"/>
      <c r="U49" s="280"/>
      <c r="V49" s="232"/>
      <c r="W49" s="386"/>
      <c r="X49" s="387"/>
      <c r="Y49" s="387"/>
      <c r="Z49" s="387"/>
      <c r="AA49" s="388"/>
      <c r="AB49" s="201"/>
      <c r="AC49" s="202"/>
      <c r="AD49" s="103"/>
    </row>
    <row r="50" spans="1:30" ht="16.5" customHeight="1" hidden="1" thickBot="1" thickTop="1">
      <c r="A50" s="63"/>
      <c r="B50" s="81"/>
      <c r="C50" s="116"/>
      <c r="D50" s="1"/>
      <c r="E50" s="1"/>
      <c r="F50" s="125"/>
      <c r="G50" s="203"/>
      <c r="H50" s="204"/>
      <c r="I50" s="205"/>
      <c r="J50" s="206"/>
      <c r="K50" s="207"/>
      <c r="L50" s="208"/>
      <c r="M50" s="204"/>
      <c r="N50" s="209"/>
      <c r="O50" s="24"/>
      <c r="P50" s="210"/>
      <c r="Q50" s="211"/>
      <c r="R50" s="212"/>
      <c r="S50" s="212"/>
      <c r="T50" s="212"/>
      <c r="U50" s="179"/>
      <c r="V50" s="179"/>
      <c r="W50" s="179"/>
      <c r="X50" s="179"/>
      <c r="Y50" s="179"/>
      <c r="Z50" s="179"/>
      <c r="AA50" s="179"/>
      <c r="AB50" s="179"/>
      <c r="AC50" s="213"/>
      <c r="AD50" s="103"/>
    </row>
    <row r="51" spans="1:30" ht="16.5" customHeight="1" thickBot="1" thickTop="1">
      <c r="A51" s="63"/>
      <c r="B51" s="81"/>
      <c r="C51" s="116"/>
      <c r="D51" s="1"/>
      <c r="E51" s="1"/>
      <c r="F51" s="125"/>
      <c r="G51" s="203"/>
      <c r="H51" s="204"/>
      <c r="I51" s="205"/>
      <c r="J51" s="326" t="s">
        <v>75</v>
      </c>
      <c r="K51" s="327">
        <f>+AC33+AC40</f>
        <v>5718.42964</v>
      </c>
      <c r="L51" s="208"/>
      <c r="M51" s="204"/>
      <c r="N51" s="389"/>
      <c r="O51" s="390"/>
      <c r="P51" s="210"/>
      <c r="Q51" s="211"/>
      <c r="R51" s="212"/>
      <c r="S51" s="212"/>
      <c r="T51" s="212"/>
      <c r="U51" s="179"/>
      <c r="V51" s="179"/>
      <c r="W51" s="179"/>
      <c r="X51" s="179"/>
      <c r="Y51" s="179"/>
      <c r="Z51" s="179"/>
      <c r="AA51" s="179"/>
      <c r="AB51" s="179"/>
      <c r="AC51" s="391"/>
      <c r="AD51" s="103"/>
    </row>
    <row r="52" spans="1:30" ht="13.5" customHeight="1" thickTop="1">
      <c r="A52" s="63"/>
      <c r="B52" s="149"/>
      <c r="C52" s="143"/>
      <c r="D52" s="150"/>
      <c r="E52" s="151"/>
      <c r="F52" s="152"/>
      <c r="G52" s="153"/>
      <c r="H52" s="153"/>
      <c r="I52" s="151"/>
      <c r="J52" s="131"/>
      <c r="K52" s="131"/>
      <c r="L52" s="151"/>
      <c r="M52" s="151"/>
      <c r="N52" s="151"/>
      <c r="O52" s="154"/>
      <c r="P52" s="151"/>
      <c r="Q52" s="151"/>
      <c r="R52" s="155"/>
      <c r="S52" s="156"/>
      <c r="T52" s="156"/>
      <c r="U52" s="157"/>
      <c r="AC52" s="157"/>
      <c r="AD52" s="160"/>
    </row>
    <row r="53" spans="1:30" ht="16.5" customHeight="1">
      <c r="A53" s="63"/>
      <c r="B53" s="149"/>
      <c r="C53" s="161" t="s">
        <v>76</v>
      </c>
      <c r="D53" s="162" t="s">
        <v>77</v>
      </c>
      <c r="E53" s="151"/>
      <c r="F53" s="152"/>
      <c r="G53" s="153"/>
      <c r="H53" s="153"/>
      <c r="I53" s="151"/>
      <c r="J53" s="131"/>
      <c r="K53" s="131"/>
      <c r="L53" s="151"/>
      <c r="M53" s="151"/>
      <c r="N53" s="151"/>
      <c r="O53" s="154"/>
      <c r="P53" s="151"/>
      <c r="Q53" s="151"/>
      <c r="R53" s="155"/>
      <c r="S53" s="156"/>
      <c r="T53" s="156"/>
      <c r="U53" s="157"/>
      <c r="AC53" s="157"/>
      <c r="AD53" s="160"/>
    </row>
    <row r="54" spans="1:30" ht="16.5" customHeight="1">
      <c r="A54" s="63"/>
      <c r="B54" s="149"/>
      <c r="C54" s="161"/>
      <c r="D54" s="150"/>
      <c r="E54" s="151"/>
      <c r="F54" s="152"/>
      <c r="G54" s="153"/>
      <c r="H54" s="153"/>
      <c r="I54" s="151"/>
      <c r="J54" s="131"/>
      <c r="K54" s="131"/>
      <c r="L54" s="151"/>
      <c r="M54" s="151"/>
      <c r="N54" s="151"/>
      <c r="O54" s="154"/>
      <c r="P54" s="151"/>
      <c r="Q54" s="151"/>
      <c r="R54" s="151"/>
      <c r="S54" s="155"/>
      <c r="T54" s="156"/>
      <c r="AD54" s="160"/>
    </row>
    <row r="55" spans="2:30" s="63" customFormat="1" ht="16.5" customHeight="1">
      <c r="B55" s="149"/>
      <c r="C55" s="143"/>
      <c r="D55" s="171" t="s">
        <v>18</v>
      </c>
      <c r="E55" s="146" t="s">
        <v>78</v>
      </c>
      <c r="F55" s="146" t="s">
        <v>79</v>
      </c>
      <c r="G55" s="301" t="s">
        <v>80</v>
      </c>
      <c r="H55" s="147"/>
      <c r="I55" s="146"/>
      <c r="J55"/>
      <c r="K55" s="496" t="s">
        <v>81</v>
      </c>
      <c r="L55" s="496"/>
      <c r="M55"/>
      <c r="O55" s="300" t="s">
        <v>88</v>
      </c>
      <c r="P55" s="163"/>
      <c r="Q55" s="164"/>
      <c r="R55" s="165"/>
      <c r="S55" s="65"/>
      <c r="T55"/>
      <c r="U55"/>
      <c r="V55"/>
      <c r="W55"/>
      <c r="X55" s="65"/>
      <c r="Y55" s="65"/>
      <c r="Z55" s="65"/>
      <c r="AA55" s="65"/>
      <c r="AB55" s="65"/>
      <c r="AC55" s="392" t="s">
        <v>82</v>
      </c>
      <c r="AD55" s="160"/>
    </row>
    <row r="56" spans="2:30" s="63" customFormat="1" ht="16.5" customHeight="1">
      <c r="B56" s="149"/>
      <c r="C56" s="143"/>
      <c r="D56" s="146" t="s">
        <v>101</v>
      </c>
      <c r="E56" s="396">
        <v>267</v>
      </c>
      <c r="F56" s="214">
        <v>500</v>
      </c>
      <c r="G56" s="294">
        <f>E56*$F$20*$L$21/100</f>
        <v>172956.4056</v>
      </c>
      <c r="H56" s="294">
        <f>F56*$F$20*$L$21/100</f>
        <v>323888.4</v>
      </c>
      <c r="I56" s="294">
        <f>G56*$F$20*$L$21/100</f>
        <v>112037146.95907007</v>
      </c>
      <c r="J56" s="3"/>
      <c r="K56" s="296">
        <f>378647+47888</f>
        <v>426535</v>
      </c>
      <c r="L56" s="3"/>
      <c r="M56" s="459" t="s">
        <v>132</v>
      </c>
      <c r="R56" s="165"/>
      <c r="S56" s="65"/>
      <c r="T56"/>
      <c r="U56"/>
      <c r="V56"/>
      <c r="W56"/>
      <c r="X56" s="65"/>
      <c r="Y56" s="65"/>
      <c r="Z56" s="65"/>
      <c r="AA56" s="65"/>
      <c r="AB56" s="393"/>
      <c r="AC56" s="270">
        <f>K56+G56</f>
        <v>599491.4055999999</v>
      </c>
      <c r="AD56" s="160"/>
    </row>
    <row r="57" spans="2:30" s="63" customFormat="1" ht="16.5" customHeight="1">
      <c r="B57" s="149"/>
      <c r="C57" s="143"/>
      <c r="D57" s="146" t="s">
        <v>102</v>
      </c>
      <c r="E57" s="396">
        <f>3*3.6</f>
        <v>10.8</v>
      </c>
      <c r="F57" s="214">
        <v>500</v>
      </c>
      <c r="G57" s="294">
        <f>E57*$F$20*$L$21/100</f>
        <v>6995.98944</v>
      </c>
      <c r="H57" s="167"/>
      <c r="I57" s="257"/>
      <c r="J57" s="3"/>
      <c r="K57" s="294">
        <f>6147+3058</f>
        <v>9205</v>
      </c>
      <c r="L57" s="3"/>
      <c r="M57" s="459" t="s">
        <v>132</v>
      </c>
      <c r="O57" s="166"/>
      <c r="P57"/>
      <c r="Q57" s="165"/>
      <c r="R57" s="165"/>
      <c r="S57" s="65"/>
      <c r="T57"/>
      <c r="U57"/>
      <c r="V57"/>
      <c r="W57"/>
      <c r="X57" s="65"/>
      <c r="Y57" s="65"/>
      <c r="Z57" s="65"/>
      <c r="AA57" s="65"/>
      <c r="AB57" s="65"/>
      <c r="AC57" s="270">
        <f>K57+G57</f>
        <v>16200.989440000001</v>
      </c>
      <c r="AD57" s="160"/>
    </row>
    <row r="58" spans="2:30" s="63" customFormat="1" ht="16.5" customHeight="1">
      <c r="B58" s="149"/>
      <c r="C58" s="143"/>
      <c r="E58" s="133"/>
      <c r="F58" s="146"/>
      <c r="G58" s="147"/>
      <c r="H58"/>
      <c r="I58" s="146"/>
      <c r="J58" s="146"/>
      <c r="K58"/>
      <c r="L58" s="270"/>
      <c r="M58" s="164"/>
      <c r="N58" s="164"/>
      <c r="O58" s="296">
        <v>0</v>
      </c>
      <c r="P58" s="3"/>
      <c r="Q58" s="299"/>
      <c r="R58" s="165"/>
      <c r="S58" s="65"/>
      <c r="T58"/>
      <c r="U58"/>
      <c r="V58"/>
      <c r="W58"/>
      <c r="X58" s="65"/>
      <c r="Y58" s="65"/>
      <c r="Z58" s="65"/>
      <c r="AA58" s="65"/>
      <c r="AB58" s="65"/>
      <c r="AC58" s="397">
        <f>+O58</f>
        <v>0</v>
      </c>
      <c r="AD58" s="160"/>
    </row>
    <row r="59" spans="1:30" ht="16.5" customHeight="1">
      <c r="A59" s="63"/>
      <c r="B59" s="149"/>
      <c r="C59" s="143"/>
      <c r="D59" s="131"/>
      <c r="E59" s="133"/>
      <c r="F59" s="146"/>
      <c r="G59" s="146"/>
      <c r="H59" s="147"/>
      <c r="J59" s="146"/>
      <c r="L59" s="168"/>
      <c r="M59" s="164"/>
      <c r="N59" s="164"/>
      <c r="O59" s="165"/>
      <c r="P59" s="165"/>
      <c r="Q59" s="165"/>
      <c r="R59" s="165"/>
      <c r="S59" s="165"/>
      <c r="AC59" s="268">
        <f>SUM(AC56:AC58)</f>
        <v>615692.39504</v>
      </c>
      <c r="AD59" s="160"/>
    </row>
    <row r="60" spans="2:30" ht="16.5" customHeight="1">
      <c r="B60" s="149"/>
      <c r="C60" s="161" t="s">
        <v>95</v>
      </c>
      <c r="D60" s="169" t="s">
        <v>96</v>
      </c>
      <c r="E60" s="146"/>
      <c r="F60" s="170"/>
      <c r="G60" s="132"/>
      <c r="H60" s="131"/>
      <c r="I60" s="131"/>
      <c r="J60" s="131"/>
      <c r="K60" s="146"/>
      <c r="L60" s="146"/>
      <c r="M60" s="131"/>
      <c r="N60" s="146"/>
      <c r="O60" s="131"/>
      <c r="P60" s="131"/>
      <c r="Q60" s="131"/>
      <c r="R60" s="131"/>
      <c r="S60" s="131"/>
      <c r="T60" s="131"/>
      <c r="U60" s="131"/>
      <c r="AC60" s="131"/>
      <c r="AD60" s="160"/>
    </row>
    <row r="61" spans="2:30" s="63" customFormat="1" ht="16.5" customHeight="1">
      <c r="B61" s="149"/>
      <c r="C61" s="143"/>
      <c r="D61" s="171" t="s">
        <v>97</v>
      </c>
      <c r="E61" s="172">
        <f>10*K51*K25/AC59</f>
        <v>2859.358896857432</v>
      </c>
      <c r="G61" s="132"/>
      <c r="L61" s="146"/>
      <c r="N61" s="146"/>
      <c r="O61" s="147"/>
      <c r="V61"/>
      <c r="W61"/>
      <c r="AD61" s="160"/>
    </row>
    <row r="62" spans="2:30" s="63" customFormat="1" ht="16.5" customHeight="1">
      <c r="B62" s="149"/>
      <c r="C62" s="143"/>
      <c r="E62" s="293"/>
      <c r="F62" s="145"/>
      <c r="G62" s="132"/>
      <c r="J62" s="132"/>
      <c r="K62" s="174"/>
      <c r="L62" s="146"/>
      <c r="M62" s="146"/>
      <c r="N62" s="146"/>
      <c r="O62" s="147"/>
      <c r="P62" s="146"/>
      <c r="Q62" s="146"/>
      <c r="R62" s="291"/>
      <c r="S62" s="291"/>
      <c r="T62" s="291"/>
      <c r="U62" s="292"/>
      <c r="V62"/>
      <c r="W62"/>
      <c r="AC62" s="292"/>
      <c r="AD62" s="160"/>
    </row>
    <row r="63" spans="2:30" ht="16.5" customHeight="1">
      <c r="B63" s="149"/>
      <c r="C63" s="143"/>
      <c r="D63" s="175" t="s">
        <v>103</v>
      </c>
      <c r="E63" s="173"/>
      <c r="F63" s="145"/>
      <c r="G63" s="132"/>
      <c r="H63" s="131"/>
      <c r="I63" s="131"/>
      <c r="N63" s="146"/>
      <c r="O63" s="147"/>
      <c r="P63" s="146"/>
      <c r="Q63" s="146"/>
      <c r="R63" s="163"/>
      <c r="S63" s="163"/>
      <c r="T63" s="163"/>
      <c r="U63" s="164"/>
      <c r="AC63" s="164"/>
      <c r="AD63" s="160"/>
    </row>
    <row r="64" spans="2:30" ht="16.5" customHeight="1" thickBot="1">
      <c r="B64" s="149"/>
      <c r="C64" s="143"/>
      <c r="D64" s="175"/>
      <c r="E64" s="173"/>
      <c r="F64" s="145"/>
      <c r="G64" s="132"/>
      <c r="H64" s="131"/>
      <c r="I64" s="131"/>
      <c r="N64" s="146"/>
      <c r="O64" s="147"/>
      <c r="P64" s="146"/>
      <c r="Q64" s="146"/>
      <c r="R64" s="163"/>
      <c r="S64" s="163"/>
      <c r="T64" s="163"/>
      <c r="U64" s="164"/>
      <c r="AC64" s="164"/>
      <c r="AD64" s="160"/>
    </row>
    <row r="65" spans="2:30" s="308" customFormat="1" ht="21" thickBot="1" thickTop="1">
      <c r="B65" s="302"/>
      <c r="C65" s="303"/>
      <c r="D65" s="304"/>
      <c r="E65" s="305"/>
      <c r="F65" s="306"/>
      <c r="G65" s="307"/>
      <c r="I65"/>
      <c r="J65" s="309" t="s">
        <v>99</v>
      </c>
      <c r="K65" s="310">
        <f>IF(E61&gt;3*K25,K25*3,E61)</f>
        <v>2859.358896857432</v>
      </c>
      <c r="M65" s="311"/>
      <c r="N65" s="311"/>
      <c r="O65" s="312"/>
      <c r="P65" s="311"/>
      <c r="Q65" s="311"/>
      <c r="R65" s="313"/>
      <c r="S65" s="313"/>
      <c r="T65" s="313"/>
      <c r="U65" s="314"/>
      <c r="V65"/>
      <c r="W65"/>
      <c r="AC65" s="314"/>
      <c r="AD65" s="315"/>
    </row>
    <row r="66" spans="2:30" ht="16.5" customHeight="1" thickBot="1" thickTop="1">
      <c r="B66" s="85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180"/>
      <c r="W66" s="180"/>
      <c r="X66" s="180"/>
      <c r="Y66" s="180"/>
      <c r="Z66" s="180"/>
      <c r="AA66" s="180"/>
      <c r="AB66" s="180"/>
      <c r="AC66" s="87"/>
      <c r="AD66" s="176"/>
    </row>
    <row r="67" spans="2:23" ht="16.5" customHeight="1" thickTop="1">
      <c r="B67" s="9"/>
      <c r="C67" s="394"/>
      <c r="W67" s="9"/>
    </row>
  </sheetData>
  <sheetProtection password="CC12"/>
  <mergeCells count="11">
    <mergeCell ref="K55:L55"/>
    <mergeCell ref="F39:G39"/>
    <mergeCell ref="P39:Q39"/>
    <mergeCell ref="F35:G35"/>
    <mergeCell ref="F36:G36"/>
    <mergeCell ref="F38:G38"/>
    <mergeCell ref="P35:Q35"/>
    <mergeCell ref="P38:Q38"/>
    <mergeCell ref="P36:Q36"/>
    <mergeCell ref="F37:G37"/>
    <mergeCell ref="P37:Q37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4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AG65"/>
  <sheetViews>
    <sheetView zoomScale="75" zoomScaleNormal="75" workbookViewId="0" topLeftCell="D13">
      <selection activeCell="F46" sqref="F46"/>
    </sheetView>
  </sheetViews>
  <sheetFormatPr defaultColWidth="11.421875" defaultRowHeight="12.75"/>
  <cols>
    <col min="1" max="1" width="44.8515625" style="0" customWidth="1"/>
    <col min="2" max="2" width="25.7109375" style="0" customWidth="1"/>
    <col min="3" max="3" width="4.7109375" style="0" customWidth="1"/>
    <col min="4" max="4" width="30.7109375" style="0" customWidth="1"/>
    <col min="5" max="5" width="20.7109375" style="0" customWidth="1"/>
    <col min="6" max="6" width="15.00390625" style="0" customWidth="1"/>
    <col min="7" max="7" width="14.7109375" style="0" customWidth="1"/>
    <col min="8" max="8" width="13.8515625" style="0" hidden="1" customWidth="1"/>
    <col min="9" max="9" width="18.7109375" style="0" hidden="1" customWidth="1"/>
    <col min="10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8.421875" style="0" customWidth="1"/>
    <col min="17" max="17" width="7.7109375" style="0" customWidth="1"/>
    <col min="18" max="18" width="13.140625" style="0" hidden="1" customWidth="1"/>
    <col min="19" max="19" width="12.421875" style="0" hidden="1" customWidth="1"/>
    <col min="20" max="20" width="17.57421875" style="0" hidden="1" customWidth="1"/>
    <col min="21" max="21" width="14.8515625" style="0" hidden="1" customWidth="1"/>
    <col min="22" max="22" width="20.7109375" style="0" hidden="1" customWidth="1"/>
    <col min="23" max="23" width="15.7109375" style="0" hidden="1" customWidth="1"/>
    <col min="24" max="24" width="17.7109375" style="0" hidden="1" customWidth="1"/>
    <col min="25" max="25" width="12.8515625" style="0" hidden="1" customWidth="1"/>
    <col min="26" max="26" width="14.28125" style="0" hidden="1" customWidth="1"/>
    <col min="27" max="27" width="24.28125" style="0" hidden="1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41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AD1" s="437"/>
    </row>
    <row r="2" spans="1:23" ht="27" customHeight="1">
      <c r="A2" s="41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30" s="325" customFormat="1" ht="30.75">
      <c r="A3" s="322"/>
      <c r="B3" s="323" t="str">
        <f>+'tot-0509-SUP'!B2</f>
        <v>ANEXO IV.1.b. a la Resolución E.N.R.E.   N° 122  /2008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AB3" s="324"/>
      <c r="AC3" s="324"/>
      <c r="AD3" s="324"/>
    </row>
    <row r="4" spans="1:2" s="56" customFormat="1" ht="11.25">
      <c r="A4" s="398" t="s">
        <v>16</v>
      </c>
      <c r="B4" s="408"/>
    </row>
    <row r="5" spans="1:2" s="56" customFormat="1" ht="12" thickBot="1">
      <c r="A5" s="398" t="s">
        <v>17</v>
      </c>
      <c r="B5" s="398"/>
    </row>
    <row r="6" spans="1:30" ht="16.5" customHeight="1" thickTop="1">
      <c r="A6" s="13"/>
      <c r="B6" s="96"/>
      <c r="C6" s="97"/>
      <c r="D6" s="97"/>
      <c r="E6" s="98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177"/>
      <c r="X6" s="177"/>
      <c r="Y6" s="177"/>
      <c r="Z6" s="177"/>
      <c r="AA6" s="177"/>
      <c r="AB6" s="177"/>
      <c r="AC6" s="177"/>
      <c r="AD6" s="99"/>
    </row>
    <row r="7" spans="1:30" ht="20.25">
      <c r="A7" s="13"/>
      <c r="B7" s="81"/>
      <c r="C7" s="11"/>
      <c r="D7" s="4" t="s">
        <v>54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8"/>
      <c r="Q7" s="128"/>
      <c r="R7" s="11"/>
      <c r="S7" s="11"/>
      <c r="T7" s="11"/>
      <c r="U7" s="11"/>
      <c r="V7" s="11"/>
      <c r="AD7" s="100"/>
    </row>
    <row r="8" spans="1:30" ht="16.5" customHeight="1">
      <c r="A8" s="13"/>
      <c r="B8" s="8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AD8" s="100"/>
    </row>
    <row r="9" spans="2:30" s="12" customFormat="1" ht="20.25">
      <c r="B9" s="76"/>
      <c r="C9" s="75"/>
      <c r="D9" s="4" t="s">
        <v>55</v>
      </c>
      <c r="E9" s="75"/>
      <c r="F9" s="75"/>
      <c r="G9" s="75"/>
      <c r="H9" s="75"/>
      <c r="N9" s="75"/>
      <c r="O9" s="75"/>
      <c r="P9" s="185"/>
      <c r="Q9" s="185"/>
      <c r="R9" s="75"/>
      <c r="S9" s="75"/>
      <c r="T9" s="75"/>
      <c r="U9" s="75"/>
      <c r="V9" s="75"/>
      <c r="W9"/>
      <c r="X9" s="75"/>
      <c r="Y9" s="75"/>
      <c r="Z9" s="75"/>
      <c r="AA9" s="75"/>
      <c r="AB9" s="75"/>
      <c r="AC9"/>
      <c r="AD9" s="186"/>
    </row>
    <row r="10" spans="1:30" ht="16.5" customHeight="1">
      <c r="A10" s="13"/>
      <c r="B10" s="8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AD10" s="100"/>
    </row>
    <row r="11" spans="2:30" s="12" customFormat="1" ht="20.25">
      <c r="B11" s="76"/>
      <c r="C11" s="75"/>
      <c r="D11" s="4" t="s">
        <v>119</v>
      </c>
      <c r="E11" s="75"/>
      <c r="F11" s="75"/>
      <c r="G11" s="75"/>
      <c r="H11" s="75"/>
      <c r="N11" s="75"/>
      <c r="O11" s="75"/>
      <c r="P11" s="185"/>
      <c r="Q11" s="185"/>
      <c r="R11" s="75"/>
      <c r="S11" s="75"/>
      <c r="T11" s="75"/>
      <c r="U11" s="75"/>
      <c r="V11" s="75"/>
      <c r="W11"/>
      <c r="X11" s="75"/>
      <c r="Y11" s="75"/>
      <c r="Z11" s="75"/>
      <c r="AA11" s="75"/>
      <c r="AB11" s="75"/>
      <c r="AC11"/>
      <c r="AD11" s="186"/>
    </row>
    <row r="12" spans="1:30" ht="16.5" customHeight="1">
      <c r="A12" s="13"/>
      <c r="B12" s="81"/>
      <c r="C12" s="11"/>
      <c r="D12" s="11"/>
      <c r="E12" s="13"/>
      <c r="F12" s="13"/>
      <c r="G12" s="13"/>
      <c r="H12" s="13"/>
      <c r="I12" s="101"/>
      <c r="J12" s="101"/>
      <c r="K12" s="101"/>
      <c r="L12" s="101"/>
      <c r="M12" s="101"/>
      <c r="N12" s="101"/>
      <c r="O12" s="101"/>
      <c r="P12" s="101"/>
      <c r="Q12" s="101"/>
      <c r="R12" s="11"/>
      <c r="S12" s="11"/>
      <c r="T12" s="11"/>
      <c r="U12" s="11"/>
      <c r="V12" s="11"/>
      <c r="AD12" s="100"/>
    </row>
    <row r="13" spans="2:30" s="12" customFormat="1" ht="19.5">
      <c r="B13" s="69" t="str">
        <f>+'tot-0509-SUP'!B14</f>
        <v>Desde el 01 al 30 de septiembre de 2005</v>
      </c>
      <c r="C13" s="70"/>
      <c r="D13" s="72"/>
      <c r="E13" s="72"/>
      <c r="F13" s="72"/>
      <c r="G13" s="72"/>
      <c r="H13" s="72"/>
      <c r="I13" s="73"/>
      <c r="J13" s="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188"/>
      <c r="V13" s="188"/>
      <c r="W13"/>
      <c r="X13" s="189"/>
      <c r="Y13" s="189"/>
      <c r="Z13" s="189"/>
      <c r="AA13" s="189"/>
      <c r="AB13" s="188"/>
      <c r="AC13" s="3"/>
      <c r="AD13" s="74"/>
    </row>
    <row r="14" spans="1:30" ht="16.5" customHeight="1">
      <c r="A14" s="13"/>
      <c r="B14" s="81"/>
      <c r="C14" s="11"/>
      <c r="D14" s="11"/>
      <c r="E14" s="2"/>
      <c r="F14" s="2"/>
      <c r="G14" s="11"/>
      <c r="H14" s="11"/>
      <c r="I14" s="11"/>
      <c r="J14" s="129"/>
      <c r="K14" s="11"/>
      <c r="L14" s="11"/>
      <c r="M14" s="11"/>
      <c r="N14" s="13"/>
      <c r="O14" s="13"/>
      <c r="P14" s="11"/>
      <c r="Q14" s="11"/>
      <c r="R14" s="11"/>
      <c r="S14" s="11"/>
      <c r="T14" s="11"/>
      <c r="U14" s="11"/>
      <c r="V14" s="11"/>
      <c r="AD14" s="100"/>
    </row>
    <row r="15" spans="1:30" ht="16.5" customHeight="1">
      <c r="A15" s="13"/>
      <c r="B15" s="81"/>
      <c r="C15" s="11"/>
      <c r="D15" s="11"/>
      <c r="E15" s="2"/>
      <c r="F15" s="2"/>
      <c r="G15" s="11"/>
      <c r="H15" s="11"/>
      <c r="I15" s="130"/>
      <c r="J15" s="11"/>
      <c r="K15" s="9"/>
      <c r="M15" s="11"/>
      <c r="N15" s="13"/>
      <c r="O15" s="13"/>
      <c r="P15" s="11"/>
      <c r="Q15" s="11"/>
      <c r="R15" s="11"/>
      <c r="S15" s="11"/>
      <c r="T15" s="11"/>
      <c r="U15" s="11"/>
      <c r="V15" s="11"/>
      <c r="AD15" s="100"/>
    </row>
    <row r="16" spans="1:30" ht="16.5" customHeight="1">
      <c r="A16" s="13"/>
      <c r="B16" s="81"/>
      <c r="C16" s="11"/>
      <c r="D16" s="11"/>
      <c r="E16" s="2"/>
      <c r="F16" s="2"/>
      <c r="G16" s="11"/>
      <c r="H16" s="11"/>
      <c r="I16" s="130"/>
      <c r="J16" s="11"/>
      <c r="K16" s="9"/>
      <c r="M16" s="11"/>
      <c r="N16" s="13"/>
      <c r="O16" s="13"/>
      <c r="P16" s="11"/>
      <c r="Q16" s="11"/>
      <c r="R16" s="11"/>
      <c r="S16" s="11"/>
      <c r="T16" s="11"/>
      <c r="U16" s="11"/>
      <c r="V16" s="11"/>
      <c r="AD16" s="100"/>
    </row>
    <row r="17" spans="1:30" ht="16.5" customHeight="1">
      <c r="A17" s="13"/>
      <c r="B17" s="81"/>
      <c r="C17" s="298" t="s">
        <v>56</v>
      </c>
      <c r="D17" s="10" t="s">
        <v>57</v>
      </c>
      <c r="E17" s="2"/>
      <c r="F17" s="2"/>
      <c r="G17" s="11"/>
      <c r="H17" s="11"/>
      <c r="I17" s="11"/>
      <c r="J17" s="129"/>
      <c r="K17" s="11"/>
      <c r="L17" s="11"/>
      <c r="M17" s="11"/>
      <c r="N17" s="13"/>
      <c r="O17" s="13"/>
      <c r="P17" s="11"/>
      <c r="Q17" s="11"/>
      <c r="R17" s="11"/>
      <c r="S17" s="11"/>
      <c r="T17" s="11"/>
      <c r="U17" s="11"/>
      <c r="V17" s="11"/>
      <c r="AD17" s="100"/>
    </row>
    <row r="18" spans="2:30" s="63" customFormat="1" ht="16.5" customHeight="1">
      <c r="B18" s="149"/>
      <c r="C18" s="65"/>
      <c r="D18" s="267"/>
      <c r="E18" s="268"/>
      <c r="F18" s="143"/>
      <c r="G18" s="65"/>
      <c r="H18" s="65"/>
      <c r="I18" s="65"/>
      <c r="J18" s="288"/>
      <c r="K18" s="65"/>
      <c r="L18" s="65"/>
      <c r="M18" s="65"/>
      <c r="P18" s="65"/>
      <c r="Q18" s="65"/>
      <c r="R18" s="65"/>
      <c r="S18" s="65"/>
      <c r="T18" s="65"/>
      <c r="U18" s="65"/>
      <c r="V18" s="65"/>
      <c r="W18"/>
      <c r="AD18" s="289"/>
    </row>
    <row r="19" spans="2:30" s="63" customFormat="1" ht="16.5" customHeight="1">
      <c r="B19" s="149"/>
      <c r="C19" s="65"/>
      <c r="D19" s="269" t="s">
        <v>58</v>
      </c>
      <c r="F19" s="316">
        <v>89.969</v>
      </c>
      <c r="G19" s="269" t="s">
        <v>59</v>
      </c>
      <c r="H19" s="65"/>
      <c r="I19" s="65"/>
      <c r="J19" s="133"/>
      <c r="K19" s="271" t="s">
        <v>60</v>
      </c>
      <c r="L19" s="272">
        <v>0.04</v>
      </c>
      <c r="R19" s="65"/>
      <c r="S19" s="65"/>
      <c r="T19" s="65"/>
      <c r="U19" s="65"/>
      <c r="V19" s="65"/>
      <c r="W19"/>
      <c r="AD19" s="289"/>
    </row>
    <row r="20" spans="2:30" s="63" customFormat="1" ht="16.5" customHeight="1">
      <c r="B20" s="149"/>
      <c r="C20" s="65"/>
      <c r="D20" s="269" t="s">
        <v>61</v>
      </c>
      <c r="F20" s="316">
        <v>0.245</v>
      </c>
      <c r="G20" s="269" t="s">
        <v>62</v>
      </c>
      <c r="H20" s="65"/>
      <c r="I20" s="65"/>
      <c r="J20" s="65"/>
      <c r="K20" s="267" t="s">
        <v>63</v>
      </c>
      <c r="L20" s="65">
        <v>720</v>
      </c>
      <c r="M20" s="65" t="s">
        <v>64</v>
      </c>
      <c r="N20" s="65"/>
      <c r="O20" s="65"/>
      <c r="P20" s="290"/>
      <c r="Q20" s="65"/>
      <c r="R20" s="65"/>
      <c r="S20" s="65"/>
      <c r="T20" s="65"/>
      <c r="U20" s="65"/>
      <c r="V20" s="65"/>
      <c r="W20"/>
      <c r="AD20" s="289"/>
    </row>
    <row r="21" spans="2:30" s="63" customFormat="1" ht="16.5" customHeight="1">
      <c r="B21" s="149"/>
      <c r="C21" s="65"/>
      <c r="D21" s="269" t="s">
        <v>65</v>
      </c>
      <c r="F21" s="316">
        <v>39.254</v>
      </c>
      <c r="G21" s="269" t="s">
        <v>128</v>
      </c>
      <c r="H21" s="65"/>
      <c r="I21" s="65"/>
      <c r="J21" s="65"/>
      <c r="K21" s="438"/>
      <c r="L21" s="439"/>
      <c r="M21" s="65"/>
      <c r="N21" s="65"/>
      <c r="O21" s="65"/>
      <c r="P21" s="290"/>
      <c r="Q21" s="65"/>
      <c r="R21" s="65"/>
      <c r="S21" s="65"/>
      <c r="T21" s="65"/>
      <c r="U21" s="65"/>
      <c r="V21" s="65"/>
      <c r="W21"/>
      <c r="AD21" s="289"/>
    </row>
    <row r="22" spans="2:30" s="63" customFormat="1" ht="16.5" customHeight="1">
      <c r="B22" s="149"/>
      <c r="C22" s="65"/>
      <c r="D22" s="269" t="s">
        <v>129</v>
      </c>
      <c r="F22" s="316">
        <v>49.065</v>
      </c>
      <c r="G22" s="269" t="s">
        <v>128</v>
      </c>
      <c r="H22" s="65"/>
      <c r="I22" s="65"/>
      <c r="J22" s="65"/>
      <c r="K22" s="438"/>
      <c r="L22" s="439"/>
      <c r="M22" s="65"/>
      <c r="N22" s="65"/>
      <c r="O22" s="65"/>
      <c r="P22" s="290"/>
      <c r="Q22" s="65"/>
      <c r="R22" s="65"/>
      <c r="S22" s="65"/>
      <c r="T22" s="65"/>
      <c r="U22" s="65"/>
      <c r="V22" s="65"/>
      <c r="W22"/>
      <c r="AD22" s="289"/>
    </row>
    <row r="23" spans="2:30" s="63" customFormat="1" ht="8.25" customHeight="1">
      <c r="B23" s="149"/>
      <c r="C23" s="65"/>
      <c r="D23" s="65"/>
      <c r="E23" s="14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/>
      <c r="AD23" s="289"/>
    </row>
    <row r="24" spans="1:30" ht="16.5" customHeight="1">
      <c r="A24" s="13"/>
      <c r="B24" s="81"/>
      <c r="C24" s="298" t="s">
        <v>66</v>
      </c>
      <c r="D24" s="64" t="s">
        <v>67</v>
      </c>
      <c r="I24" s="11"/>
      <c r="J24" s="63"/>
      <c r="O24" s="11"/>
      <c r="P24" s="11"/>
      <c r="Q24" s="11"/>
      <c r="R24" s="11"/>
      <c r="S24" s="11"/>
      <c r="T24" s="11"/>
      <c r="V24" s="11"/>
      <c r="X24" s="11"/>
      <c r="Y24" s="11"/>
      <c r="Z24" s="11"/>
      <c r="AA24" s="11"/>
      <c r="AB24" s="11"/>
      <c r="AC24" s="11"/>
      <c r="AD24" s="100"/>
    </row>
    <row r="25" spans="1:30" ht="10.5" customHeight="1" thickBot="1">
      <c r="A25" s="13"/>
      <c r="B25" s="81"/>
      <c r="C25" s="2"/>
      <c r="D25" s="64"/>
      <c r="I25" s="11"/>
      <c r="J25" s="63"/>
      <c r="O25" s="11"/>
      <c r="P25" s="11"/>
      <c r="Q25" s="11"/>
      <c r="R25" s="11"/>
      <c r="S25" s="11"/>
      <c r="T25" s="11"/>
      <c r="V25" s="11"/>
      <c r="X25" s="11"/>
      <c r="Y25" s="11"/>
      <c r="Z25" s="11"/>
      <c r="AA25" s="11"/>
      <c r="AB25" s="11"/>
      <c r="AC25" s="11"/>
      <c r="AD25" s="100"/>
    </row>
    <row r="26" spans="2:30" s="63" customFormat="1" ht="16.5" customHeight="1" thickBot="1" thickTop="1">
      <c r="B26" s="149"/>
      <c r="C26" s="143"/>
      <c r="D26"/>
      <c r="E26"/>
      <c r="F26"/>
      <c r="G26"/>
      <c r="H26"/>
      <c r="I26"/>
      <c r="J26" s="326" t="s">
        <v>68</v>
      </c>
      <c r="K26" s="327">
        <f>L19*AC57</f>
        <v>43633.63555200001</v>
      </c>
      <c r="L26"/>
      <c r="S26"/>
      <c r="T26"/>
      <c r="U26"/>
      <c r="W26"/>
      <c r="AD26" s="289"/>
    </row>
    <row r="27" spans="2:30" s="63" customFormat="1" ht="11.25" customHeight="1" thickTop="1">
      <c r="B27" s="149"/>
      <c r="C27" s="143"/>
      <c r="D27" s="65"/>
      <c r="E27" s="14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/>
      <c r="W27"/>
      <c r="AD27" s="289"/>
    </row>
    <row r="28" spans="1:30" ht="16.5" customHeight="1">
      <c r="A28" s="13"/>
      <c r="B28" s="81"/>
      <c r="C28" s="298" t="s">
        <v>69</v>
      </c>
      <c r="D28" s="64" t="s">
        <v>70</v>
      </c>
      <c r="E28" s="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AD28" s="100"/>
    </row>
    <row r="29" spans="1:30" ht="21.75" customHeight="1" thickBot="1">
      <c r="A29" s="13"/>
      <c r="B29" s="81"/>
      <c r="C29" s="11"/>
      <c r="D29" s="11"/>
      <c r="E29" s="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AD29" s="100"/>
    </row>
    <row r="30" spans="2:31" s="13" customFormat="1" ht="33.75" customHeight="1" thickBot="1" thickTop="1">
      <c r="B30" s="81"/>
      <c r="C30" s="104" t="s">
        <v>25</v>
      </c>
      <c r="D30" s="187" t="s">
        <v>18</v>
      </c>
      <c r="E30" s="109" t="s">
        <v>26</v>
      </c>
      <c r="F30" s="110" t="s">
        <v>27</v>
      </c>
      <c r="G30" s="105" t="s">
        <v>28</v>
      </c>
      <c r="H30" s="217" t="s">
        <v>29</v>
      </c>
      <c r="I30" s="220" t="s">
        <v>30</v>
      </c>
      <c r="J30" s="106" t="s">
        <v>31</v>
      </c>
      <c r="K30" s="107" t="s">
        <v>32</v>
      </c>
      <c r="L30" s="111" t="s">
        <v>33</v>
      </c>
      <c r="M30" s="112" t="s">
        <v>34</v>
      </c>
      <c r="N30" s="111" t="s">
        <v>71</v>
      </c>
      <c r="O30" s="111" t="s">
        <v>36</v>
      </c>
      <c r="P30" s="107" t="s">
        <v>37</v>
      </c>
      <c r="Q30" s="106" t="s">
        <v>38</v>
      </c>
      <c r="R30" s="247" t="s">
        <v>39</v>
      </c>
      <c r="S30" s="248" t="s">
        <v>40</v>
      </c>
      <c r="T30" s="243" t="s">
        <v>46</v>
      </c>
      <c r="U30" s="244"/>
      <c r="V30" s="245"/>
      <c r="W30" s="249" t="s">
        <v>72</v>
      </c>
      <c r="X30" s="250"/>
      <c r="Y30" s="251"/>
      <c r="Z30" s="253" t="s">
        <v>41</v>
      </c>
      <c r="AA30" s="255" t="s">
        <v>44</v>
      </c>
      <c r="AB30" s="113" t="s">
        <v>42</v>
      </c>
      <c r="AC30" s="121" t="s">
        <v>43</v>
      </c>
      <c r="AD30" s="102"/>
      <c r="AE30"/>
    </row>
    <row r="31" spans="1:30" ht="16.5" customHeight="1" thickTop="1">
      <c r="A31" s="13"/>
      <c r="B31" s="81"/>
      <c r="C31" s="135"/>
      <c r="D31" s="135"/>
      <c r="E31" s="136"/>
      <c r="F31" s="137"/>
      <c r="G31" s="238"/>
      <c r="H31" s="239"/>
      <c r="I31" s="240"/>
      <c r="J31" s="236"/>
      <c r="K31" s="138"/>
      <c r="L31" s="14"/>
      <c r="M31" s="14"/>
      <c r="N31" s="48"/>
      <c r="O31" s="48"/>
      <c r="P31" s="14"/>
      <c r="Q31" s="216"/>
      <c r="R31" s="328"/>
      <c r="S31" s="329"/>
      <c r="T31" s="330"/>
      <c r="U31" s="295"/>
      <c r="V31" s="331"/>
      <c r="W31" s="332"/>
      <c r="X31" s="333"/>
      <c r="Y31" s="334"/>
      <c r="Z31" s="335"/>
      <c r="AA31" s="336"/>
      <c r="AB31" s="337"/>
      <c r="AC31" s="338"/>
      <c r="AD31" s="100"/>
    </row>
    <row r="32" spans="1:30" ht="16.5" customHeight="1">
      <c r="A32" s="13"/>
      <c r="B32" s="81"/>
      <c r="C32" s="14" t="s">
        <v>135</v>
      </c>
      <c r="D32" s="452" t="s">
        <v>3</v>
      </c>
      <c r="E32" s="453">
        <v>500</v>
      </c>
      <c r="F32" s="452">
        <v>506</v>
      </c>
      <c r="G32" s="452" t="s">
        <v>2</v>
      </c>
      <c r="H32" s="237">
        <f>IF(G32="A",200,IF(G32="B",60,20))</f>
        <v>20</v>
      </c>
      <c r="I32" s="234">
        <f>IF(F32&gt;100,F32,100)*$F$19/100</f>
        <v>455.24314</v>
      </c>
      <c r="J32" s="443">
        <v>38597.08819444444</v>
      </c>
      <c r="K32" s="444">
        <v>38597.11597222222</v>
      </c>
      <c r="L32" s="339">
        <f>IF(D32="","",(K32-J32)*24)</f>
        <v>0.6666666667442769</v>
      </c>
      <c r="M32" s="20">
        <f>IF(D32="","",ROUND((K32-J32)*24*60,0))</f>
        <v>40</v>
      </c>
      <c r="N32" s="17" t="s">
        <v>131</v>
      </c>
      <c r="O32" s="18" t="str">
        <f>IF(D32="","","--")</f>
        <v>--</v>
      </c>
      <c r="P32" s="15" t="str">
        <f>IF(D32="","","NO")</f>
        <v>NO</v>
      </c>
      <c r="Q32" s="15" t="str">
        <f>IF(D32="","",IF(OR(N32="P",N32="RP"),"--","NO"))</f>
        <v>--</v>
      </c>
      <c r="R32" s="340">
        <f>IF(N32="P",+I32*H32*ROUND(M32/60,2)/100,"--")</f>
        <v>61.00258076</v>
      </c>
      <c r="S32" s="341" t="str">
        <f>IF(N32="RP",I32*H32*ROUND(M32/60,2)*0.01*O32/100,"--")</f>
        <v>--</v>
      </c>
      <c r="T32" s="342" t="str">
        <f>IF(AND(N32="F",Q32="NO"),IF(P32="SI",1.2,1)*I32*H32,"--")</f>
        <v>--</v>
      </c>
      <c r="U32" s="343" t="str">
        <f>IF(AND(M32&gt;10,N32="F"),IF(M32&lt;=300,ROUND(M32/60,2),5)*I32*H32*IF(P32="SI",1.2,1),"--")</f>
        <v>--</v>
      </c>
      <c r="V32" s="344" t="str">
        <f>IF(AND(N32="F",M32&gt;300),IF(P32="SI",1.2,1)*(ROUND(M32/60,2)-5)*I32*H32*0.1,"--")</f>
        <v>--</v>
      </c>
      <c r="W32" s="345" t="str">
        <f>IF(AND(N32="R",Q32="NO"),IF(P32="SI",1.2,1)*I32*H32*O32/100,"--")</f>
        <v>--</v>
      </c>
      <c r="X32" s="346" t="str">
        <f>IF(AND(M32&gt;10,N32="R"),IF(M32&lt;=300,ROUND(M32/60,2),5)*I32*H32*O32/100*IF(P32="SI",1.2,1),"--")</f>
        <v>--</v>
      </c>
      <c r="Y32" s="347" t="str">
        <f>IF(AND(N32="R",M32&gt;300),IF(P32="SI",1.2,1)*(ROUND(M32/60,2)-5)*I32*H32*O32/100*0.1,"--")</f>
        <v>--</v>
      </c>
      <c r="Z32" s="348" t="str">
        <f>IF(N32="RF",IF(P32="SI",1.2,1)*ROUND(M32/60,2)*I32*H32*0.1,"--")</f>
        <v>--</v>
      </c>
      <c r="AA32" s="349" t="str">
        <f>IF(N32="RR",IF(P32="SI",1.2,1)*ROUND(M32/60,2)*I32*H32*O32/100*0.1,"--")</f>
        <v>--</v>
      </c>
      <c r="AB32" s="183" t="str">
        <f>IF(D32="","","SI")</f>
        <v>SI</v>
      </c>
      <c r="AC32" s="19">
        <f>IF(D32="","",SUM(R32:AA32)*IF(AB32="SI",1,2))</f>
        <v>61.00258076</v>
      </c>
      <c r="AD32" s="103"/>
    </row>
    <row r="33" spans="1:30" ht="16.5" customHeight="1">
      <c r="A33" s="13"/>
      <c r="B33" s="81"/>
      <c r="C33" s="14" t="s">
        <v>136</v>
      </c>
      <c r="D33" s="454" t="s">
        <v>4</v>
      </c>
      <c r="E33" s="455">
        <v>500</v>
      </c>
      <c r="F33" s="454">
        <v>85</v>
      </c>
      <c r="G33" s="452" t="s">
        <v>2</v>
      </c>
      <c r="H33" s="237">
        <f>IF(G33="A",200,IF(G33="B",60,20))</f>
        <v>20</v>
      </c>
      <c r="I33" s="234">
        <f>IF(F33&gt;100,F33,100)*$F$19/100</f>
        <v>89.969</v>
      </c>
      <c r="J33" s="443">
        <v>38620.28402777778</v>
      </c>
      <c r="K33" s="444">
        <v>38620.510416666664</v>
      </c>
      <c r="L33" s="339">
        <f>IF(D33="","",(K33-J33)*24)</f>
        <v>5.43333333323244</v>
      </c>
      <c r="M33" s="20">
        <f>IF(D33="","",ROUND((K33-J33)*24*60,0))</f>
        <v>326</v>
      </c>
      <c r="N33" s="17" t="s">
        <v>131</v>
      </c>
      <c r="O33" s="18" t="str">
        <f>IF(D33="","","--")</f>
        <v>--</v>
      </c>
      <c r="P33" s="15" t="str">
        <f>IF(D33="","","NO")</f>
        <v>NO</v>
      </c>
      <c r="Q33" s="15" t="str">
        <f>IF(D33="","",IF(OR(N33="P",N33="RP"),"--","NO"))</f>
        <v>--</v>
      </c>
      <c r="R33" s="340">
        <f>IF(N33="P",+I33*H33*ROUND(M33/60,2)/100,"--")</f>
        <v>97.70633399999998</v>
      </c>
      <c r="S33" s="341" t="str">
        <f>IF(N33="RP",I33*H33*ROUND(M33/60,2)*0.01*O33/100,"--")</f>
        <v>--</v>
      </c>
      <c r="T33" s="342" t="str">
        <f>IF(AND(N33="F",Q33="NO"),IF(P33="SI",1.2,1)*I33*H33,"--")</f>
        <v>--</v>
      </c>
      <c r="U33" s="343" t="str">
        <f>IF(AND(M33&gt;10,N33="F"),IF(M33&lt;=300,ROUND(M33/60,2),5)*I33*H33*IF(P33="SI",1.2,1),"--")</f>
        <v>--</v>
      </c>
      <c r="V33" s="344" t="str">
        <f>IF(AND(N33="F",M33&gt;300),IF(P33="SI",1.2,1)*(ROUND(M33/60,2)-5)*I33*H33*0.1,"--")</f>
        <v>--</v>
      </c>
      <c r="W33" s="345" t="str">
        <f>IF(AND(N33="R",Q33="NO"),IF(P33="SI",1.2,1)*I33*H33*O33/100,"--")</f>
        <v>--</v>
      </c>
      <c r="X33" s="346" t="str">
        <f>IF(AND(M33&gt;10,N33="R"),IF(M33&lt;=300,ROUND(M33/60,2),5)*I33*H33*O33/100*IF(P33="SI",1.2,1),"--")</f>
        <v>--</v>
      </c>
      <c r="Y33" s="347" t="str">
        <f>IF(AND(N33="R",M33&gt;300),IF(P33="SI",1.2,1)*(ROUND(M33/60,2)-5)*I33*H33*O33/100*0.1,"--")</f>
        <v>--</v>
      </c>
      <c r="Z33" s="348" t="str">
        <f>IF(N33="RF",IF(P33="SI",1.2,1)*ROUND(M33/60,2)*I33*H33*0.1,"--")</f>
        <v>--</v>
      </c>
      <c r="AA33" s="349" t="str">
        <f>IF(N33="RR",IF(P33="SI",1.2,1)*ROUND(M33/60,2)*I33*H33*O33/100*0.1,"--")</f>
        <v>--</v>
      </c>
      <c r="AB33" s="183" t="str">
        <f>IF(D33="","","SI")</f>
        <v>SI</v>
      </c>
      <c r="AC33" s="19">
        <f>IF(D33="","",SUM(R33:AA33)*IF(AB33="SI",1,2))</f>
        <v>97.70633399999998</v>
      </c>
      <c r="AD33" s="103"/>
    </row>
    <row r="34" spans="1:30" ht="16.5" customHeight="1" thickBot="1">
      <c r="A34" s="63"/>
      <c r="B34" s="81"/>
      <c r="C34" s="134"/>
      <c r="D34" s="134"/>
      <c r="E34" s="139"/>
      <c r="F34" s="140"/>
      <c r="G34" s="141"/>
      <c r="H34" s="233"/>
      <c r="I34" s="235"/>
      <c r="J34" s="142"/>
      <c r="K34" s="142"/>
      <c r="L34" s="21"/>
      <c r="M34" s="21"/>
      <c r="N34" s="21"/>
      <c r="O34" s="22"/>
      <c r="P34" s="21"/>
      <c r="Q34" s="21"/>
      <c r="R34" s="350"/>
      <c r="S34" s="351"/>
      <c r="T34" s="352"/>
      <c r="U34" s="353"/>
      <c r="V34" s="354"/>
      <c r="W34" s="355"/>
      <c r="X34" s="356"/>
      <c r="Y34" s="357"/>
      <c r="Z34" s="358"/>
      <c r="AA34" s="359"/>
      <c r="AB34" s="23"/>
      <c r="AC34" s="360"/>
      <c r="AD34" s="103"/>
    </row>
    <row r="35" spans="1:30" ht="16.5" customHeight="1" thickBot="1" thickTop="1">
      <c r="A35" s="63"/>
      <c r="B35" s="81"/>
      <c r="C35" s="143"/>
      <c r="D35" s="143"/>
      <c r="E35" s="144"/>
      <c r="F35" s="145"/>
      <c r="G35" s="132"/>
      <c r="H35" s="132"/>
      <c r="I35" s="146"/>
      <c r="J35" s="146"/>
      <c r="K35" s="146"/>
      <c r="L35" s="146"/>
      <c r="M35" s="146"/>
      <c r="N35" s="146"/>
      <c r="O35" s="147"/>
      <c r="P35" s="146"/>
      <c r="Q35" s="146"/>
      <c r="R35" s="241">
        <f aca="true" t="shared" si="0" ref="R35:AA35">SUM(R31:R34)</f>
        <v>158.70891475999997</v>
      </c>
      <c r="S35" s="242">
        <f t="shared" si="0"/>
        <v>0</v>
      </c>
      <c r="T35" s="246">
        <f t="shared" si="0"/>
        <v>0</v>
      </c>
      <c r="U35" s="246">
        <f t="shared" si="0"/>
        <v>0</v>
      </c>
      <c r="V35" s="246">
        <f t="shared" si="0"/>
        <v>0</v>
      </c>
      <c r="W35" s="252">
        <f t="shared" si="0"/>
        <v>0</v>
      </c>
      <c r="X35" s="252">
        <f t="shared" si="0"/>
        <v>0</v>
      </c>
      <c r="Y35" s="252">
        <f t="shared" si="0"/>
        <v>0</v>
      </c>
      <c r="Z35" s="254">
        <f t="shared" si="0"/>
        <v>0</v>
      </c>
      <c r="AA35" s="256">
        <f t="shared" si="0"/>
        <v>0</v>
      </c>
      <c r="AB35" s="148"/>
      <c r="AC35" s="361">
        <f>SUM(AC31:AC34)</f>
        <v>158.70891475999997</v>
      </c>
      <c r="AD35" s="103"/>
    </row>
    <row r="36" spans="1:30" ht="13.5" customHeight="1" thickBot="1" thickTop="1">
      <c r="A36" s="63"/>
      <c r="B36" s="81"/>
      <c r="C36" s="143"/>
      <c r="D36" s="143"/>
      <c r="E36" s="144"/>
      <c r="F36" s="145"/>
      <c r="G36" s="132"/>
      <c r="H36" s="132"/>
      <c r="I36" s="146"/>
      <c r="J36" s="146"/>
      <c r="K36" s="146"/>
      <c r="L36" s="146"/>
      <c r="M36" s="146"/>
      <c r="N36" s="146"/>
      <c r="O36" s="147"/>
      <c r="P36" s="146"/>
      <c r="Q36" s="146"/>
      <c r="R36" s="362"/>
      <c r="S36" s="363"/>
      <c r="T36" s="364"/>
      <c r="U36" s="364"/>
      <c r="V36" s="364"/>
      <c r="W36" s="362"/>
      <c r="X36" s="362"/>
      <c r="Y36" s="362"/>
      <c r="Z36" s="362"/>
      <c r="AA36" s="362"/>
      <c r="AB36" s="291"/>
      <c r="AC36" s="174"/>
      <c r="AD36" s="103"/>
    </row>
    <row r="37" spans="1:33" s="13" customFormat="1" ht="33.75" customHeight="1" thickBot="1" thickTop="1">
      <c r="A37" s="41"/>
      <c r="B37" s="115"/>
      <c r="C37" s="117" t="s">
        <v>25</v>
      </c>
      <c r="D37" s="119" t="s">
        <v>47</v>
      </c>
      <c r="E37" s="118" t="s">
        <v>15</v>
      </c>
      <c r="F37" s="120" t="s">
        <v>48</v>
      </c>
      <c r="G37" s="121" t="s">
        <v>26</v>
      </c>
      <c r="H37" s="181" t="s">
        <v>30</v>
      </c>
      <c r="I37" s="365"/>
      <c r="J37" s="118" t="s">
        <v>31</v>
      </c>
      <c r="K37" s="118" t="s">
        <v>32</v>
      </c>
      <c r="L37" s="119" t="s">
        <v>49</v>
      </c>
      <c r="M37" s="119" t="s">
        <v>34</v>
      </c>
      <c r="N37" s="111" t="s">
        <v>53</v>
      </c>
      <c r="O37" s="118" t="s">
        <v>38</v>
      </c>
      <c r="P37" s="366" t="s">
        <v>50</v>
      </c>
      <c r="Q37" s="367"/>
      <c r="R37" s="181" t="s">
        <v>73</v>
      </c>
      <c r="S37" s="281" t="s">
        <v>39</v>
      </c>
      <c r="T37" s="273" t="s">
        <v>74</v>
      </c>
      <c r="U37" s="274"/>
      <c r="V37" s="284" t="s">
        <v>41</v>
      </c>
      <c r="W37" s="368"/>
      <c r="X37" s="369"/>
      <c r="Y37" s="369"/>
      <c r="Z37" s="369"/>
      <c r="AA37" s="370"/>
      <c r="AB37" s="114" t="s">
        <v>42</v>
      </c>
      <c r="AC37" s="121" t="s">
        <v>43</v>
      </c>
      <c r="AD37" s="100"/>
      <c r="AF37"/>
      <c r="AG37"/>
    </row>
    <row r="38" spans="1:30" ht="16.5" customHeight="1" thickTop="1">
      <c r="A38" s="13"/>
      <c r="B38" s="81"/>
      <c r="C38" s="27"/>
      <c r="D38" s="27"/>
      <c r="E38" s="27"/>
      <c r="F38" s="27"/>
      <c r="G38" s="190"/>
      <c r="H38" s="258"/>
      <c r="I38" s="371"/>
      <c r="J38" s="27"/>
      <c r="K38" s="27"/>
      <c r="L38" s="27"/>
      <c r="M38" s="27"/>
      <c r="N38" s="27"/>
      <c r="O38" s="191"/>
      <c r="P38" s="372"/>
      <c r="Q38" s="373"/>
      <c r="R38" s="285"/>
      <c r="S38" s="286"/>
      <c r="T38" s="275"/>
      <c r="U38" s="276"/>
      <c r="V38" s="287"/>
      <c r="W38" s="374"/>
      <c r="X38" s="375"/>
      <c r="Y38" s="375"/>
      <c r="Z38" s="375"/>
      <c r="AA38" s="376"/>
      <c r="AB38" s="191"/>
      <c r="AC38" s="192"/>
      <c r="AD38" s="100"/>
    </row>
    <row r="39" spans="1:30" ht="16.5" customHeight="1">
      <c r="A39" s="13"/>
      <c r="B39" s="81"/>
      <c r="C39" s="27"/>
      <c r="D39" s="28"/>
      <c r="E39" s="29"/>
      <c r="F39" s="30"/>
      <c r="G39" s="31"/>
      <c r="H39" s="259">
        <f>F39*$F$20</f>
        <v>0</v>
      </c>
      <c r="I39" s="377"/>
      <c r="J39" s="34"/>
      <c r="K39" s="34"/>
      <c r="L39" s="35">
        <f>IF(D39="","",(K39-J39)*24)</f>
      </c>
      <c r="M39" s="36">
        <f>IF(D39="","",(K39-J39)*24*60)</f>
      </c>
      <c r="N39" s="32"/>
      <c r="O39" s="37">
        <f>IF(D39="","",IF(OR(N39="P",N39="RP"),"--","NO"))</f>
      </c>
      <c r="P39" s="378">
        <f>IF(D39="","","NO")</f>
      </c>
      <c r="Q39" s="379"/>
      <c r="R39" s="230">
        <f>200*IF(P39="SI",1,0.1)*IF(N39="P",0.1,1)</f>
        <v>20</v>
      </c>
      <c r="S39" s="282" t="str">
        <f>IF(N39="P",H39*R39*ROUND(M39/60,2),"--")</f>
        <v>--</v>
      </c>
      <c r="T39" s="277" t="str">
        <f>IF(AND(N39="F",O39="NO"),H39*R39,"--")</f>
        <v>--</v>
      </c>
      <c r="U39" s="278" t="str">
        <f>IF(N39="F",H39*R39*ROUND(M39/60,2),"--")</f>
        <v>--</v>
      </c>
      <c r="V39" s="228" t="str">
        <f>IF(N39="RF",H39*R39*ROUND(M39/60,2),"--")</f>
        <v>--</v>
      </c>
      <c r="W39" s="380"/>
      <c r="X39" s="381"/>
      <c r="Y39" s="381"/>
      <c r="Z39" s="381"/>
      <c r="AA39" s="382"/>
      <c r="AB39" s="38">
        <f>IF(D39="","","SI")</f>
      </c>
      <c r="AC39" s="122">
        <f>IF(D39="","",SUM(S39:V39)*IF(AB39="SI",1,2))</f>
      </c>
      <c r="AD39" s="103"/>
    </row>
    <row r="40" spans="1:30" ht="16.5" customHeight="1" thickBot="1">
      <c r="A40" s="63"/>
      <c r="B40" s="81"/>
      <c r="C40" s="39"/>
      <c r="D40" s="193"/>
      <c r="E40" s="194"/>
      <c r="F40" s="195"/>
      <c r="G40" s="196"/>
      <c r="H40" s="260"/>
      <c r="I40" s="383"/>
      <c r="J40" s="197"/>
      <c r="K40" s="198"/>
      <c r="L40" s="199"/>
      <c r="M40" s="200"/>
      <c r="N40" s="40"/>
      <c r="O40" s="21"/>
      <c r="P40" s="384"/>
      <c r="Q40" s="385"/>
      <c r="R40" s="231"/>
      <c r="S40" s="283"/>
      <c r="T40" s="279"/>
      <c r="U40" s="280"/>
      <c r="V40" s="232"/>
      <c r="W40" s="386"/>
      <c r="X40" s="387"/>
      <c r="Y40" s="387"/>
      <c r="Z40" s="387"/>
      <c r="AA40" s="388"/>
      <c r="AB40" s="201"/>
      <c r="AC40" s="202"/>
      <c r="AD40" s="103"/>
    </row>
    <row r="41" spans="1:30" ht="16.5" customHeight="1" thickBot="1" thickTop="1">
      <c r="A41" s="63"/>
      <c r="B41" s="81"/>
      <c r="C41" s="116"/>
      <c r="D41" s="1"/>
      <c r="E41" s="1"/>
      <c r="F41" s="125"/>
      <c r="G41" s="203"/>
      <c r="H41" s="204"/>
      <c r="I41" s="205"/>
      <c r="J41" s="206"/>
      <c r="K41" s="207"/>
      <c r="L41" s="208"/>
      <c r="M41" s="204"/>
      <c r="N41" s="209"/>
      <c r="O41" s="24"/>
      <c r="P41" s="210"/>
      <c r="Q41" s="211"/>
      <c r="R41" s="212"/>
      <c r="S41" s="212"/>
      <c r="T41" s="212"/>
      <c r="U41" s="179"/>
      <c r="V41" s="179"/>
      <c r="W41" s="179"/>
      <c r="X41" s="179"/>
      <c r="Y41" s="179"/>
      <c r="Z41" s="179"/>
      <c r="AA41" s="179"/>
      <c r="AB41" s="179"/>
      <c r="AC41" s="213">
        <f>SUM(AC38:AC40)</f>
        <v>0</v>
      </c>
      <c r="AD41" s="103"/>
    </row>
    <row r="42" spans="1:30" ht="16.5" customHeight="1" thickBot="1" thickTop="1">
      <c r="A42" s="63"/>
      <c r="B42" s="81"/>
      <c r="C42" s="116"/>
      <c r="D42" s="1"/>
      <c r="E42" s="1"/>
      <c r="F42" s="125"/>
      <c r="G42" s="203"/>
      <c r="H42" s="204"/>
      <c r="I42" s="205"/>
      <c r="J42" s="326" t="s">
        <v>75</v>
      </c>
      <c r="K42" s="327">
        <f>+AC41+AC35</f>
        <v>158.70891475999997</v>
      </c>
      <c r="L42" s="208"/>
      <c r="M42" s="204"/>
      <c r="N42" s="389"/>
      <c r="O42" s="390"/>
      <c r="P42" s="210"/>
      <c r="Q42" s="211"/>
      <c r="R42" s="212"/>
      <c r="S42" s="212"/>
      <c r="T42" s="212"/>
      <c r="U42" s="179"/>
      <c r="V42" s="179"/>
      <c r="W42" s="179"/>
      <c r="X42" s="179"/>
      <c r="Y42" s="179"/>
      <c r="Z42" s="179"/>
      <c r="AA42" s="179"/>
      <c r="AB42" s="179"/>
      <c r="AC42" s="391"/>
      <c r="AD42" s="103"/>
    </row>
    <row r="43" spans="1:30" ht="13.5" customHeight="1" thickTop="1">
      <c r="A43" s="63"/>
      <c r="B43" s="149"/>
      <c r="C43" s="143"/>
      <c r="D43" s="150"/>
      <c r="E43" s="151"/>
      <c r="F43" s="152"/>
      <c r="G43" s="153"/>
      <c r="H43" s="153"/>
      <c r="I43" s="151"/>
      <c r="J43" s="131"/>
      <c r="K43" s="131"/>
      <c r="L43" s="151"/>
      <c r="M43" s="151"/>
      <c r="N43" s="151"/>
      <c r="O43" s="154"/>
      <c r="P43" s="151"/>
      <c r="Q43" s="151"/>
      <c r="R43" s="155"/>
      <c r="S43" s="156"/>
      <c r="T43" s="156"/>
      <c r="U43" s="157"/>
      <c r="AC43" s="157"/>
      <c r="AD43" s="160"/>
    </row>
    <row r="44" spans="1:30" ht="16.5" customHeight="1">
      <c r="A44" s="63"/>
      <c r="B44" s="149"/>
      <c r="C44" s="161" t="s">
        <v>76</v>
      </c>
      <c r="D44" s="162" t="s">
        <v>77</v>
      </c>
      <c r="E44" s="151"/>
      <c r="F44" s="152"/>
      <c r="G44" s="153"/>
      <c r="H44" s="153"/>
      <c r="I44" s="151"/>
      <c r="J44" s="131"/>
      <c r="K44" s="131"/>
      <c r="L44" s="151"/>
      <c r="M44" s="151"/>
      <c r="N44" s="151"/>
      <c r="O44" s="154"/>
      <c r="P44" s="151"/>
      <c r="Q44" s="151"/>
      <c r="R44" s="155"/>
      <c r="S44" s="156"/>
      <c r="T44" s="156"/>
      <c r="U44" s="157"/>
      <c r="AC44" s="157"/>
      <c r="AD44" s="160"/>
    </row>
    <row r="45" spans="1:30" ht="16.5" customHeight="1">
      <c r="A45" s="63"/>
      <c r="B45" s="149"/>
      <c r="C45" s="161"/>
      <c r="D45" s="150"/>
      <c r="E45" s="151"/>
      <c r="F45" s="152"/>
      <c r="G45" s="153"/>
      <c r="H45" s="153"/>
      <c r="I45" s="151"/>
      <c r="J45" s="131"/>
      <c r="K45" s="131"/>
      <c r="L45" s="151"/>
      <c r="M45" s="151"/>
      <c r="N45" s="151"/>
      <c r="O45" s="154"/>
      <c r="P45" s="151"/>
      <c r="Q45" s="151"/>
      <c r="R45" s="151"/>
      <c r="S45" s="155"/>
      <c r="T45" s="156"/>
      <c r="AD45" s="160"/>
    </row>
    <row r="46" spans="2:30" s="63" customFormat="1" ht="16.5" customHeight="1">
      <c r="B46" s="149"/>
      <c r="C46" s="143"/>
      <c r="D46" s="171" t="s">
        <v>18</v>
      </c>
      <c r="E46" s="146" t="s">
        <v>78</v>
      </c>
      <c r="F46" s="146" t="s">
        <v>79</v>
      </c>
      <c r="G46" s="301" t="s">
        <v>80</v>
      </c>
      <c r="H46" s="147"/>
      <c r="I46" s="146"/>
      <c r="J46"/>
      <c r="K46"/>
      <c r="L46" s="300" t="s">
        <v>81</v>
      </c>
      <c r="M46"/>
      <c r="N46"/>
      <c r="O46"/>
      <c r="P46"/>
      <c r="Q46" s="165"/>
      <c r="R46" s="165"/>
      <c r="S46" s="65"/>
      <c r="T46"/>
      <c r="U46"/>
      <c r="V46"/>
      <c r="W46"/>
      <c r="X46" s="65"/>
      <c r="Y46" s="65"/>
      <c r="Z46" s="65"/>
      <c r="AA46" s="65"/>
      <c r="AB46" s="65"/>
      <c r="AC46" s="392" t="s">
        <v>82</v>
      </c>
      <c r="AD46" s="160"/>
    </row>
    <row r="47" spans="2:30" s="63" customFormat="1" ht="16.5" customHeight="1">
      <c r="B47" s="149"/>
      <c r="C47" s="143"/>
      <c r="D47" s="146" t="s">
        <v>83</v>
      </c>
      <c r="E47" s="214">
        <v>506</v>
      </c>
      <c r="F47" s="214">
        <v>500</v>
      </c>
      <c r="G47" s="294">
        <f>E47*$F$19*$L$20/100</f>
        <v>327775.0608</v>
      </c>
      <c r="H47" s="294"/>
      <c r="I47" s="294"/>
      <c r="J47" s="3"/>
      <c r="K47"/>
      <c r="L47" s="296">
        <v>555395</v>
      </c>
      <c r="M47" s="3"/>
      <c r="N47" s="459" t="s">
        <v>132</v>
      </c>
      <c r="O47"/>
      <c r="P47"/>
      <c r="Q47" s="165"/>
      <c r="R47" s="165"/>
      <c r="S47" s="65"/>
      <c r="T47"/>
      <c r="U47"/>
      <c r="V47"/>
      <c r="W47"/>
      <c r="X47" s="65"/>
      <c r="Y47" s="65"/>
      <c r="Z47" s="65"/>
      <c r="AA47" s="65"/>
      <c r="AB47" s="393"/>
      <c r="AC47" s="270">
        <f>L47+G47</f>
        <v>883170.0608</v>
      </c>
      <c r="AD47" s="160"/>
    </row>
    <row r="48" spans="2:30" s="63" customFormat="1" ht="16.5" customHeight="1">
      <c r="B48" s="149"/>
      <c r="C48" s="143"/>
      <c r="D48" s="167" t="s">
        <v>84</v>
      </c>
      <c r="E48" s="214">
        <v>85</v>
      </c>
      <c r="F48" s="214">
        <v>500</v>
      </c>
      <c r="G48" s="294">
        <f>E48*$F$19*$L$20/100</f>
        <v>55061.028</v>
      </c>
      <c r="H48" s="167"/>
      <c r="I48" s="257"/>
      <c r="J48" s="3"/>
      <c r="K48"/>
      <c r="L48" s="294">
        <v>37903</v>
      </c>
      <c r="M48" s="3"/>
      <c r="N48" s="459" t="s">
        <v>132</v>
      </c>
      <c r="O48" s="166"/>
      <c r="P48"/>
      <c r="Q48" s="165"/>
      <c r="R48" s="165"/>
      <c r="S48" s="65"/>
      <c r="T48"/>
      <c r="U48"/>
      <c r="V48"/>
      <c r="W48"/>
      <c r="X48" s="65"/>
      <c r="Y48" s="65"/>
      <c r="Z48" s="65"/>
      <c r="AA48" s="65"/>
      <c r="AB48" s="65"/>
      <c r="AC48" s="270">
        <f>L48+G48</f>
        <v>92964.02799999999</v>
      </c>
      <c r="AD48" s="160"/>
    </row>
    <row r="49" spans="2:30" s="63" customFormat="1" ht="16.5" customHeight="1">
      <c r="B49" s="149"/>
      <c r="C49" s="143"/>
      <c r="E49" s="133"/>
      <c r="F49" s="146"/>
      <c r="G49" s="147"/>
      <c r="H49"/>
      <c r="I49" s="146"/>
      <c r="J49" s="146"/>
      <c r="K49"/>
      <c r="L49" s="270"/>
      <c r="M49" s="164"/>
      <c r="N49" s="164"/>
      <c r="O49" s="165"/>
      <c r="P49" s="165"/>
      <c r="Q49" s="165"/>
      <c r="R49" s="165"/>
      <c r="S49" s="65"/>
      <c r="T49"/>
      <c r="U49"/>
      <c r="V49"/>
      <c r="W49"/>
      <c r="X49" s="65"/>
      <c r="Y49" s="65"/>
      <c r="Z49" s="65"/>
      <c r="AA49" s="65"/>
      <c r="AB49" s="65"/>
      <c r="AC49" s="270"/>
      <c r="AD49" s="160"/>
    </row>
    <row r="50" spans="1:30" ht="16.5" customHeight="1">
      <c r="A50" s="63"/>
      <c r="B50" s="149"/>
      <c r="C50" s="143"/>
      <c r="D50" s="171" t="s">
        <v>85</v>
      </c>
      <c r="E50" s="146" t="s">
        <v>86</v>
      </c>
      <c r="F50" s="146" t="s">
        <v>79</v>
      </c>
      <c r="G50" s="301" t="s">
        <v>87</v>
      </c>
      <c r="I50" s="163"/>
      <c r="J50" s="146"/>
      <c r="L50" s="300" t="s">
        <v>88</v>
      </c>
      <c r="M50" s="163"/>
      <c r="N50" s="164"/>
      <c r="O50" s="165"/>
      <c r="P50" s="165"/>
      <c r="Q50" s="165"/>
      <c r="R50" s="165"/>
      <c r="S50" s="165"/>
      <c r="AC50" s="270">
        <f>+L51</f>
        <v>0</v>
      </c>
      <c r="AD50" s="160"/>
    </row>
    <row r="51" spans="1:30" ht="16.5" customHeight="1">
      <c r="A51" s="63"/>
      <c r="B51" s="149"/>
      <c r="C51" s="143"/>
      <c r="D51" s="146" t="s">
        <v>89</v>
      </c>
      <c r="E51" s="214">
        <v>300</v>
      </c>
      <c r="F51" s="214" t="s">
        <v>5</v>
      </c>
      <c r="G51" s="294">
        <f>E51*F20*L20</f>
        <v>52920</v>
      </c>
      <c r="H51" s="3"/>
      <c r="I51" s="3"/>
      <c r="J51" s="296"/>
      <c r="L51" s="296"/>
      <c r="M51" s="3"/>
      <c r="N51" s="459" t="s">
        <v>132</v>
      </c>
      <c r="O51" s="158"/>
      <c r="P51" s="158"/>
      <c r="Q51" s="158"/>
      <c r="R51" s="158"/>
      <c r="S51" s="158"/>
      <c r="AC51" s="159">
        <f>G51</f>
        <v>52920</v>
      </c>
      <c r="AD51" s="160"/>
    </row>
    <row r="52" spans="1:30" ht="16.5" customHeight="1">
      <c r="A52" s="63"/>
      <c r="B52" s="149"/>
      <c r="C52" s="143"/>
      <c r="D52" s="146" t="s">
        <v>130</v>
      </c>
      <c r="E52" s="214">
        <v>150</v>
      </c>
      <c r="F52" s="214" t="s">
        <v>124</v>
      </c>
      <c r="G52" s="294">
        <f>E52*F20*L20</f>
        <v>26460</v>
      </c>
      <c r="H52" s="3"/>
      <c r="I52" s="3"/>
      <c r="J52" s="296"/>
      <c r="L52" s="296"/>
      <c r="M52" s="3"/>
      <c r="N52" s="299"/>
      <c r="O52" s="158"/>
      <c r="P52" s="158"/>
      <c r="Q52" s="158"/>
      <c r="R52" s="158"/>
      <c r="S52" s="158"/>
      <c r="AC52" s="159">
        <f>G52</f>
        <v>26460</v>
      </c>
      <c r="AD52" s="160"/>
    </row>
    <row r="53" spans="1:30" ht="16.5" customHeight="1">
      <c r="A53" s="63"/>
      <c r="B53" s="149"/>
      <c r="C53" s="143"/>
      <c r="D53" s="146"/>
      <c r="E53" s="214"/>
      <c r="F53" s="214"/>
      <c r="G53" s="294"/>
      <c r="H53" s="3"/>
      <c r="I53" s="3"/>
      <c r="J53" s="296"/>
      <c r="L53" s="296"/>
      <c r="M53" s="3"/>
      <c r="N53" s="299"/>
      <c r="O53" s="158"/>
      <c r="P53" s="158"/>
      <c r="Q53" s="158"/>
      <c r="R53" s="158"/>
      <c r="S53" s="158"/>
      <c r="AC53" s="159"/>
      <c r="AD53" s="160"/>
    </row>
    <row r="54" spans="1:30" ht="16.5" customHeight="1">
      <c r="A54" s="63"/>
      <c r="B54" s="149"/>
      <c r="C54" s="143"/>
      <c r="D54" s="171" t="s">
        <v>90</v>
      </c>
      <c r="E54" s="257" t="s">
        <v>91</v>
      </c>
      <c r="F54" s="257"/>
      <c r="G54" s="146" t="s">
        <v>79</v>
      </c>
      <c r="I54" s="163"/>
      <c r="J54" s="301" t="s">
        <v>92</v>
      </c>
      <c r="L54" s="300"/>
      <c r="M54" s="163"/>
      <c r="N54" s="164"/>
      <c r="O54" s="165"/>
      <c r="P54" s="165"/>
      <c r="Q54" s="165"/>
      <c r="R54" s="165"/>
      <c r="S54" s="165"/>
      <c r="AC54" s="270"/>
      <c r="AD54" s="160"/>
    </row>
    <row r="55" spans="1:30" ht="16.5" customHeight="1">
      <c r="A55" s="63"/>
      <c r="B55" s="149"/>
      <c r="C55" s="143"/>
      <c r="D55" s="146" t="s">
        <v>93</v>
      </c>
      <c r="E55" s="451" t="s">
        <v>94</v>
      </c>
      <c r="F55" s="407"/>
      <c r="G55" s="214">
        <v>132</v>
      </c>
      <c r="H55" s="3"/>
      <c r="I55" s="3"/>
      <c r="J55" s="294">
        <f>0*F21*L20</f>
        <v>0</v>
      </c>
      <c r="L55" s="296"/>
      <c r="M55" s="3"/>
      <c r="N55" s="299"/>
      <c r="O55" s="158"/>
      <c r="P55" s="158"/>
      <c r="Q55" s="158"/>
      <c r="R55" s="158"/>
      <c r="S55" s="158"/>
      <c r="AC55" s="159">
        <f>J55</f>
        <v>0</v>
      </c>
      <c r="AD55" s="160"/>
    </row>
    <row r="56" spans="1:30" ht="16.5" customHeight="1">
      <c r="A56" s="63"/>
      <c r="B56" s="149"/>
      <c r="C56" s="143"/>
      <c r="D56" s="146" t="s">
        <v>126</v>
      </c>
      <c r="E56" s="451" t="s">
        <v>127</v>
      </c>
      <c r="F56" s="407"/>
      <c r="G56" s="214">
        <v>500</v>
      </c>
      <c r="H56" s="3"/>
      <c r="I56" s="3"/>
      <c r="J56" s="294">
        <f>F22*L20</f>
        <v>35326.799999999996</v>
      </c>
      <c r="L56" s="296"/>
      <c r="M56" s="3"/>
      <c r="N56" s="299"/>
      <c r="O56" s="158"/>
      <c r="P56" s="158"/>
      <c r="Q56" s="158"/>
      <c r="R56" s="158"/>
      <c r="S56" s="158"/>
      <c r="AC56" s="297">
        <f>J56</f>
        <v>35326.799999999996</v>
      </c>
      <c r="AD56" s="160"/>
    </row>
    <row r="57" spans="1:30" ht="16.5" customHeight="1">
      <c r="A57" s="63"/>
      <c r="B57" s="149"/>
      <c r="C57" s="143"/>
      <c r="D57" s="131"/>
      <c r="E57" s="133"/>
      <c r="F57" s="146"/>
      <c r="G57" s="146"/>
      <c r="H57" s="147"/>
      <c r="J57" s="146"/>
      <c r="L57" s="168"/>
      <c r="M57" s="164"/>
      <c r="N57" s="164"/>
      <c r="O57" s="165"/>
      <c r="P57" s="165"/>
      <c r="Q57" s="165"/>
      <c r="R57" s="165"/>
      <c r="S57" s="165"/>
      <c r="AC57" s="268">
        <f>SUM(AC47:AC56)</f>
        <v>1090840.8888</v>
      </c>
      <c r="AD57" s="160"/>
    </row>
    <row r="58" spans="2:30" ht="16.5" customHeight="1">
      <c r="B58" s="149"/>
      <c r="C58" s="161" t="s">
        <v>95</v>
      </c>
      <c r="D58" s="169" t="s">
        <v>96</v>
      </c>
      <c r="E58" s="146"/>
      <c r="F58" s="170"/>
      <c r="G58" s="132"/>
      <c r="H58" s="131"/>
      <c r="I58" s="131"/>
      <c r="J58" s="131"/>
      <c r="K58" s="146"/>
      <c r="L58" s="146"/>
      <c r="M58" s="131"/>
      <c r="N58" s="146"/>
      <c r="O58" s="131"/>
      <c r="P58" s="131"/>
      <c r="Q58" s="131"/>
      <c r="R58" s="131"/>
      <c r="S58" s="131"/>
      <c r="T58" s="131"/>
      <c r="U58" s="131"/>
      <c r="AC58" s="131"/>
      <c r="AD58" s="160"/>
    </row>
    <row r="59" spans="2:30" s="63" customFormat="1" ht="16.5" customHeight="1">
      <c r="B59" s="149"/>
      <c r="C59" s="143"/>
      <c r="D59" s="171" t="s">
        <v>97</v>
      </c>
      <c r="E59" s="172">
        <f>10*K42*K26/AC57</f>
        <v>63.483565903999995</v>
      </c>
      <c r="G59" s="132"/>
      <c r="L59" s="146"/>
      <c r="N59" s="146"/>
      <c r="O59" s="147"/>
      <c r="V59"/>
      <c r="W59"/>
      <c r="AD59" s="160"/>
    </row>
    <row r="60" spans="2:30" s="63" customFormat="1" ht="16.5" customHeight="1">
      <c r="B60" s="149"/>
      <c r="C60" s="143"/>
      <c r="E60" s="293"/>
      <c r="F60" s="145"/>
      <c r="G60" s="132"/>
      <c r="J60" s="132"/>
      <c r="K60" s="174"/>
      <c r="L60" s="146"/>
      <c r="M60" s="146"/>
      <c r="N60" s="146"/>
      <c r="O60" s="147"/>
      <c r="P60" s="146"/>
      <c r="Q60" s="146"/>
      <c r="R60" s="291"/>
      <c r="S60" s="291"/>
      <c r="T60" s="291"/>
      <c r="U60" s="292"/>
      <c r="V60"/>
      <c r="W60"/>
      <c r="AC60" s="292"/>
      <c r="AD60" s="160"/>
    </row>
    <row r="61" spans="2:30" ht="16.5" customHeight="1">
      <c r="B61" s="149"/>
      <c r="C61" s="143"/>
      <c r="D61" s="175" t="s">
        <v>98</v>
      </c>
      <c r="E61" s="173"/>
      <c r="F61" s="145"/>
      <c r="G61" s="132"/>
      <c r="H61" s="131"/>
      <c r="I61" s="131"/>
      <c r="N61" s="146"/>
      <c r="O61" s="147"/>
      <c r="P61" s="146"/>
      <c r="Q61" s="146"/>
      <c r="R61" s="163"/>
      <c r="S61" s="163"/>
      <c r="T61" s="163"/>
      <c r="U61" s="164"/>
      <c r="AC61" s="164"/>
      <c r="AD61" s="160"/>
    </row>
    <row r="62" spans="2:30" ht="16.5" customHeight="1" thickBot="1">
      <c r="B62" s="149"/>
      <c r="C62" s="143"/>
      <c r="D62" s="175"/>
      <c r="E62" s="173"/>
      <c r="F62" s="145"/>
      <c r="G62" s="132"/>
      <c r="H62" s="131"/>
      <c r="I62" s="131"/>
      <c r="N62" s="146"/>
      <c r="O62" s="147"/>
      <c r="P62" s="146"/>
      <c r="Q62" s="146"/>
      <c r="R62" s="163"/>
      <c r="S62" s="163"/>
      <c r="T62" s="163"/>
      <c r="U62" s="164"/>
      <c r="AC62" s="164"/>
      <c r="AD62" s="160"/>
    </row>
    <row r="63" spans="2:30" s="308" customFormat="1" ht="21" thickBot="1" thickTop="1">
      <c r="B63" s="302"/>
      <c r="C63" s="303"/>
      <c r="D63" s="304"/>
      <c r="E63" s="305"/>
      <c r="F63" s="306"/>
      <c r="G63" s="307"/>
      <c r="I63"/>
      <c r="J63" s="309" t="s">
        <v>99</v>
      </c>
      <c r="K63" s="310">
        <f>IF(E59&gt;3*K26,K26*3,E59)</f>
        <v>63.483565903999995</v>
      </c>
      <c r="M63" s="311"/>
      <c r="N63" s="311"/>
      <c r="O63" s="312"/>
      <c r="P63" s="311"/>
      <c r="Q63" s="311"/>
      <c r="R63" s="313"/>
      <c r="S63" s="313"/>
      <c r="T63" s="313"/>
      <c r="U63" s="314"/>
      <c r="V63"/>
      <c r="W63"/>
      <c r="AC63" s="314"/>
      <c r="AD63" s="315"/>
    </row>
    <row r="64" spans="2:30" ht="16.5" customHeight="1" thickBot="1" thickTop="1">
      <c r="B64" s="85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180"/>
      <c r="W64" s="180"/>
      <c r="X64" s="180"/>
      <c r="Y64" s="180"/>
      <c r="Z64" s="180"/>
      <c r="AA64" s="180"/>
      <c r="AB64" s="180"/>
      <c r="AC64" s="87"/>
      <c r="AD64" s="176"/>
    </row>
    <row r="65" spans="2:23" ht="16.5" customHeight="1" thickTop="1">
      <c r="B65" s="9"/>
      <c r="C65" s="394"/>
      <c r="W65" s="9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AD71"/>
  <sheetViews>
    <sheetView tabSelected="1" zoomScale="75" zoomScaleNormal="75" workbookViewId="0" topLeftCell="E1">
      <selection activeCell="J21" sqref="J21"/>
    </sheetView>
  </sheetViews>
  <sheetFormatPr defaultColWidth="11.421875" defaultRowHeight="12.75"/>
  <cols>
    <col min="1" max="1" width="33.7109375" style="0" customWidth="1"/>
    <col min="2" max="2" width="25.7109375" style="0" customWidth="1"/>
    <col min="3" max="3" width="4.7109375" style="0" customWidth="1"/>
    <col min="4" max="4" width="32.28125" style="0" customWidth="1"/>
    <col min="5" max="5" width="24.140625" style="0" customWidth="1"/>
    <col min="6" max="6" width="16.57421875" style="0" customWidth="1"/>
    <col min="7" max="7" width="14.7109375" style="0" customWidth="1"/>
    <col min="8" max="8" width="13.8515625" style="0" hidden="1" customWidth="1"/>
    <col min="9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10.421875" style="0" hidden="1" customWidth="1"/>
    <col min="17" max="17" width="13.140625" style="0" hidden="1" customWidth="1"/>
    <col min="18" max="18" width="17.140625" style="0" hidden="1" customWidth="1"/>
    <col min="19" max="19" width="16.00390625" style="0" hidden="1" customWidth="1"/>
    <col min="20" max="20" width="12.28125" style="0" hidden="1" customWidth="1"/>
    <col min="21" max="21" width="14.8515625" style="0" customWidth="1"/>
    <col min="22" max="22" width="20.7109375" style="0" customWidth="1"/>
    <col min="23" max="23" width="25.7109375" style="0" customWidth="1"/>
    <col min="24" max="24" width="17.7109375" style="0" customWidth="1"/>
    <col min="25" max="25" width="12.8515625" style="0" customWidth="1"/>
    <col min="26" max="26" width="14.28125" style="0" customWidth="1"/>
    <col min="27" max="27" width="24.28125" style="0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41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437"/>
      <c r="AD1" s="321"/>
    </row>
    <row r="2" spans="1:23" ht="27" customHeight="1">
      <c r="A2" s="41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30" s="325" customFormat="1" ht="30.75">
      <c r="A3" s="322"/>
      <c r="B3" s="323" t="str">
        <f>+'tot-0509-SUP'!B2</f>
        <v>ANEXO IV.1.b. a la Resolución E.N.R.E.   N° 122  /2008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AB3" s="324"/>
      <c r="AC3" s="324"/>
      <c r="AD3" s="324"/>
    </row>
    <row r="4" spans="1:2" s="56" customFormat="1" ht="11.25">
      <c r="A4" s="398" t="s">
        <v>16</v>
      </c>
      <c r="B4" s="408"/>
    </row>
    <row r="5" spans="1:2" s="56" customFormat="1" ht="12" thickBot="1">
      <c r="A5" s="398" t="s">
        <v>17</v>
      </c>
      <c r="B5" s="398"/>
    </row>
    <row r="6" spans="1:23" ht="16.5" customHeight="1" thickTop="1">
      <c r="A6" s="13"/>
      <c r="B6" s="96"/>
      <c r="C6" s="97"/>
      <c r="D6" s="97"/>
      <c r="E6" s="98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9"/>
    </row>
    <row r="7" spans="1:23" ht="20.25">
      <c r="A7" s="13"/>
      <c r="B7" s="81"/>
      <c r="C7" s="11"/>
      <c r="D7" s="4" t="s">
        <v>54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8"/>
      <c r="Q7" s="128"/>
      <c r="R7" s="11"/>
      <c r="S7" s="11"/>
      <c r="T7" s="11"/>
      <c r="U7" s="11"/>
      <c r="V7" s="11"/>
      <c r="W7" s="100"/>
    </row>
    <row r="8" spans="1:23" ht="16.5" customHeight="1">
      <c r="A8" s="13"/>
      <c r="B8" s="8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00"/>
    </row>
    <row r="9" spans="2:23" s="12" customFormat="1" ht="20.25">
      <c r="B9" s="76"/>
      <c r="C9" s="75"/>
      <c r="D9" s="4" t="s">
        <v>55</v>
      </c>
      <c r="E9" s="75"/>
      <c r="F9" s="75"/>
      <c r="G9" s="75"/>
      <c r="H9" s="75"/>
      <c r="N9" s="75"/>
      <c r="O9" s="75"/>
      <c r="P9" s="185"/>
      <c r="Q9" s="185"/>
      <c r="R9" s="75"/>
      <c r="S9" s="75"/>
      <c r="T9" s="75"/>
      <c r="U9" s="75"/>
      <c r="V9" s="75"/>
      <c r="W9" s="186"/>
    </row>
    <row r="10" spans="1:23" ht="16.5" customHeight="1">
      <c r="A10" s="13"/>
      <c r="B10" s="8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00"/>
    </row>
    <row r="11" spans="2:23" s="12" customFormat="1" ht="20.25">
      <c r="B11" s="76"/>
      <c r="C11" s="75"/>
      <c r="D11" s="4" t="s">
        <v>104</v>
      </c>
      <c r="E11" s="75"/>
      <c r="F11" s="75"/>
      <c r="G11" s="75"/>
      <c r="H11" s="75"/>
      <c r="N11" s="75"/>
      <c r="O11" s="75"/>
      <c r="P11" s="185"/>
      <c r="Q11" s="185"/>
      <c r="R11" s="75"/>
      <c r="S11" s="75"/>
      <c r="T11" s="75"/>
      <c r="U11" s="75"/>
      <c r="V11" s="75"/>
      <c r="W11" s="186"/>
    </row>
    <row r="12" spans="1:23" ht="16.5" customHeight="1">
      <c r="A12" s="13"/>
      <c r="B12" s="81"/>
      <c r="C12" s="11"/>
      <c r="D12" s="11"/>
      <c r="E12" s="13"/>
      <c r="F12" s="13"/>
      <c r="G12" s="13"/>
      <c r="H12" s="13"/>
      <c r="I12" s="101"/>
      <c r="J12" s="101"/>
      <c r="K12" s="101"/>
      <c r="L12" s="101"/>
      <c r="M12" s="101"/>
      <c r="N12" s="101"/>
      <c r="O12" s="101"/>
      <c r="P12" s="101"/>
      <c r="Q12" s="101"/>
      <c r="R12" s="11"/>
      <c r="S12" s="11"/>
      <c r="T12" s="11"/>
      <c r="U12" s="11"/>
      <c r="V12" s="11"/>
      <c r="W12" s="100"/>
    </row>
    <row r="13" spans="2:23" s="12" customFormat="1" ht="19.5">
      <c r="B13" s="69" t="str">
        <f>+'tot-0509-SUP'!B14</f>
        <v>Desde el 01 al 30 de septiembre de 2005</v>
      </c>
      <c r="C13" s="70"/>
      <c r="D13" s="72"/>
      <c r="E13" s="72"/>
      <c r="F13" s="72"/>
      <c r="G13" s="72"/>
      <c r="H13" s="72"/>
      <c r="I13" s="73"/>
      <c r="J13" s="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188"/>
      <c r="V13" s="188"/>
      <c r="W13" s="74"/>
    </row>
    <row r="14" spans="1:23" ht="16.5" customHeight="1">
      <c r="A14" s="13"/>
      <c r="B14" s="81"/>
      <c r="C14" s="11"/>
      <c r="D14" s="11"/>
      <c r="E14" s="2"/>
      <c r="F14" s="2"/>
      <c r="G14" s="11"/>
      <c r="H14" s="11"/>
      <c r="I14" s="11"/>
      <c r="J14" s="129"/>
      <c r="K14" s="11"/>
      <c r="L14" s="11"/>
      <c r="M14" s="11"/>
      <c r="N14" s="13"/>
      <c r="O14" s="13"/>
      <c r="P14" s="11"/>
      <c r="Q14" s="11"/>
      <c r="R14" s="11"/>
      <c r="S14" s="11"/>
      <c r="T14" s="11"/>
      <c r="U14" s="11"/>
      <c r="V14" s="11"/>
      <c r="W14" s="100"/>
    </row>
    <row r="15" spans="1:23" ht="16.5" customHeight="1">
      <c r="A15" s="13"/>
      <c r="B15" s="81"/>
      <c r="C15" s="11"/>
      <c r="D15" s="11"/>
      <c r="E15" s="2"/>
      <c r="F15" s="2"/>
      <c r="G15" s="11"/>
      <c r="H15" s="11"/>
      <c r="I15" s="130"/>
      <c r="J15" s="11"/>
      <c r="K15" s="9"/>
      <c r="M15" s="11"/>
      <c r="N15" s="13"/>
      <c r="O15" s="13"/>
      <c r="P15" s="11"/>
      <c r="Q15" s="11"/>
      <c r="R15" s="11"/>
      <c r="S15" s="11"/>
      <c r="T15" s="11"/>
      <c r="U15" s="11"/>
      <c r="V15" s="11"/>
      <c r="W15" s="100"/>
    </row>
    <row r="16" spans="1:23" ht="16.5" customHeight="1">
      <c r="A16" s="13"/>
      <c r="B16" s="81"/>
      <c r="C16" s="11"/>
      <c r="D16" s="11"/>
      <c r="E16" s="2"/>
      <c r="F16" s="2"/>
      <c r="G16" s="11"/>
      <c r="H16" s="11"/>
      <c r="I16" s="130"/>
      <c r="J16" s="11"/>
      <c r="K16" s="9"/>
      <c r="M16" s="11"/>
      <c r="N16" s="13"/>
      <c r="O16" s="13"/>
      <c r="P16" s="11"/>
      <c r="Q16" s="11"/>
      <c r="R16" s="11"/>
      <c r="S16" s="11"/>
      <c r="T16" s="11"/>
      <c r="U16" s="11"/>
      <c r="V16" s="11"/>
      <c r="W16" s="100"/>
    </row>
    <row r="17" spans="1:23" ht="16.5" customHeight="1" thickBot="1">
      <c r="A17" s="13"/>
      <c r="B17" s="81"/>
      <c r="C17" s="298" t="s">
        <v>56</v>
      </c>
      <c r="D17" s="10" t="s">
        <v>57</v>
      </c>
      <c r="E17" s="2"/>
      <c r="F17" s="2"/>
      <c r="G17" s="11"/>
      <c r="H17" s="11"/>
      <c r="I17" s="11"/>
      <c r="J17" s="129"/>
      <c r="K17" s="11"/>
      <c r="L17" s="11"/>
      <c r="M17" s="11"/>
      <c r="N17" s="13"/>
      <c r="O17" s="13"/>
      <c r="P17" s="11"/>
      <c r="Q17" s="11"/>
      <c r="R17" s="11"/>
      <c r="S17" s="11"/>
      <c r="T17" s="11"/>
      <c r="U17" s="11"/>
      <c r="V17" s="11"/>
      <c r="W17" s="100"/>
    </row>
    <row r="18" spans="2:23" s="63" customFormat="1" ht="16.5" customHeight="1" thickBot="1">
      <c r="B18" s="149"/>
      <c r="C18" s="65"/>
      <c r="D18" s="267"/>
      <c r="E18" s="268"/>
      <c r="F18" s="143"/>
      <c r="G18" s="65"/>
      <c r="H18" s="65"/>
      <c r="I18" s="65"/>
      <c r="J18" s="288"/>
      <c r="K18" s="65"/>
      <c r="L18" s="65"/>
      <c r="M18" s="65"/>
      <c r="N18" s="409" t="s">
        <v>29</v>
      </c>
      <c r="P18" s="65"/>
      <c r="Q18" s="65"/>
      <c r="R18" s="65"/>
      <c r="S18" s="65"/>
      <c r="T18" s="65"/>
      <c r="U18" s="65"/>
      <c r="V18" s="65"/>
      <c r="W18" s="289"/>
    </row>
    <row r="19" spans="2:23" s="63" customFormat="1" ht="16.5" customHeight="1">
      <c r="B19" s="149"/>
      <c r="C19" s="65"/>
      <c r="E19" s="271" t="s">
        <v>60</v>
      </c>
      <c r="F19" s="272">
        <v>0.025</v>
      </c>
      <c r="G19" s="316"/>
      <c r="H19" s="65"/>
      <c r="I19" s="438"/>
      <c r="J19" s="439"/>
      <c r="K19" s="403" t="s">
        <v>120</v>
      </c>
      <c r="L19" s="404"/>
      <c r="M19" s="481">
        <v>49.065</v>
      </c>
      <c r="N19" s="440">
        <v>200</v>
      </c>
      <c r="R19" s="65"/>
      <c r="S19" s="65"/>
      <c r="T19" s="65"/>
      <c r="U19" s="65"/>
      <c r="V19" s="65"/>
      <c r="W19" s="289"/>
    </row>
    <row r="20" spans="2:23" s="63" customFormat="1" ht="16.5" customHeight="1">
      <c r="B20" s="149"/>
      <c r="C20" s="65"/>
      <c r="E20" s="267" t="s">
        <v>63</v>
      </c>
      <c r="F20" s="65">
        <v>720</v>
      </c>
      <c r="G20" s="65" t="s">
        <v>64</v>
      </c>
      <c r="H20" s="65"/>
      <c r="I20" s="65"/>
      <c r="J20" s="65"/>
      <c r="K20" s="400" t="s">
        <v>51</v>
      </c>
      <c r="L20" s="399"/>
      <c r="M20" s="482">
        <v>44.156</v>
      </c>
      <c r="N20" s="410">
        <v>100</v>
      </c>
      <c r="O20" s="65"/>
      <c r="P20" s="290"/>
      <c r="Q20" s="65"/>
      <c r="R20" s="65"/>
      <c r="S20" s="65"/>
      <c r="T20" s="65"/>
      <c r="U20" s="65"/>
      <c r="V20" s="65"/>
      <c r="W20" s="289"/>
    </row>
    <row r="21" spans="2:23" s="63" customFormat="1" ht="16.5" customHeight="1" thickBot="1">
      <c r="B21" s="149"/>
      <c r="C21" s="65"/>
      <c r="E21" s="267" t="s">
        <v>105</v>
      </c>
      <c r="F21" s="65">
        <v>0.245</v>
      </c>
      <c r="G21" s="63" t="s">
        <v>62</v>
      </c>
      <c r="H21" s="65"/>
      <c r="I21" s="65"/>
      <c r="J21" s="65"/>
      <c r="K21" s="401" t="s">
        <v>121</v>
      </c>
      <c r="L21" s="402"/>
      <c r="M21" s="483">
        <v>39.2543</v>
      </c>
      <c r="N21" s="411">
        <v>40</v>
      </c>
      <c r="O21" s="65"/>
      <c r="P21" s="290"/>
      <c r="Q21" s="65"/>
      <c r="R21" s="65"/>
      <c r="S21" s="65"/>
      <c r="T21" s="65"/>
      <c r="U21" s="65"/>
      <c r="V21" s="65"/>
      <c r="W21" s="289"/>
    </row>
    <row r="22" spans="2:23" s="63" customFormat="1" ht="16.5" customHeight="1">
      <c r="B22" s="149"/>
      <c r="C22" s="65"/>
      <c r="D22" s="65"/>
      <c r="E22" s="14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289"/>
    </row>
    <row r="23" spans="1:23" ht="16.5" customHeight="1">
      <c r="A23" s="13"/>
      <c r="B23" s="81"/>
      <c r="C23" s="298" t="s">
        <v>66</v>
      </c>
      <c r="D23" s="64" t="s">
        <v>67</v>
      </c>
      <c r="I23" s="11"/>
      <c r="J23" s="63"/>
      <c r="O23" s="11"/>
      <c r="P23" s="11"/>
      <c r="Q23" s="11"/>
      <c r="R23" s="11"/>
      <c r="S23" s="11"/>
      <c r="T23" s="11"/>
      <c r="V23" s="11"/>
      <c r="W23" s="100"/>
    </row>
    <row r="24" spans="1:23" ht="10.5" customHeight="1" thickBot="1">
      <c r="A24" s="13"/>
      <c r="B24" s="81"/>
      <c r="C24" s="2"/>
      <c r="D24" s="64"/>
      <c r="I24" s="11"/>
      <c r="J24" s="63"/>
      <c r="O24" s="11"/>
      <c r="P24" s="11"/>
      <c r="Q24" s="11"/>
      <c r="R24" s="11"/>
      <c r="S24" s="11"/>
      <c r="T24" s="11"/>
      <c r="V24" s="11"/>
      <c r="W24" s="100"/>
    </row>
    <row r="25" spans="2:23" s="63" customFormat="1" ht="16.5" customHeight="1" thickBot="1" thickTop="1">
      <c r="B25" s="149"/>
      <c r="C25" s="143"/>
      <c r="D25"/>
      <c r="E25"/>
      <c r="F25"/>
      <c r="G25"/>
      <c r="H25"/>
      <c r="I25" s="326" t="s">
        <v>68</v>
      </c>
      <c r="J25" s="412">
        <f>+J62*F19</f>
        <v>27811.08</v>
      </c>
      <c r="L25"/>
      <c r="S25"/>
      <c r="T25"/>
      <c r="U25"/>
      <c r="W25" s="289"/>
    </row>
    <row r="26" spans="2:23" s="63" customFormat="1" ht="11.25" customHeight="1" thickTop="1">
      <c r="B26" s="149"/>
      <c r="C26" s="143"/>
      <c r="D26" s="65"/>
      <c r="E26" s="14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/>
      <c r="W26" s="289"/>
    </row>
    <row r="27" spans="1:23" ht="16.5" customHeight="1">
      <c r="A27" s="13"/>
      <c r="B27" s="81"/>
      <c r="C27" s="298" t="s">
        <v>69</v>
      </c>
      <c r="D27" s="64" t="s">
        <v>70</v>
      </c>
      <c r="E27" s="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00"/>
    </row>
    <row r="28" spans="1:23" ht="13.5" customHeight="1" thickBot="1">
      <c r="A28" s="63"/>
      <c r="B28" s="81"/>
      <c r="C28" s="143"/>
      <c r="D28" s="143"/>
      <c r="E28" s="144"/>
      <c r="F28" s="145"/>
      <c r="G28" s="132"/>
      <c r="H28" s="132"/>
      <c r="I28" s="146"/>
      <c r="J28" s="146"/>
      <c r="K28" s="146"/>
      <c r="L28" s="146"/>
      <c r="M28" s="146"/>
      <c r="N28" s="146"/>
      <c r="O28" s="147"/>
      <c r="P28" s="146"/>
      <c r="Q28" s="146"/>
      <c r="R28" s="413"/>
      <c r="S28" s="414"/>
      <c r="T28" s="415"/>
      <c r="U28" s="415"/>
      <c r="V28" s="415"/>
      <c r="W28" s="103"/>
    </row>
    <row r="29" spans="1:26" s="13" customFormat="1" ht="33.75" customHeight="1" thickBot="1" thickTop="1">
      <c r="A29" s="41"/>
      <c r="B29" s="115"/>
      <c r="C29" s="117" t="s">
        <v>25</v>
      </c>
      <c r="D29" s="119" t="s">
        <v>47</v>
      </c>
      <c r="E29" s="118" t="s">
        <v>15</v>
      </c>
      <c r="F29" s="120" t="s">
        <v>48</v>
      </c>
      <c r="G29" s="121" t="s">
        <v>26</v>
      </c>
      <c r="H29" s="181" t="s">
        <v>30</v>
      </c>
      <c r="I29" s="118" t="s">
        <v>31</v>
      </c>
      <c r="J29" s="118" t="s">
        <v>32</v>
      </c>
      <c r="K29" s="119" t="s">
        <v>49</v>
      </c>
      <c r="L29" s="119" t="s">
        <v>34</v>
      </c>
      <c r="M29" s="111" t="s">
        <v>53</v>
      </c>
      <c r="N29" s="118" t="s">
        <v>38</v>
      </c>
      <c r="O29" s="366" t="s">
        <v>50</v>
      </c>
      <c r="P29" s="181" t="s">
        <v>73</v>
      </c>
      <c r="Q29" s="281" t="s">
        <v>39</v>
      </c>
      <c r="R29" s="273" t="s">
        <v>74</v>
      </c>
      <c r="S29" s="274"/>
      <c r="T29" s="284" t="s">
        <v>41</v>
      </c>
      <c r="U29" s="114" t="s">
        <v>42</v>
      </c>
      <c r="V29" s="121" t="s">
        <v>43</v>
      </c>
      <c r="W29" s="100"/>
      <c r="Y29"/>
      <c r="Z29"/>
    </row>
    <row r="30" spans="1:23" ht="16.5" customHeight="1" thickTop="1">
      <c r="A30" s="13"/>
      <c r="B30" s="81"/>
      <c r="C30" s="27"/>
      <c r="D30" s="27"/>
      <c r="E30" s="27"/>
      <c r="F30" s="27"/>
      <c r="G30" s="190"/>
      <c r="H30" s="258"/>
      <c r="I30" s="27"/>
      <c r="J30" s="27"/>
      <c r="K30" s="27"/>
      <c r="L30" s="27"/>
      <c r="M30" s="27"/>
      <c r="N30" s="191"/>
      <c r="O30" s="416"/>
      <c r="P30" s="285"/>
      <c r="Q30" s="286"/>
      <c r="R30" s="275"/>
      <c r="S30" s="276"/>
      <c r="T30" s="287"/>
      <c r="U30" s="191"/>
      <c r="V30" s="192"/>
      <c r="W30" s="100"/>
    </row>
    <row r="31" spans="1:23" ht="16.5" customHeight="1" thickBot="1">
      <c r="A31" s="63"/>
      <c r="B31" s="81"/>
      <c r="C31" s="39"/>
      <c r="D31" s="193"/>
      <c r="E31" s="194"/>
      <c r="F31" s="195"/>
      <c r="G31" s="196"/>
      <c r="H31" s="260"/>
      <c r="I31" s="197"/>
      <c r="J31" s="198"/>
      <c r="K31" s="199"/>
      <c r="L31" s="200"/>
      <c r="M31" s="40"/>
      <c r="N31" s="21"/>
      <c r="O31" s="417"/>
      <c r="P31" s="231"/>
      <c r="Q31" s="283"/>
      <c r="R31" s="279"/>
      <c r="S31" s="280"/>
      <c r="T31" s="232"/>
      <c r="U31" s="201"/>
      <c r="V31" s="202"/>
      <c r="W31" s="103"/>
    </row>
    <row r="32" spans="1:23" ht="16.5" customHeight="1" thickBot="1" thickTop="1">
      <c r="A32" s="63"/>
      <c r="B32" s="81"/>
      <c r="C32" s="116"/>
      <c r="D32" s="1"/>
      <c r="E32" s="1"/>
      <c r="F32" s="125"/>
      <c r="G32" s="203"/>
      <c r="H32" s="204"/>
      <c r="I32" s="205"/>
      <c r="J32" s="206"/>
      <c r="K32" s="207"/>
      <c r="L32" s="208"/>
      <c r="M32" s="204"/>
      <c r="N32" s="209"/>
      <c r="O32" s="24"/>
      <c r="P32" s="210"/>
      <c r="Q32" s="211"/>
      <c r="R32" s="212"/>
      <c r="S32" s="212"/>
      <c r="T32" s="212"/>
      <c r="U32" s="179"/>
      <c r="V32" s="213">
        <f>SUM(V30:V31)</f>
        <v>0</v>
      </c>
      <c r="W32" s="103"/>
    </row>
    <row r="33" spans="1:23" ht="16.5" customHeight="1" thickBot="1" thickTop="1">
      <c r="A33" s="63"/>
      <c r="B33" s="81"/>
      <c r="C33" s="116"/>
      <c r="D33" s="1"/>
      <c r="E33" s="1"/>
      <c r="F33" s="125"/>
      <c r="G33" s="203"/>
      <c r="H33" s="204"/>
      <c r="I33" s="205"/>
      <c r="L33" s="208"/>
      <c r="M33" s="204"/>
      <c r="N33" s="389"/>
      <c r="O33" s="390"/>
      <c r="P33" s="210"/>
      <c r="Q33" s="211"/>
      <c r="R33" s="212"/>
      <c r="S33" s="212"/>
      <c r="T33" s="212"/>
      <c r="U33" s="179"/>
      <c r="V33" s="179"/>
      <c r="W33" s="103"/>
    </row>
    <row r="34" spans="2:23" s="13" customFormat="1" ht="33.75" customHeight="1" thickBot="1" thickTop="1">
      <c r="B34" s="81"/>
      <c r="C34" s="104" t="s">
        <v>25</v>
      </c>
      <c r="D34" s="112" t="s">
        <v>47</v>
      </c>
      <c r="E34" s="490" t="s">
        <v>15</v>
      </c>
      <c r="F34" s="491"/>
      <c r="G34" s="114" t="s">
        <v>26</v>
      </c>
      <c r="H34" s="181" t="s">
        <v>30</v>
      </c>
      <c r="I34" s="106" t="s">
        <v>31</v>
      </c>
      <c r="J34" s="108" t="s">
        <v>32</v>
      </c>
      <c r="K34" s="123" t="s">
        <v>33</v>
      </c>
      <c r="L34" s="123" t="s">
        <v>34</v>
      </c>
      <c r="M34" s="111" t="s">
        <v>35</v>
      </c>
      <c r="N34" s="490" t="s">
        <v>38</v>
      </c>
      <c r="O34" s="505"/>
      <c r="P34" s="220" t="s">
        <v>29</v>
      </c>
      <c r="Q34" s="218" t="s">
        <v>45</v>
      </c>
      <c r="R34" s="224" t="s">
        <v>52</v>
      </c>
      <c r="S34" s="225"/>
      <c r="T34" s="229" t="s">
        <v>41</v>
      </c>
      <c r="U34" s="114" t="s">
        <v>42</v>
      </c>
      <c r="V34" s="121" t="s">
        <v>43</v>
      </c>
      <c r="W34" s="82"/>
    </row>
    <row r="35" spans="2:23" s="13" customFormat="1" ht="16.5" customHeight="1" thickTop="1">
      <c r="B35" s="81"/>
      <c r="C35" s="14"/>
      <c r="D35" s="44"/>
      <c r="E35" s="501"/>
      <c r="F35" s="502"/>
      <c r="G35" s="44"/>
      <c r="H35" s="184"/>
      <c r="I35" s="44"/>
      <c r="J35" s="44"/>
      <c r="K35" s="44"/>
      <c r="L35" s="44"/>
      <c r="M35" s="44"/>
      <c r="N35" s="44"/>
      <c r="O35" s="418"/>
      <c r="P35" s="219"/>
      <c r="Q35" s="222"/>
      <c r="R35" s="226"/>
      <c r="S35" s="227"/>
      <c r="T35" s="228"/>
      <c r="U35" s="44"/>
      <c r="V35" s="124"/>
      <c r="W35" s="82"/>
    </row>
    <row r="36" spans="2:23" s="13" customFormat="1" ht="16.5" customHeight="1">
      <c r="B36" s="81"/>
      <c r="C36" s="442" t="s">
        <v>137</v>
      </c>
      <c r="D36" s="457" t="s">
        <v>7</v>
      </c>
      <c r="E36" s="503" t="s">
        <v>14</v>
      </c>
      <c r="F36" s="504"/>
      <c r="G36" s="457">
        <v>132</v>
      </c>
      <c r="H36" s="182">
        <f aca="true" t="shared" si="0" ref="H36:H43">IF(G36=500,$M$19,IF(G36=220,$M$20,$M$21))</f>
        <v>39.2543</v>
      </c>
      <c r="I36" s="449">
        <v>38596.35277777778</v>
      </c>
      <c r="J36" s="450">
        <v>38596.64166666667</v>
      </c>
      <c r="K36" s="45">
        <f aca="true" t="shared" si="1" ref="K36:K43">IF(D36="","",(J36-I36)*24)</f>
        <v>6.933333333407063</v>
      </c>
      <c r="L36" s="44">
        <f aca="true" t="shared" si="2" ref="L36:L47">IF(E36="","",ROUND((J36-I36)*24*60,0))</f>
        <v>416</v>
      </c>
      <c r="M36" s="448" t="s">
        <v>131</v>
      </c>
      <c r="N36" s="506" t="str">
        <f aca="true" t="shared" si="3" ref="N36:N43">IF(D36="","",IF(OR(M36="P",M36="RP"),"--","NO"))</f>
        <v>--</v>
      </c>
      <c r="O36" s="507"/>
      <c r="P36" s="221">
        <f aca="true" t="shared" si="4" ref="P36:P43">IF(G36=500,$N$19,IF(G36=220,$N$20,$N$21))</f>
        <v>40</v>
      </c>
      <c r="Q36" s="223">
        <f aca="true" t="shared" si="5" ref="Q36:Q43">IF(M36="P",H36*P36*ROUND(L36/60,2)*0.1,"--")</f>
        <v>1088.129196</v>
      </c>
      <c r="R36" s="226" t="str">
        <f aca="true" t="shared" si="6" ref="R36:R43">IF(AND(M36="F",N36="NO"),H36*P36,"--")</f>
        <v>--</v>
      </c>
      <c r="S36" s="227" t="str">
        <f aca="true" t="shared" si="7" ref="S36:S43">IF(M36="F",H36*P36*ROUND(L36/60,2),"--")</f>
        <v>--</v>
      </c>
      <c r="T36" s="228" t="str">
        <f aca="true" t="shared" si="8" ref="T36:T43">IF(M36="RF",H36*P36*ROUND(L36/60,2),"--")</f>
        <v>--</v>
      </c>
      <c r="U36" s="46" t="str">
        <f aca="true" t="shared" si="9" ref="U36:U43">IF(D36="","","SI")</f>
        <v>SI</v>
      </c>
      <c r="V36" s="47">
        <f aca="true" t="shared" si="10" ref="V36:V43">IF(D36="","",SUM(Q36:T36)*IF(U36="SI",1,2))</f>
        <v>1088.129196</v>
      </c>
      <c r="W36" s="82"/>
    </row>
    <row r="37" spans="2:23" s="13" customFormat="1" ht="16.5" customHeight="1">
      <c r="B37" s="81"/>
      <c r="C37" s="442" t="s">
        <v>138</v>
      </c>
      <c r="D37" s="457" t="s">
        <v>7</v>
      </c>
      <c r="E37" s="503" t="s">
        <v>11</v>
      </c>
      <c r="F37" s="504"/>
      <c r="G37" s="457">
        <v>132</v>
      </c>
      <c r="H37" s="182">
        <f t="shared" si="0"/>
        <v>39.2543</v>
      </c>
      <c r="I37" s="449">
        <v>38596.368055555555</v>
      </c>
      <c r="J37" s="450">
        <v>38596.61736111111</v>
      </c>
      <c r="K37" s="45">
        <f t="shared" si="1"/>
        <v>5.983333333279006</v>
      </c>
      <c r="L37" s="44">
        <f t="shared" si="2"/>
        <v>359</v>
      </c>
      <c r="M37" s="446" t="s">
        <v>131</v>
      </c>
      <c r="N37" s="506" t="str">
        <f t="shared" si="3"/>
        <v>--</v>
      </c>
      <c r="O37" s="507"/>
      <c r="P37" s="221">
        <f t="shared" si="4"/>
        <v>40</v>
      </c>
      <c r="Q37" s="223">
        <f t="shared" si="5"/>
        <v>938.9628560000001</v>
      </c>
      <c r="R37" s="226" t="str">
        <f t="shared" si="6"/>
        <v>--</v>
      </c>
      <c r="S37" s="227" t="str">
        <f t="shared" si="7"/>
        <v>--</v>
      </c>
      <c r="T37" s="228" t="str">
        <f t="shared" si="8"/>
        <v>--</v>
      </c>
      <c r="U37" s="46" t="str">
        <f t="shared" si="9"/>
        <v>SI</v>
      </c>
      <c r="V37" s="47">
        <f t="shared" si="10"/>
        <v>938.9628560000001</v>
      </c>
      <c r="W37" s="82"/>
    </row>
    <row r="38" spans="2:23" s="13" customFormat="1" ht="16.5" customHeight="1">
      <c r="B38" s="81"/>
      <c r="C38" s="442" t="s">
        <v>138</v>
      </c>
      <c r="D38" s="457" t="s">
        <v>6</v>
      </c>
      <c r="E38" s="503" t="s">
        <v>9</v>
      </c>
      <c r="F38" s="504"/>
      <c r="G38" s="457">
        <v>132</v>
      </c>
      <c r="H38" s="182">
        <f t="shared" si="0"/>
        <v>39.2543</v>
      </c>
      <c r="I38" s="449">
        <v>38596.39375</v>
      </c>
      <c r="J38" s="450">
        <v>38596.649305555555</v>
      </c>
      <c r="K38" s="45">
        <f t="shared" si="1"/>
        <v>6.133333333244082</v>
      </c>
      <c r="L38" s="44">
        <f t="shared" si="2"/>
        <v>368</v>
      </c>
      <c r="M38" s="446" t="s">
        <v>131</v>
      </c>
      <c r="N38" s="506" t="str">
        <f t="shared" si="3"/>
        <v>--</v>
      </c>
      <c r="O38" s="507"/>
      <c r="P38" s="221">
        <f t="shared" si="4"/>
        <v>40</v>
      </c>
      <c r="Q38" s="223">
        <f t="shared" si="5"/>
        <v>962.5154360000001</v>
      </c>
      <c r="R38" s="226" t="str">
        <f t="shared" si="6"/>
        <v>--</v>
      </c>
      <c r="S38" s="227" t="str">
        <f t="shared" si="7"/>
        <v>--</v>
      </c>
      <c r="T38" s="228" t="str">
        <f t="shared" si="8"/>
        <v>--</v>
      </c>
      <c r="U38" s="46" t="str">
        <f t="shared" si="9"/>
        <v>SI</v>
      </c>
      <c r="V38" s="47">
        <f t="shared" si="10"/>
        <v>962.5154360000001</v>
      </c>
      <c r="W38" s="82"/>
    </row>
    <row r="39" spans="2:23" s="13" customFormat="1" ht="16.5" customHeight="1">
      <c r="B39" s="81"/>
      <c r="C39" s="442" t="s">
        <v>139</v>
      </c>
      <c r="D39" s="457" t="s">
        <v>7</v>
      </c>
      <c r="E39" s="503" t="s">
        <v>12</v>
      </c>
      <c r="F39" s="504"/>
      <c r="G39" s="457">
        <v>132</v>
      </c>
      <c r="H39" s="182">
        <f t="shared" si="0"/>
        <v>39.2543</v>
      </c>
      <c r="I39" s="449">
        <v>38600.49375</v>
      </c>
      <c r="J39" s="450">
        <v>38600.697916666664</v>
      </c>
      <c r="K39" s="45">
        <f t="shared" si="1"/>
        <v>4.899999999906868</v>
      </c>
      <c r="L39" s="44">
        <f t="shared" si="2"/>
        <v>294</v>
      </c>
      <c r="M39" s="446" t="s">
        <v>131</v>
      </c>
      <c r="N39" s="506" t="str">
        <f t="shared" si="3"/>
        <v>--</v>
      </c>
      <c r="O39" s="507"/>
      <c r="P39" s="221">
        <f t="shared" si="4"/>
        <v>40</v>
      </c>
      <c r="Q39" s="223">
        <f t="shared" si="5"/>
        <v>769.3842800000001</v>
      </c>
      <c r="R39" s="226" t="str">
        <f t="shared" si="6"/>
        <v>--</v>
      </c>
      <c r="S39" s="227" t="str">
        <f t="shared" si="7"/>
        <v>--</v>
      </c>
      <c r="T39" s="228" t="str">
        <f t="shared" si="8"/>
        <v>--</v>
      </c>
      <c r="U39" s="46" t="str">
        <f t="shared" si="9"/>
        <v>SI</v>
      </c>
      <c r="V39" s="47">
        <f t="shared" si="10"/>
        <v>769.3842800000001</v>
      </c>
      <c r="W39" s="82"/>
    </row>
    <row r="40" spans="2:23" s="13" customFormat="1" ht="16.5" customHeight="1">
      <c r="B40" s="81"/>
      <c r="C40" s="442" t="s">
        <v>140</v>
      </c>
      <c r="D40" s="457" t="s">
        <v>7</v>
      </c>
      <c r="E40" s="503" t="s">
        <v>13</v>
      </c>
      <c r="F40" s="504"/>
      <c r="G40" s="457">
        <v>132</v>
      </c>
      <c r="H40" s="182">
        <f t="shared" si="0"/>
        <v>39.2543</v>
      </c>
      <c r="I40" s="449">
        <v>38603.3125</v>
      </c>
      <c r="J40" s="450">
        <v>38603.77222222222</v>
      </c>
      <c r="K40" s="45">
        <f t="shared" si="1"/>
        <v>11.033333333325572</v>
      </c>
      <c r="L40" s="44">
        <f t="shared" si="2"/>
        <v>662</v>
      </c>
      <c r="M40" s="446" t="s">
        <v>131</v>
      </c>
      <c r="N40" s="506" t="str">
        <f t="shared" si="3"/>
        <v>--</v>
      </c>
      <c r="O40" s="507"/>
      <c r="P40" s="221">
        <f t="shared" si="4"/>
        <v>40</v>
      </c>
      <c r="Q40" s="223">
        <f t="shared" si="5"/>
        <v>1731.899716</v>
      </c>
      <c r="R40" s="226" t="str">
        <f t="shared" si="6"/>
        <v>--</v>
      </c>
      <c r="S40" s="227" t="str">
        <f t="shared" si="7"/>
        <v>--</v>
      </c>
      <c r="T40" s="228" t="str">
        <f t="shared" si="8"/>
        <v>--</v>
      </c>
      <c r="U40" s="46" t="str">
        <f t="shared" si="9"/>
        <v>SI</v>
      </c>
      <c r="V40" s="47">
        <f t="shared" si="10"/>
        <v>1731.899716</v>
      </c>
      <c r="W40" s="82"/>
    </row>
    <row r="41" spans="2:23" s="13" customFormat="1" ht="16.5" customHeight="1">
      <c r="B41" s="81"/>
      <c r="C41" s="442" t="s">
        <v>141</v>
      </c>
      <c r="D41" s="457" t="s">
        <v>6</v>
      </c>
      <c r="E41" s="503" t="s">
        <v>9</v>
      </c>
      <c r="F41" s="504"/>
      <c r="G41" s="457">
        <v>132</v>
      </c>
      <c r="H41" s="182">
        <f t="shared" si="0"/>
        <v>39.2543</v>
      </c>
      <c r="I41" s="449">
        <v>38607.436111111114</v>
      </c>
      <c r="J41" s="450">
        <v>38607.61944444444</v>
      </c>
      <c r="K41" s="45">
        <f t="shared" si="1"/>
        <v>4.39999999984866</v>
      </c>
      <c r="L41" s="44">
        <f t="shared" si="2"/>
        <v>264</v>
      </c>
      <c r="M41" s="446" t="s">
        <v>131</v>
      </c>
      <c r="N41" s="506" t="str">
        <f t="shared" si="3"/>
        <v>--</v>
      </c>
      <c r="O41" s="507"/>
      <c r="P41" s="221">
        <f t="shared" si="4"/>
        <v>40</v>
      </c>
      <c r="Q41" s="223">
        <f t="shared" si="5"/>
        <v>690.8756800000001</v>
      </c>
      <c r="R41" s="226" t="str">
        <f t="shared" si="6"/>
        <v>--</v>
      </c>
      <c r="S41" s="227" t="str">
        <f t="shared" si="7"/>
        <v>--</v>
      </c>
      <c r="T41" s="228" t="str">
        <f t="shared" si="8"/>
        <v>--</v>
      </c>
      <c r="U41" s="46" t="str">
        <f t="shared" si="9"/>
        <v>SI</v>
      </c>
      <c r="V41" s="47">
        <f t="shared" si="10"/>
        <v>690.8756800000001</v>
      </c>
      <c r="W41" s="82"/>
    </row>
    <row r="42" spans="2:23" s="13" customFormat="1" ht="16.5" customHeight="1">
      <c r="B42" s="81"/>
      <c r="C42" s="442" t="s">
        <v>142</v>
      </c>
      <c r="D42" s="457" t="s">
        <v>6</v>
      </c>
      <c r="E42" s="503" t="s">
        <v>9</v>
      </c>
      <c r="F42" s="504"/>
      <c r="G42" s="457">
        <v>132</v>
      </c>
      <c r="H42" s="182">
        <f t="shared" si="0"/>
        <v>39.2543</v>
      </c>
      <c r="I42" s="449">
        <v>38621.42847222222</v>
      </c>
      <c r="J42" s="450">
        <v>38621.73541666667</v>
      </c>
      <c r="K42" s="45">
        <f t="shared" si="1"/>
        <v>7.366666666755918</v>
      </c>
      <c r="L42" s="44">
        <f t="shared" si="2"/>
        <v>442</v>
      </c>
      <c r="M42" s="446" t="s">
        <v>131</v>
      </c>
      <c r="N42" s="506" t="str">
        <f t="shared" si="3"/>
        <v>--</v>
      </c>
      <c r="O42" s="507"/>
      <c r="P42" s="221">
        <f t="shared" si="4"/>
        <v>40</v>
      </c>
      <c r="Q42" s="223">
        <f t="shared" si="5"/>
        <v>1157.216764</v>
      </c>
      <c r="R42" s="226" t="str">
        <f t="shared" si="6"/>
        <v>--</v>
      </c>
      <c r="S42" s="227" t="str">
        <f t="shared" si="7"/>
        <v>--</v>
      </c>
      <c r="T42" s="228" t="str">
        <f t="shared" si="8"/>
        <v>--</v>
      </c>
      <c r="U42" s="46" t="str">
        <f t="shared" si="9"/>
        <v>SI</v>
      </c>
      <c r="V42" s="47">
        <f t="shared" si="10"/>
        <v>1157.216764</v>
      </c>
      <c r="W42" s="82"/>
    </row>
    <row r="43" spans="2:23" s="13" customFormat="1" ht="16.5" customHeight="1">
      <c r="B43" s="81"/>
      <c r="C43" s="442" t="s">
        <v>143</v>
      </c>
      <c r="D43" s="457" t="s">
        <v>6</v>
      </c>
      <c r="E43" s="503" t="s">
        <v>9</v>
      </c>
      <c r="F43" s="504"/>
      <c r="G43" s="457">
        <v>132</v>
      </c>
      <c r="H43" s="182">
        <f t="shared" si="0"/>
        <v>39.2543</v>
      </c>
      <c r="I43" s="449">
        <v>38622.38263888889</v>
      </c>
      <c r="J43" s="450">
        <v>38622.73611111111</v>
      </c>
      <c r="K43" s="45">
        <f t="shared" si="1"/>
        <v>8.483333333220799</v>
      </c>
      <c r="L43" s="44">
        <f t="shared" si="2"/>
        <v>509</v>
      </c>
      <c r="M43" s="446" t="s">
        <v>131</v>
      </c>
      <c r="N43" s="506" t="str">
        <f t="shared" si="3"/>
        <v>--</v>
      </c>
      <c r="O43" s="507"/>
      <c r="P43" s="221">
        <f t="shared" si="4"/>
        <v>40</v>
      </c>
      <c r="Q43" s="223">
        <f t="shared" si="5"/>
        <v>1331.5058560000002</v>
      </c>
      <c r="R43" s="226" t="str">
        <f t="shared" si="6"/>
        <v>--</v>
      </c>
      <c r="S43" s="227" t="str">
        <f t="shared" si="7"/>
        <v>--</v>
      </c>
      <c r="T43" s="228" t="str">
        <f t="shared" si="8"/>
        <v>--</v>
      </c>
      <c r="U43" s="46" t="str">
        <f t="shared" si="9"/>
        <v>SI</v>
      </c>
      <c r="V43" s="47">
        <f t="shared" si="10"/>
        <v>1331.5058560000002</v>
      </c>
      <c r="W43" s="82"/>
    </row>
    <row r="44" spans="2:23" s="13" customFormat="1" ht="16.5" customHeight="1">
      <c r="B44" s="81"/>
      <c r="C44" s="442" t="s">
        <v>144</v>
      </c>
      <c r="D44" s="457" t="s">
        <v>6</v>
      </c>
      <c r="E44" s="503" t="s">
        <v>8</v>
      </c>
      <c r="F44" s="504"/>
      <c r="G44" s="457">
        <v>132</v>
      </c>
      <c r="H44" s="182">
        <f>IF(G44=500,$M$19,IF(G44=220,$M$20,$M$21))</f>
        <v>39.2543</v>
      </c>
      <c r="I44" s="449">
        <v>38623.35</v>
      </c>
      <c r="J44" s="450">
        <v>38623.69652777778</v>
      </c>
      <c r="K44" s="45">
        <f>IF(D44="","",(J44-I44)*24)</f>
        <v>8.316666666709352</v>
      </c>
      <c r="L44" s="44">
        <f t="shared" si="2"/>
        <v>499</v>
      </c>
      <c r="M44" s="446" t="s">
        <v>131</v>
      </c>
      <c r="N44" s="506" t="str">
        <f>IF(D44="","",IF(OR(M44="P",M44="RP"),"--","NO"))</f>
        <v>--</v>
      </c>
      <c r="O44" s="507"/>
      <c r="P44" s="221">
        <f>IF(G44=500,$N$19,IF(G44=220,$N$20,$N$21))</f>
        <v>40</v>
      </c>
      <c r="Q44" s="223">
        <f>IF(M44="P",H44*P44*ROUND(L44/60,2)*0.1,"--")</f>
        <v>1306.3831040000002</v>
      </c>
      <c r="R44" s="226" t="str">
        <f>IF(AND(M44="F",N44="NO"),H44*P44,"--")</f>
        <v>--</v>
      </c>
      <c r="S44" s="227" t="str">
        <f>IF(M44="F",H44*P44*ROUND(L44/60,2),"--")</f>
        <v>--</v>
      </c>
      <c r="T44" s="228" t="str">
        <f>IF(M44="RF",H44*P44*ROUND(L44/60,2),"--")</f>
        <v>--</v>
      </c>
      <c r="U44" s="46" t="str">
        <f>IF(D44="","","SI")</f>
        <v>SI</v>
      </c>
      <c r="V44" s="47">
        <f>IF(D44="","",SUM(Q44:T44)*IF(U44="SI",1,2))</f>
        <v>1306.3831040000002</v>
      </c>
      <c r="W44" s="82"/>
    </row>
    <row r="45" spans="2:23" s="13" customFormat="1" ht="16.5" customHeight="1">
      <c r="B45" s="81"/>
      <c r="C45" s="442" t="s">
        <v>145</v>
      </c>
      <c r="D45" s="457" t="s">
        <v>6</v>
      </c>
      <c r="E45" s="503" t="s">
        <v>10</v>
      </c>
      <c r="F45" s="504"/>
      <c r="G45" s="457">
        <v>132</v>
      </c>
      <c r="H45" s="182">
        <f>IF(G45=500,$M$19,IF(G45=220,$M$20,$M$21))</f>
        <v>39.2543</v>
      </c>
      <c r="I45" s="449">
        <v>38623.42152777778</v>
      </c>
      <c r="J45" s="450">
        <v>38623.71527777778</v>
      </c>
      <c r="K45" s="45">
        <f>IF(D45="","",(J45-I45)*24)</f>
        <v>7.050000000104774</v>
      </c>
      <c r="L45" s="44">
        <f t="shared" si="2"/>
        <v>423</v>
      </c>
      <c r="M45" s="446" t="s">
        <v>131</v>
      </c>
      <c r="N45" s="506" t="str">
        <f>IF(D45="","",IF(OR(M45="P",M45="RP"),"--","NO"))</f>
        <v>--</v>
      </c>
      <c r="O45" s="507"/>
      <c r="P45" s="221">
        <f>IF(G45=500,$N$19,IF(G45=220,$N$20,$N$21))</f>
        <v>40</v>
      </c>
      <c r="Q45" s="223">
        <f>IF(M45="P",H45*P45*ROUND(L45/60,2)*0.1,"--")</f>
        <v>1106.97126</v>
      </c>
      <c r="R45" s="226" t="str">
        <f>IF(AND(M45="F",N45="NO"),H45*P45,"--")</f>
        <v>--</v>
      </c>
      <c r="S45" s="227" t="str">
        <f>IF(M45="F",H45*P45*ROUND(L45/60,2),"--")</f>
        <v>--</v>
      </c>
      <c r="T45" s="228" t="str">
        <f>IF(M45="RF",H45*P45*ROUND(L45/60,2),"--")</f>
        <v>--</v>
      </c>
      <c r="U45" s="46" t="str">
        <f>IF(D45="","","SI")</f>
        <v>SI</v>
      </c>
      <c r="V45" s="47">
        <f>IF(D45="","",SUM(Q45:T45)*IF(U45="SI",1,2))</f>
        <v>1106.97126</v>
      </c>
      <c r="W45" s="82"/>
    </row>
    <row r="46" spans="2:23" s="13" customFormat="1" ht="16.5" customHeight="1">
      <c r="B46" s="81"/>
      <c r="C46" s="442" t="s">
        <v>146</v>
      </c>
      <c r="D46" s="457" t="s">
        <v>6</v>
      </c>
      <c r="E46" s="503" t="s">
        <v>8</v>
      </c>
      <c r="F46" s="504"/>
      <c r="G46" s="457">
        <v>132</v>
      </c>
      <c r="H46" s="182">
        <f>IF(G46=500,$M$19,IF(G46=220,$M$20,$M$21))</f>
        <v>39.2543</v>
      </c>
      <c r="I46" s="449">
        <v>38624.35</v>
      </c>
      <c r="J46" s="450">
        <v>38624.739583333336</v>
      </c>
      <c r="K46" s="45">
        <f>IF(D46="","",(J46-I46)*24)</f>
        <v>9.350000000093132</v>
      </c>
      <c r="L46" s="44">
        <f t="shared" si="2"/>
        <v>561</v>
      </c>
      <c r="M46" s="446" t="s">
        <v>131</v>
      </c>
      <c r="N46" s="506" t="str">
        <f>IF(D46="","",IF(OR(M46="P",M46="RP"),"--","NO"))</f>
        <v>--</v>
      </c>
      <c r="O46" s="507"/>
      <c r="P46" s="221">
        <f>IF(G46=500,$N$19,IF(G46=220,$N$20,$N$21))</f>
        <v>40</v>
      </c>
      <c r="Q46" s="223">
        <f>IF(M46="P",H46*P46*ROUND(L46/60,2)*0.1,"--")</f>
        <v>1468.11082</v>
      </c>
      <c r="R46" s="226" t="str">
        <f>IF(AND(M46="F",N46="NO"),H46*P46,"--")</f>
        <v>--</v>
      </c>
      <c r="S46" s="227" t="str">
        <f>IF(M46="F",H46*P46*ROUND(L46/60,2),"--")</f>
        <v>--</v>
      </c>
      <c r="T46" s="228" t="str">
        <f>IF(M46="RF",H46*P46*ROUND(L46/60,2),"--")</f>
        <v>--</v>
      </c>
      <c r="U46" s="46" t="str">
        <f>IF(D46="","","SI")</f>
        <v>SI</v>
      </c>
      <c r="V46" s="47">
        <f>IF(D46="","",SUM(Q46:T46)*IF(U46="SI",1,2))</f>
        <v>1468.11082</v>
      </c>
      <c r="W46" s="82"/>
    </row>
    <row r="47" spans="2:23" s="13" customFormat="1" ht="16.5" customHeight="1">
      <c r="B47" s="81"/>
      <c r="C47" s="442" t="s">
        <v>147</v>
      </c>
      <c r="D47" s="457" t="s">
        <v>6</v>
      </c>
      <c r="E47" s="503" t="s">
        <v>123</v>
      </c>
      <c r="F47" s="504"/>
      <c r="G47" s="457">
        <v>132</v>
      </c>
      <c r="H47" s="182">
        <f>IF(G47=500,$M$19,IF(G47=220,$M$20,$M$21))</f>
        <v>39.2543</v>
      </c>
      <c r="I47" s="449">
        <v>38625.41527777778</v>
      </c>
      <c r="J47" s="450">
        <v>38625.7375</v>
      </c>
      <c r="K47" s="45">
        <f>IF(D47="","",(J47-I47)*24)</f>
        <v>7.7333333333954215</v>
      </c>
      <c r="L47" s="44">
        <f t="shared" si="2"/>
        <v>464</v>
      </c>
      <c r="M47" s="446" t="s">
        <v>131</v>
      </c>
      <c r="N47" s="506" t="str">
        <f>IF(D47="","",IF(OR(M47="P",M47="RP"),"--","NO"))</f>
        <v>--</v>
      </c>
      <c r="O47" s="507"/>
      <c r="P47" s="221">
        <f>IF(G47=500,$N$19,IF(G47=220,$N$20,$N$21))</f>
        <v>40</v>
      </c>
      <c r="Q47" s="223">
        <f>IF(M47="P",H47*P47*ROUND(L47/60,2)*0.1,"--")</f>
        <v>1213.742956</v>
      </c>
      <c r="R47" s="226" t="str">
        <f>IF(AND(M47="F",N47="NO"),H47*P47,"--")</f>
        <v>--</v>
      </c>
      <c r="S47" s="227" t="str">
        <f>IF(M47="F",H47*P47*ROUND(L47/60,2),"--")</f>
        <v>--</v>
      </c>
      <c r="T47" s="228" t="str">
        <f>IF(M47="RF",H47*P47*ROUND(L47/60,2),"--")</f>
        <v>--</v>
      </c>
      <c r="U47" s="46" t="str">
        <f>IF(D47="","","SI")</f>
        <v>SI</v>
      </c>
      <c r="V47" s="47">
        <f>IF(D47="","",SUM(Q47:T47)*IF(U47="SI",1,2))</f>
        <v>1213.742956</v>
      </c>
      <c r="W47" s="82"/>
    </row>
    <row r="48" spans="2:28" s="13" customFormat="1" ht="16.5" customHeight="1" thickBot="1">
      <c r="B48" s="81"/>
      <c r="C48" s="419"/>
      <c r="D48" s="420"/>
      <c r="E48" s="420"/>
      <c r="F48" s="421"/>
      <c r="G48" s="422"/>
      <c r="H48" s="423"/>
      <c r="I48" s="424"/>
      <c r="J48" s="425"/>
      <c r="K48" s="426"/>
      <c r="L48" s="427"/>
      <c r="M48" s="428"/>
      <c r="N48" s="429"/>
      <c r="O48" s="428"/>
      <c r="P48" s="430"/>
      <c r="Q48" s="431"/>
      <c r="R48" s="432"/>
      <c r="S48" s="433"/>
      <c r="T48" s="434"/>
      <c r="U48" s="435"/>
      <c r="V48" s="436"/>
      <c r="W48" s="82"/>
      <c r="X48"/>
      <c r="Y48"/>
      <c r="Z48"/>
      <c r="AA48"/>
      <c r="AB48"/>
    </row>
    <row r="49" spans="1:23" ht="17.25" thickBot="1" thickTop="1">
      <c r="A49" s="63"/>
      <c r="B49" s="149"/>
      <c r="C49" s="143"/>
      <c r="D49" s="150"/>
      <c r="E49" s="151"/>
      <c r="F49" s="152"/>
      <c r="G49" s="153"/>
      <c r="H49" s="153"/>
      <c r="I49" s="151"/>
      <c r="J49" s="131"/>
      <c r="K49" s="131"/>
      <c r="L49" s="151"/>
      <c r="M49" s="151"/>
      <c r="N49" s="151"/>
      <c r="O49" s="154"/>
      <c r="P49" s="151"/>
      <c r="Q49" s="151"/>
      <c r="R49" s="155"/>
      <c r="S49" s="156"/>
      <c r="T49" s="156"/>
      <c r="U49" s="157"/>
      <c r="V49" s="213">
        <f>SUM(V44:V48)</f>
        <v>5095.208140000001</v>
      </c>
      <c r="W49" s="160"/>
    </row>
    <row r="50" spans="1:23" ht="17.25" thickBot="1" thickTop="1">
      <c r="A50" s="63"/>
      <c r="B50" s="149"/>
      <c r="C50" s="143"/>
      <c r="D50" s="150"/>
      <c r="E50" s="151"/>
      <c r="F50" s="152"/>
      <c r="G50" s="153"/>
      <c r="H50" s="153"/>
      <c r="I50" s="326" t="s">
        <v>75</v>
      </c>
      <c r="J50" s="412">
        <f>+V49+V32</f>
        <v>5095.208140000001</v>
      </c>
      <c r="L50" s="151"/>
      <c r="M50" s="151"/>
      <c r="N50" s="151"/>
      <c r="O50" s="154"/>
      <c r="P50" s="151"/>
      <c r="Q50" s="151"/>
      <c r="R50" s="155"/>
      <c r="S50" s="156"/>
      <c r="T50" s="156"/>
      <c r="U50" s="157"/>
      <c r="W50" s="160"/>
    </row>
    <row r="51" spans="1:23" ht="13.5" customHeight="1" thickTop="1">
      <c r="A51" s="63"/>
      <c r="B51" s="149"/>
      <c r="C51" s="143"/>
      <c r="D51" s="150"/>
      <c r="E51" s="151"/>
      <c r="F51" s="152"/>
      <c r="G51" s="153"/>
      <c r="H51" s="153"/>
      <c r="I51" s="151"/>
      <c r="J51" s="131"/>
      <c r="K51" s="131"/>
      <c r="L51" s="151"/>
      <c r="M51" s="151"/>
      <c r="N51" s="151"/>
      <c r="O51" s="154"/>
      <c r="P51" s="151"/>
      <c r="Q51" s="151"/>
      <c r="R51" s="155"/>
      <c r="S51" s="156"/>
      <c r="T51" s="156"/>
      <c r="U51" s="157"/>
      <c r="W51" s="160"/>
    </row>
    <row r="52" spans="1:23" ht="16.5" customHeight="1">
      <c r="A52" s="63"/>
      <c r="B52" s="149"/>
      <c r="C52" s="161" t="s">
        <v>76</v>
      </c>
      <c r="D52" s="162" t="s">
        <v>77</v>
      </c>
      <c r="E52" s="151"/>
      <c r="F52" s="152"/>
      <c r="G52" s="153"/>
      <c r="H52" s="153"/>
      <c r="I52" s="151"/>
      <c r="J52" s="131"/>
      <c r="K52" s="131"/>
      <c r="L52" s="151"/>
      <c r="M52" s="151"/>
      <c r="N52" s="151"/>
      <c r="O52" s="154"/>
      <c r="P52" s="151"/>
      <c r="Q52" s="151"/>
      <c r="R52" s="155"/>
      <c r="S52" s="156"/>
      <c r="T52" s="156"/>
      <c r="U52" s="157"/>
      <c r="W52" s="160"/>
    </row>
    <row r="53" spans="1:23" ht="16.5" customHeight="1">
      <c r="A53" s="63"/>
      <c r="B53" s="149"/>
      <c r="C53" s="161"/>
      <c r="D53" s="150"/>
      <c r="E53" s="151"/>
      <c r="F53" s="152"/>
      <c r="G53" s="153"/>
      <c r="H53" s="153"/>
      <c r="I53" s="151"/>
      <c r="J53" s="131"/>
      <c r="K53" s="131"/>
      <c r="L53" s="151"/>
      <c r="M53" s="151"/>
      <c r="N53" s="151"/>
      <c r="O53" s="154"/>
      <c r="P53" s="151"/>
      <c r="Q53" s="151"/>
      <c r="R53" s="151"/>
      <c r="S53" s="155"/>
      <c r="T53" s="156"/>
      <c r="W53" s="160"/>
    </row>
    <row r="54" spans="2:23" s="63" customFormat="1" ht="16.5" customHeight="1">
      <c r="B54" s="149"/>
      <c r="C54" s="143"/>
      <c r="D54" s="171" t="s">
        <v>85</v>
      </c>
      <c r="E54" s="146" t="s">
        <v>86</v>
      </c>
      <c r="F54" s="146" t="s">
        <v>79</v>
      </c>
      <c r="G54" s="301" t="s">
        <v>87</v>
      </c>
      <c r="H54"/>
      <c r="I54" s="317"/>
      <c r="J54" s="167" t="s">
        <v>90</v>
      </c>
      <c r="K54" s="167"/>
      <c r="L54" s="146" t="s">
        <v>79</v>
      </c>
      <c r="M54" t="s">
        <v>106</v>
      </c>
      <c r="O54" s="301" t="s">
        <v>107</v>
      </c>
      <c r="P54"/>
      <c r="Q54" s="165"/>
      <c r="R54" s="165"/>
      <c r="S54" s="65"/>
      <c r="T54"/>
      <c r="U54"/>
      <c r="V54"/>
      <c r="W54" s="160"/>
    </row>
    <row r="55" spans="2:23" s="63" customFormat="1" ht="16.5" customHeight="1">
      <c r="B55" s="149"/>
      <c r="C55" s="143"/>
      <c r="D55" s="318" t="s">
        <v>108</v>
      </c>
      <c r="E55" s="318">
        <v>300</v>
      </c>
      <c r="F55" s="405">
        <v>500</v>
      </c>
      <c r="G55" s="508">
        <f>+E55*$F$20*$F$21</f>
        <v>52920</v>
      </c>
      <c r="H55" s="508"/>
      <c r="I55" s="508"/>
      <c r="J55" s="406" t="s">
        <v>109</v>
      </c>
      <c r="K55" s="406"/>
      <c r="L55" s="318">
        <v>500</v>
      </c>
      <c r="M55" s="318">
        <v>2</v>
      </c>
      <c r="O55" s="508">
        <f>+M55*$F$20*$M$19</f>
        <v>70653.59999999999</v>
      </c>
      <c r="P55" s="508"/>
      <c r="Q55" s="508"/>
      <c r="R55" s="508"/>
      <c r="S55" s="508"/>
      <c r="T55" s="508"/>
      <c r="U55" s="508"/>
      <c r="V55"/>
      <c r="W55" s="160"/>
    </row>
    <row r="56" spans="2:23" s="63" customFormat="1" ht="16.5" customHeight="1">
      <c r="B56" s="149"/>
      <c r="C56" s="143"/>
      <c r="D56" s="318" t="s">
        <v>110</v>
      </c>
      <c r="E56" s="320">
        <v>300</v>
      </c>
      <c r="F56" s="405">
        <v>500</v>
      </c>
      <c r="G56" s="508">
        <f>+E56*$F$20*$F$21</f>
        <v>52920</v>
      </c>
      <c r="H56" s="508"/>
      <c r="I56" s="508"/>
      <c r="J56" s="406" t="s">
        <v>109</v>
      </c>
      <c r="K56" s="406"/>
      <c r="L56" s="318">
        <v>132</v>
      </c>
      <c r="M56" s="318">
        <v>9</v>
      </c>
      <c r="O56" s="508">
        <f>+M56*$F$20*$M$19</f>
        <v>317941.2</v>
      </c>
      <c r="P56" s="508"/>
      <c r="Q56" s="508"/>
      <c r="R56" s="508"/>
      <c r="S56" s="508"/>
      <c r="T56" s="508"/>
      <c r="U56" s="508"/>
      <c r="V56"/>
      <c r="W56" s="160"/>
    </row>
    <row r="57" spans="2:23" s="63" customFormat="1" ht="16.5" customHeight="1">
      <c r="B57" s="149"/>
      <c r="C57" s="143"/>
      <c r="D57" s="319" t="s">
        <v>111</v>
      </c>
      <c r="E57" s="320">
        <v>300</v>
      </c>
      <c r="F57" s="405">
        <v>500</v>
      </c>
      <c r="G57" s="508">
        <f>+E57*$F$20*$F$21</f>
        <v>52920</v>
      </c>
      <c r="H57" s="508"/>
      <c r="I57" s="508"/>
      <c r="J57" s="406" t="s">
        <v>112</v>
      </c>
      <c r="K57" s="406"/>
      <c r="L57" s="318">
        <v>132</v>
      </c>
      <c r="M57" s="318">
        <v>8</v>
      </c>
      <c r="O57" s="508">
        <f>+M57*$F$20*$M$19</f>
        <v>282614.39999999997</v>
      </c>
      <c r="P57" s="508"/>
      <c r="Q57" s="508"/>
      <c r="R57" s="508"/>
      <c r="S57" s="508"/>
      <c r="T57" s="508"/>
      <c r="U57" s="508"/>
      <c r="V57"/>
      <c r="W57" s="160"/>
    </row>
    <row r="58" spans="1:23" ht="16.5" customHeight="1">
      <c r="A58" s="63"/>
      <c r="B58" s="149"/>
      <c r="C58" s="143"/>
      <c r="D58" s="319" t="s">
        <v>113</v>
      </c>
      <c r="E58" s="320">
        <v>300</v>
      </c>
      <c r="F58" s="405">
        <v>500</v>
      </c>
      <c r="G58" s="508">
        <f>+E58*$F$20*$F$21</f>
        <v>52920</v>
      </c>
      <c r="H58" s="508"/>
      <c r="I58" s="508"/>
      <c r="J58" s="406" t="s">
        <v>114</v>
      </c>
      <c r="K58" s="406"/>
      <c r="L58" s="318">
        <v>132</v>
      </c>
      <c r="M58" s="318">
        <v>5</v>
      </c>
      <c r="O58" s="509">
        <f>+M58*$F$20*$M$19</f>
        <v>176634</v>
      </c>
      <c r="P58" s="509"/>
      <c r="Q58" s="509"/>
      <c r="R58" s="509"/>
      <c r="S58" s="509"/>
      <c r="T58" s="509"/>
      <c r="U58" s="509"/>
      <c r="W58" s="160"/>
    </row>
    <row r="59" spans="1:23" ht="16.5" customHeight="1">
      <c r="A59" s="63"/>
      <c r="B59" s="149"/>
      <c r="C59" s="143"/>
      <c r="D59" s="319" t="s">
        <v>115</v>
      </c>
      <c r="E59" s="320">
        <v>300</v>
      </c>
      <c r="F59" s="405">
        <v>500</v>
      </c>
      <c r="G59" s="509">
        <f>+E59*$F$20*$F$21</f>
        <v>52920</v>
      </c>
      <c r="H59" s="509"/>
      <c r="I59" s="509"/>
      <c r="M59" s="318"/>
      <c r="O59" s="508">
        <f>SUM(O55:P58)</f>
        <v>847843.2</v>
      </c>
      <c r="P59" s="508"/>
      <c r="Q59" s="508"/>
      <c r="R59" s="508"/>
      <c r="S59" s="508"/>
      <c r="T59" s="508"/>
      <c r="U59" s="508"/>
      <c r="W59" s="160"/>
    </row>
    <row r="60" spans="1:23" ht="16.5" customHeight="1">
      <c r="A60" s="63"/>
      <c r="B60" s="149"/>
      <c r="C60" s="143"/>
      <c r="D60" s="319"/>
      <c r="E60" s="320"/>
      <c r="F60" s="405"/>
      <c r="G60" s="508">
        <f>SUM(G55:G59)</f>
        <v>264600</v>
      </c>
      <c r="H60" s="508"/>
      <c r="I60" s="508"/>
      <c r="M60" s="318"/>
      <c r="N60" s="317"/>
      <c r="O60" s="317"/>
      <c r="P60" s="158"/>
      <c r="Q60" s="158"/>
      <c r="R60" s="158"/>
      <c r="S60" s="158"/>
      <c r="W60" s="160"/>
    </row>
    <row r="61" spans="1:23" ht="16.5" customHeight="1" thickBot="1">
      <c r="A61" s="63"/>
      <c r="B61" s="149"/>
      <c r="C61" s="143"/>
      <c r="D61" s="171"/>
      <c r="E61" s="257"/>
      <c r="F61" s="257"/>
      <c r="G61" s="146"/>
      <c r="I61" s="163"/>
      <c r="J61" s="301"/>
      <c r="L61" s="300"/>
      <c r="M61" s="163"/>
      <c r="N61" s="164"/>
      <c r="O61" s="165"/>
      <c r="P61" s="165"/>
      <c r="Q61" s="165"/>
      <c r="R61" s="165"/>
      <c r="S61" s="165"/>
      <c r="W61" s="160"/>
    </row>
    <row r="62" spans="1:23" ht="16.5" customHeight="1" thickBot="1" thickTop="1">
      <c r="A62" s="63"/>
      <c r="B62" s="149"/>
      <c r="C62" s="143"/>
      <c r="D62" s="146"/>
      <c r="E62" s="407"/>
      <c r="F62" s="407"/>
      <c r="G62" s="214"/>
      <c r="H62" s="3"/>
      <c r="I62" s="326" t="s">
        <v>116</v>
      </c>
      <c r="J62" s="412">
        <f>+G60+O59</f>
        <v>1112443.2</v>
      </c>
      <c r="L62" s="296"/>
      <c r="M62" s="3"/>
      <c r="N62" s="299"/>
      <c r="O62" s="158"/>
      <c r="P62" s="158"/>
      <c r="Q62" s="158"/>
      <c r="R62" s="158"/>
      <c r="S62" s="158"/>
      <c r="W62" s="160"/>
    </row>
    <row r="63" spans="1:23" ht="16.5" customHeight="1" thickTop="1">
      <c r="A63" s="63"/>
      <c r="B63" s="149"/>
      <c r="C63" s="143"/>
      <c r="D63" s="131"/>
      <c r="E63" s="133"/>
      <c r="F63" s="146"/>
      <c r="G63" s="146"/>
      <c r="H63" s="147"/>
      <c r="J63" s="146"/>
      <c r="L63" s="168"/>
      <c r="M63" s="164"/>
      <c r="N63" s="164"/>
      <c r="O63" s="165"/>
      <c r="P63" s="165"/>
      <c r="Q63" s="165"/>
      <c r="R63" s="165"/>
      <c r="S63" s="165"/>
      <c r="W63" s="160"/>
    </row>
    <row r="64" spans="2:23" ht="16.5" customHeight="1">
      <c r="B64" s="149"/>
      <c r="C64" s="161" t="s">
        <v>95</v>
      </c>
      <c r="D64" s="169" t="s">
        <v>96</v>
      </c>
      <c r="E64" s="146"/>
      <c r="F64" s="170"/>
      <c r="G64" s="132"/>
      <c r="H64" s="131"/>
      <c r="I64" s="131"/>
      <c r="J64" s="131"/>
      <c r="K64" s="146"/>
      <c r="L64" s="146"/>
      <c r="M64" s="131"/>
      <c r="N64" s="146"/>
      <c r="O64" s="131"/>
      <c r="P64" s="131"/>
      <c r="Q64" s="131"/>
      <c r="R64" s="131"/>
      <c r="S64" s="131"/>
      <c r="T64" s="131"/>
      <c r="U64" s="131"/>
      <c r="W64" s="160"/>
    </row>
    <row r="65" spans="2:23" s="63" customFormat="1" ht="16.5" customHeight="1">
      <c r="B65" s="149"/>
      <c r="C65" s="143"/>
      <c r="D65" s="171" t="s">
        <v>97</v>
      </c>
      <c r="E65" s="172">
        <f>10*J50*J25/J62</f>
        <v>1273.8020350000004</v>
      </c>
      <c r="G65" s="132"/>
      <c r="L65" s="146"/>
      <c r="N65" s="146"/>
      <c r="O65" s="147"/>
      <c r="V65"/>
      <c r="W65" s="160"/>
    </row>
    <row r="66" spans="2:23" s="63" customFormat="1" ht="12.75" customHeight="1">
      <c r="B66" s="149"/>
      <c r="C66" s="143"/>
      <c r="E66" s="293"/>
      <c r="F66" s="145"/>
      <c r="G66" s="132"/>
      <c r="J66" s="132"/>
      <c r="K66" s="174"/>
      <c r="L66" s="146"/>
      <c r="M66" s="146"/>
      <c r="N66" s="146"/>
      <c r="O66" s="147"/>
      <c r="P66" s="146"/>
      <c r="Q66" s="146"/>
      <c r="R66" s="291"/>
      <c r="S66" s="291"/>
      <c r="T66" s="291"/>
      <c r="U66" s="292"/>
      <c r="V66"/>
      <c r="W66" s="160"/>
    </row>
    <row r="67" spans="2:23" ht="16.5" customHeight="1">
      <c r="B67" s="149"/>
      <c r="C67" s="143"/>
      <c r="D67" s="175" t="s">
        <v>122</v>
      </c>
      <c r="E67" s="173"/>
      <c r="F67" s="145"/>
      <c r="G67" s="132"/>
      <c r="H67" s="131"/>
      <c r="I67" s="131"/>
      <c r="N67" s="146"/>
      <c r="O67" s="147"/>
      <c r="P67" s="146"/>
      <c r="Q67" s="146"/>
      <c r="R67" s="163"/>
      <c r="S67" s="163"/>
      <c r="T67" s="163"/>
      <c r="U67" s="164"/>
      <c r="W67" s="160"/>
    </row>
    <row r="68" spans="2:23" ht="13.5" customHeight="1" thickBot="1">
      <c r="B68" s="149"/>
      <c r="C68" s="143"/>
      <c r="D68" s="175"/>
      <c r="E68" s="173"/>
      <c r="F68" s="145"/>
      <c r="G68" s="132"/>
      <c r="H68" s="131"/>
      <c r="I68" s="131"/>
      <c r="N68" s="146"/>
      <c r="O68" s="147"/>
      <c r="P68" s="146"/>
      <c r="Q68" s="146"/>
      <c r="R68" s="163"/>
      <c r="S68" s="163"/>
      <c r="T68" s="163"/>
      <c r="U68" s="164"/>
      <c r="W68" s="160"/>
    </row>
    <row r="69" spans="2:23" s="308" customFormat="1" ht="21" thickBot="1" thickTop="1">
      <c r="B69" s="302"/>
      <c r="C69" s="303"/>
      <c r="D69" s="304"/>
      <c r="E69" s="305"/>
      <c r="F69" s="306"/>
      <c r="G69" s="307"/>
      <c r="I69" s="309" t="s">
        <v>99</v>
      </c>
      <c r="J69" s="310">
        <f>IF(E65&gt;3*J25,J25*3,E65)</f>
        <v>1273.8020350000004</v>
      </c>
      <c r="M69" s="311"/>
      <c r="N69" s="311"/>
      <c r="O69" s="312"/>
      <c r="P69" s="311"/>
      <c r="Q69" s="311"/>
      <c r="R69" s="313"/>
      <c r="S69" s="313"/>
      <c r="T69" s="313"/>
      <c r="U69" s="314"/>
      <c r="V69"/>
      <c r="W69" s="315"/>
    </row>
    <row r="70" spans="2:23" ht="16.5" customHeight="1" thickBot="1" thickTop="1">
      <c r="B70" s="85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180"/>
      <c r="W70" s="176"/>
    </row>
    <row r="71" spans="2:23" ht="16.5" customHeight="1" thickTop="1">
      <c r="B71" s="9"/>
      <c r="C71" s="394"/>
      <c r="W71" s="9"/>
    </row>
  </sheetData>
  <sheetProtection password="CC12"/>
  <mergeCells count="38">
    <mergeCell ref="E42:F42"/>
    <mergeCell ref="E43:F43"/>
    <mergeCell ref="N36:O36"/>
    <mergeCell ref="N37:O37"/>
    <mergeCell ref="N38:O38"/>
    <mergeCell ref="N39:O39"/>
    <mergeCell ref="N40:O40"/>
    <mergeCell ref="N41:O41"/>
    <mergeCell ref="N42:O42"/>
    <mergeCell ref="N43:O43"/>
    <mergeCell ref="G59:I59"/>
    <mergeCell ref="G60:I60"/>
    <mergeCell ref="G55:I55"/>
    <mergeCell ref="G56:I56"/>
    <mergeCell ref="G57:I57"/>
    <mergeCell ref="G58:I58"/>
    <mergeCell ref="O58:U58"/>
    <mergeCell ref="O59:U59"/>
    <mergeCell ref="O56:U56"/>
    <mergeCell ref="O57:U57"/>
    <mergeCell ref="O55:U55"/>
    <mergeCell ref="E46:F46"/>
    <mergeCell ref="E47:F47"/>
    <mergeCell ref="N47:O47"/>
    <mergeCell ref="N34:O34"/>
    <mergeCell ref="N44:O44"/>
    <mergeCell ref="N45:O45"/>
    <mergeCell ref="N46:O46"/>
    <mergeCell ref="E34:F34"/>
    <mergeCell ref="E35:F35"/>
    <mergeCell ref="E44:F44"/>
    <mergeCell ref="E45:F45"/>
    <mergeCell ref="E36:F36"/>
    <mergeCell ref="E37:F37"/>
    <mergeCell ref="E38:F38"/>
    <mergeCell ref="E39:F39"/>
    <mergeCell ref="E40:F40"/>
    <mergeCell ref="E41:F41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 DRdR</cp:lastModifiedBy>
  <cp:lastPrinted>2008-05-27T14:31:12Z</cp:lastPrinted>
  <dcterms:created xsi:type="dcterms:W3CDTF">1998-04-21T14:28:46Z</dcterms:created>
  <dcterms:modified xsi:type="dcterms:W3CDTF">2008-06-09T14:15:50Z</dcterms:modified>
  <cp:category/>
  <cp:version/>
  <cp:contentType/>
  <cp:contentStatus/>
</cp:coreProperties>
</file>