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60" activeTab="0"/>
  </bookViews>
  <sheets>
    <sheet name="TOT-0611" sheetId="1" r:id="rId1"/>
    <sheet name="LI-06 (1)" sheetId="2" r:id="rId2"/>
    <sheet name="LI-SPSE-06 (1)" sheetId="3" r:id="rId3"/>
    <sheet name="TR-06 (1)" sheetId="4" r:id="rId4"/>
    <sheet name="TR-EDERSA-06 (1)" sheetId="5" r:id="rId5"/>
    <sheet name="RE-06 (1)" sheetId="6" r:id="rId6"/>
    <sheet name="SUP-EDERSA" sheetId="7" r:id="rId7"/>
    <sheet name="SUP-SPSE" sheetId="8" r:id="rId8"/>
    <sheet name="TASA FALLA " sheetId="9" r:id="rId9"/>
  </sheets>
  <externalReferences>
    <externalReference r:id="rId12"/>
  </externalReferences>
  <definedNames>
    <definedName name="_xlnm.Print_Area" localSheetId="8">'TASA FALLA '!$A$1:$T$57</definedName>
    <definedName name="DD" localSheetId="8">'TASA FALLA '!DD</definedName>
    <definedName name="DD">[0]!DD</definedName>
    <definedName name="DDD" localSheetId="8">'TASA FALLA '!DDD</definedName>
    <definedName name="DDD">[0]!DDD</definedName>
    <definedName name="DISTROCUYO" localSheetId="8">'TASA FALLA '!DISTROCUYO</definedName>
    <definedName name="DISTROCUYO">[0]!DISTROCUYO</definedName>
    <definedName name="INICIO" localSheetId="8">'TASA FALLA '!INICIO</definedName>
    <definedName name="INICIO">[0]!INICIO</definedName>
    <definedName name="INICIOTI" localSheetId="8">'TASA FALLA '!INICIOTI</definedName>
    <definedName name="INICIOTI">[0]!INICIOTI</definedName>
    <definedName name="LINEAS" localSheetId="8">'TASA FALLA '!LINEAS</definedName>
    <definedName name="LINEAS">[0]!LINEAS</definedName>
    <definedName name="NAME_L" localSheetId="8">'TASA FALLA '!NAME_L</definedName>
    <definedName name="NAME_L">[0]!NAME_L</definedName>
    <definedName name="NAME_L_TI" localSheetId="8">'TASA FALLA '!NAME_L_TI</definedName>
    <definedName name="NAME_L_TI">[0]!NAME_L_TI</definedName>
    <definedName name="TRAN" localSheetId="8">'TASA FALLA '!TRAN</definedName>
    <definedName name="TRAN">[0]!TRAN</definedName>
    <definedName name="TRANSNOA" localSheetId="8">'TASA FALLA '!TRANSNOA</definedName>
    <definedName name="TRANSNOA">[0]!TRANSNOA</definedName>
    <definedName name="x" localSheetId="8">'TASA FALLA '!x</definedName>
    <definedName name="x">[0]!x</definedName>
    <definedName name="XX" localSheetId="8">'TASA FALLA '!XX</definedName>
    <definedName name="XX">[0]!XX</definedName>
  </definedNames>
  <calcPr fullCalcOnLoad="1"/>
</workbook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<sst xmlns="http://schemas.openxmlformats.org/spreadsheetml/2006/main" count="364" uniqueCount="183">
  <si>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</si>
  <si>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</si>
  <si>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</si>
  <si>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</si>
  <si>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</si>
  <si>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</si>
  <si>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</si>
  <si>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</si>
  <si>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</si>
  <si>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</si>
  <si>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</si>
  <si>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</si>
  <si>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</si>
  <si>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</si>
  <si>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</si>
  <si>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</si>
  <si>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</si>
  <si>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</si>
  <si>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</si>
  <si>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</si>
  <si>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</si>
  <si>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</si>
  <si>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</si>
  <si>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</si>
  <si>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</si>
  <si>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</si>
  <si>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Transportista Independiente E.D.E.R.S.A.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</si>
  <si>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</si>
  <si>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</si>
  <si>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</si>
  <si>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</si>
  <si>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</si>
  <si>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</si>
  <si>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</si>
  <si>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3.-</t>
  </si>
  <si>
    <t>POTENCIA REACTIVA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</si>
  <si>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</si>
  <si>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</si>
  <si>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</si>
  <si>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</si>
  <si>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</si>
  <si>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</si>
  <si>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</si>
  <si>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</si>
  <si>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</si>
  <si>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</si>
  <si>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</si>
  <si>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</si>
  <si>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</si>
  <si>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</si>
  <si>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</si>
  <si>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</si>
  <si>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</si>
  <si>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</si>
  <si>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</si>
  <si>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</si>
  <si>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</si>
  <si>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</si>
  <si>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</si>
  <si>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</si>
  <si>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</si>
  <si>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</si>
  <si>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</si>
  <si>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</si>
  <si>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</si>
  <si>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</si>
  <si>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</si>
  <si>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</si>
  <si>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</si>
  <si>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</si>
  <si>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</si>
  <si>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</si>
  <si>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</si>
  <si>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</si>
  <si>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</si>
  <si>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</si>
  <si>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</si>
  <si>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</si>
  <si>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</si>
  <si>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</si>
  <si>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</si>
  <si>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</si>
  <si>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</si>
  <si>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 xml:space="preserve">Salida en 132 kV o 66 kV = </t>
  </si>
  <si>
    <t xml:space="preserve">Salida en 33 kV </t>
  </si>
  <si>
    <t>Salida en 13,2 kV =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</si>
  <si>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</si>
  <si>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</si>
  <si>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</si>
  <si>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</si>
  <si>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</si>
  <si>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</si>
  <si>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</si>
  <si>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</si>
  <si>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</si>
  <si>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</si>
  <si>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</si>
  <si>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</si>
  <si>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</si>
  <si>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</si>
  <si>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</si>
  <si>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</si>
  <si>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</si>
  <si>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</si>
  <si>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</si>
  <si>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</si>
  <si>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</si>
  <si>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</si>
  <si>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</si>
  <si>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</si>
  <si>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</si>
  <si>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</si>
  <si>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</si>
  <si>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</si>
  <si>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</si>
  <si>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</si>
  <si>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</si>
  <si>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</si>
  <si>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</si>
  <si>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</si>
  <si>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</si>
  <si>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</si>
  <si>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</si>
  <si>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</si>
  <si>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</si>
  <si>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</si>
  <si>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</si>
  <si>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</si>
  <si>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</si>
  <si>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</si>
  <si>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</si>
  <si>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</si>
  <si>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</si>
  <si>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</si>
  <si>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</si>
  <si>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</si>
  <si>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4.2.- SUPERVISIÓN - Transportista Independiente S.P.S.E.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</si>
  <si>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</si>
  <si>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</si>
  <si>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</si>
  <si>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</si>
  <si>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</si>
  <si>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</si>
  <si>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Desde el 01 al 30 de junio de 2011</t>
  </si>
  <si>
    <t>PTO. MADRYN - SIERRA GRANDE</t>
  </si>
  <si>
    <t>P</t>
  </si>
  <si>
    <t>SI</t>
  </si>
  <si>
    <t>0,000</t>
  </si>
  <si>
    <t>FUTALEUFU - PTO. MADRYN 2</t>
  </si>
  <si>
    <t>F</t>
  </si>
  <si>
    <t>TRELEW</t>
  </si>
  <si>
    <t>TRAFO 4</t>
  </si>
  <si>
    <t>132/33/13,2</t>
  </si>
  <si>
    <t>PICO TRUNCADO 1</t>
  </si>
  <si>
    <t>AUTOTRAFO 7</t>
  </si>
  <si>
    <t>132/66/13,2</t>
  </si>
  <si>
    <t>FUTALEUFU</t>
  </si>
  <si>
    <t>Reactor 1</t>
  </si>
  <si>
    <t>PTQ C. RIVADAVIA  P. DESEADO</t>
  </si>
  <si>
    <t>132/6,6</t>
  </si>
  <si>
    <t>N</t>
  </si>
  <si>
    <t>1.2.- Transportista Independiente S.P.S.E.</t>
  </si>
  <si>
    <t>1.2.-</t>
  </si>
  <si>
    <t>PICO TRUNCADO I - PETROQUIMICA</t>
  </si>
  <si>
    <t>PETROQUIMICA  -  P. DESEADO</t>
  </si>
  <si>
    <t xml:space="preserve">SISTEMA DE TRANSPORTE DE ENERGÍA ELÉCTRICA POR DISTRIBUCIÓN TRONCAL </t>
  </si>
  <si>
    <t>INDISPONIBILIDADES FORZADAS DE LÍNEAS - TASA DE FALLA</t>
  </si>
  <si>
    <t>Tasa de falla correspondiente al mes de junio de 2011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</si>
  <si>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</si>
  <si>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</si>
  <si>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</si>
  <si>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</si>
  <si>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</si>
  <si>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</si>
  <si>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</si>
  <si>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</si>
  <si>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 xml:space="preserve"> -</t>
  </si>
  <si>
    <t>Valores remuneratorios Decreto PEN N° 1779/07 -  Res. ENRE N° 331/08 -  Res. ENRE N° 645/08</t>
  </si>
  <si>
    <t>P - PROGRAMADA  ; F - FORZADA</t>
  </si>
  <si>
    <t>F - FORZADA</t>
  </si>
  <si>
    <t>P - PROGRAMADA</t>
  </si>
  <si>
    <t>TOTAL DE PENALIZACIONES</t>
  </si>
  <si>
    <t xml:space="preserve">ANEXO VI al Memorandum D.T.E.E. N°482 / 2012 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</si>
</sst>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5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0" fillId="0" borderId="6" xfId="0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7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168" fontId="7" fillId="0" borderId="17" xfId="0" applyNumberFormat="1" applyFont="1" applyBorder="1" applyAlignment="1" applyProtection="1">
      <alignment horizontal="center"/>
      <protection/>
    </xf>
    <xf numFmtId="22" fontId="7" fillId="0" borderId="19" xfId="0" applyNumberFormat="1" applyFont="1" applyBorder="1" applyAlignment="1">
      <alignment horizontal="center"/>
    </xf>
    <xf numFmtId="22" fontId="7" fillId="0" borderId="1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 quotePrefix="1">
      <alignment horizontal="center"/>
      <protection/>
    </xf>
    <xf numFmtId="164" fontId="7" fillId="0" borderId="17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7" fontId="8" fillId="0" borderId="25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 applyProtection="1" quotePrefix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24" xfId="0" applyFont="1" applyFill="1" applyBorder="1" applyAlignment="1">
      <alignment horizontal="center" vertical="center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 quotePrefix="1">
      <alignment horizontal="center" vertical="center" wrapText="1"/>
      <protection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 applyProtection="1" quotePrefix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0" fontId="30" fillId="0" borderId="0" xfId="0" applyFont="1" applyAlignment="1">
      <alignment horizontal="centerContinuous"/>
    </xf>
    <xf numFmtId="2" fontId="7" fillId="0" borderId="27" xfId="0" applyNumberFormat="1" applyFont="1" applyFill="1" applyBorder="1" applyAlignment="1" applyProtection="1" quotePrefix="1">
      <alignment horizontal="center"/>
      <protection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164" fontId="0" fillId="0" borderId="25" xfId="0" applyNumberFormat="1" applyFont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 vertical="center" wrapText="1"/>
      <protection/>
    </xf>
    <xf numFmtId="0" fontId="27" fillId="0" borderId="22" xfId="0" applyFont="1" applyFill="1" applyBorder="1" applyAlignment="1">
      <alignment horizontal="center" vertical="center" wrapText="1"/>
    </xf>
    <xf numFmtId="168" fontId="18" fillId="0" borderId="17" xfId="0" applyNumberFormat="1" applyFont="1" applyFill="1" applyBorder="1" applyAlignment="1">
      <alignment horizontal="center"/>
    </xf>
    <xf numFmtId="168" fontId="18" fillId="0" borderId="15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4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25" xfId="0" applyFont="1" applyBorder="1" applyAlignment="1" applyProtection="1">
      <alignment horizontal="centerContinuous"/>
      <protection/>
    </xf>
    <xf numFmtId="167" fontId="0" fillId="0" borderId="25" xfId="0" applyNumberFormat="1" applyFont="1" applyBorder="1" applyAlignment="1">
      <alignment horizontal="centerContinuous"/>
    </xf>
    <xf numFmtId="0" fontId="39" fillId="0" borderId="26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22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2" xfId="0" applyFont="1" applyFill="1" applyBorder="1" applyAlignment="1">
      <alignment/>
    </xf>
    <xf numFmtId="0" fontId="39" fillId="0" borderId="2" xfId="0" applyFont="1" applyBorder="1" applyAlignment="1">
      <alignment/>
    </xf>
    <xf numFmtId="0" fontId="47" fillId="2" borderId="22" xfId="0" applyFont="1" applyFill="1" applyBorder="1" applyAlignment="1" applyProtection="1">
      <alignment horizontal="center" vertical="center"/>
      <protection/>
    </xf>
    <xf numFmtId="0" fontId="48" fillId="2" borderId="6" xfId="0" applyFont="1" applyFill="1" applyBorder="1" applyAlignment="1">
      <alignment/>
    </xf>
    <xf numFmtId="168" fontId="49" fillId="2" borderId="3" xfId="0" applyNumberFormat="1" applyFont="1" applyFill="1" applyBorder="1" applyAlignment="1" applyProtection="1">
      <alignment horizontal="center"/>
      <protection/>
    </xf>
    <xf numFmtId="168" fontId="49" fillId="2" borderId="4" xfId="0" applyNumberFormat="1" applyFont="1" applyFill="1" applyBorder="1" applyAlignment="1" applyProtection="1">
      <alignment horizontal="center"/>
      <protection/>
    </xf>
    <xf numFmtId="0" fontId="49" fillId="2" borderId="6" xfId="0" applyFont="1" applyFill="1" applyBorder="1" applyAlignment="1">
      <alignment/>
    </xf>
    <xf numFmtId="0" fontId="49" fillId="2" borderId="4" xfId="0" applyFont="1" applyFill="1" applyBorder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3" fillId="3" borderId="22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0" fontId="53" fillId="4" borderId="22" xfId="0" applyFont="1" applyFill="1" applyBorder="1" applyAlignment="1">
      <alignment horizontal="center" vertical="center" wrapText="1"/>
    </xf>
    <xf numFmtId="0" fontId="54" fillId="4" borderId="6" xfId="0" applyFont="1" applyFill="1" applyBorder="1" applyAlignment="1">
      <alignment/>
    </xf>
    <xf numFmtId="0" fontId="54" fillId="4" borderId="3" xfId="0" applyFont="1" applyFill="1" applyBorder="1" applyAlignment="1">
      <alignment/>
    </xf>
    <xf numFmtId="0" fontId="27" fillId="5" borderId="22" xfId="0" applyFont="1" applyFill="1" applyBorder="1" applyAlignment="1" applyProtection="1">
      <alignment horizontal="centerContinuous" vertical="center" wrapText="1"/>
      <protection/>
    </xf>
    <xf numFmtId="0" fontId="25" fillId="5" borderId="23" xfId="0" applyFont="1" applyFill="1" applyBorder="1" applyAlignment="1">
      <alignment horizontal="centerContinuous"/>
    </xf>
    <xf numFmtId="0" fontId="27" fillId="5" borderId="25" xfId="0" applyFont="1" applyFill="1" applyBorder="1" applyAlignment="1">
      <alignment horizontal="centerContinuous" vertical="center"/>
    </xf>
    <xf numFmtId="0" fontId="56" fillId="5" borderId="32" xfId="0" applyFont="1" applyFill="1" applyBorder="1" applyAlignment="1">
      <alignment horizontal="center"/>
    </xf>
    <xf numFmtId="0" fontId="56" fillId="5" borderId="33" xfId="0" applyFont="1" applyFill="1" applyBorder="1" applyAlignment="1">
      <alignment/>
    </xf>
    <xf numFmtId="0" fontId="56" fillId="5" borderId="34" xfId="0" applyFont="1" applyFill="1" applyBorder="1" applyAlignment="1">
      <alignment/>
    </xf>
    <xf numFmtId="0" fontId="56" fillId="5" borderId="35" xfId="0" applyFont="1" applyFill="1" applyBorder="1" applyAlignment="1">
      <alignment horizontal="center"/>
    </xf>
    <xf numFmtId="0" fontId="56" fillId="5" borderId="36" xfId="0" applyFont="1" applyFill="1" applyBorder="1" applyAlignment="1">
      <alignment/>
    </xf>
    <xf numFmtId="0" fontId="0" fillId="0" borderId="6" xfId="0" applyFont="1" applyBorder="1" applyAlignment="1">
      <alignment/>
    </xf>
    <xf numFmtId="0" fontId="27" fillId="6" borderId="22" xfId="0" applyFont="1" applyFill="1" applyBorder="1" applyAlignment="1" applyProtection="1">
      <alignment horizontal="centerContinuous" vertical="center" wrapText="1"/>
      <protection/>
    </xf>
    <xf numFmtId="0" fontId="25" fillId="6" borderId="23" xfId="0" applyFont="1" applyFill="1" applyBorder="1" applyAlignment="1">
      <alignment horizontal="centerContinuous"/>
    </xf>
    <xf numFmtId="0" fontId="27" fillId="6" borderId="25" xfId="0" applyFont="1" applyFill="1" applyBorder="1" applyAlignment="1">
      <alignment horizontal="centerContinuous" vertical="center"/>
    </xf>
    <xf numFmtId="0" fontId="56" fillId="6" borderId="32" xfId="0" applyFont="1" applyFill="1" applyBorder="1" applyAlignment="1">
      <alignment horizontal="center"/>
    </xf>
    <xf numFmtId="0" fontId="56" fillId="6" borderId="33" xfId="0" applyFont="1" applyFill="1" applyBorder="1" applyAlignment="1">
      <alignment/>
    </xf>
    <xf numFmtId="0" fontId="56" fillId="6" borderId="34" xfId="0" applyFont="1" applyFill="1" applyBorder="1" applyAlignment="1">
      <alignment/>
    </xf>
    <xf numFmtId="0" fontId="56" fillId="6" borderId="35" xfId="0" applyFont="1" applyFill="1" applyBorder="1" applyAlignment="1">
      <alignment horizontal="center"/>
    </xf>
    <xf numFmtId="0" fontId="56" fillId="6" borderId="36" xfId="0" applyFont="1" applyFill="1" applyBorder="1" applyAlignment="1">
      <alignment/>
    </xf>
    <xf numFmtId="0" fontId="56" fillId="6" borderId="16" xfId="0" applyFont="1" applyFill="1" applyBorder="1" applyAlignment="1">
      <alignment/>
    </xf>
    <xf numFmtId="0" fontId="27" fillId="5" borderId="22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0" fontId="53" fillId="8" borderId="22" xfId="0" applyFont="1" applyFill="1" applyBorder="1" applyAlignment="1">
      <alignment horizontal="center" vertical="center" wrapText="1"/>
    </xf>
    <xf numFmtId="0" fontId="54" fillId="8" borderId="6" xfId="0" applyFont="1" applyFill="1" applyBorder="1" applyAlignment="1">
      <alignment/>
    </xf>
    <xf numFmtId="0" fontId="54" fillId="8" borderId="3" xfId="0" applyFont="1" applyFill="1" applyBorder="1" applyAlignment="1">
      <alignment/>
    </xf>
    <xf numFmtId="2" fontId="52" fillId="3" borderId="22" xfId="0" applyNumberFormat="1" applyFont="1" applyFill="1" applyBorder="1" applyAlignment="1">
      <alignment horizontal="center"/>
    </xf>
    <xf numFmtId="2" fontId="52" fillId="4" borderId="22" xfId="0" applyNumberFormat="1" applyFont="1" applyFill="1" applyBorder="1" applyAlignment="1">
      <alignment horizontal="center"/>
    </xf>
    <xf numFmtId="168" fontId="57" fillId="5" borderId="22" xfId="0" applyNumberFormat="1" applyFont="1" applyFill="1" applyBorder="1" applyAlignment="1" applyProtection="1" quotePrefix="1">
      <alignment horizontal="center"/>
      <protection/>
    </xf>
    <xf numFmtId="4" fontId="57" fillId="5" borderId="22" xfId="0" applyNumberFormat="1" applyFont="1" applyFill="1" applyBorder="1" applyAlignment="1">
      <alignment horizontal="center"/>
    </xf>
    <xf numFmtId="168" fontId="57" fillId="6" borderId="22" xfId="0" applyNumberFormat="1" applyFont="1" applyFill="1" applyBorder="1" applyAlignment="1" applyProtection="1" quotePrefix="1">
      <alignment horizontal="center"/>
      <protection/>
    </xf>
    <xf numFmtId="4" fontId="57" fillId="6" borderId="22" xfId="0" applyNumberFormat="1" applyFont="1" applyFill="1" applyBorder="1" applyAlignment="1">
      <alignment horizontal="center"/>
    </xf>
    <xf numFmtId="168" fontId="57" fillId="7" borderId="22" xfId="0" applyNumberFormat="1" applyFont="1" applyFill="1" applyBorder="1" applyAlignment="1" applyProtection="1" quotePrefix="1">
      <alignment horizontal="center"/>
      <protection/>
    </xf>
    <xf numFmtId="4" fontId="52" fillId="8" borderId="22" xfId="0" applyNumberFormat="1" applyFont="1" applyFill="1" applyBorder="1" applyAlignment="1">
      <alignment horizontal="center"/>
    </xf>
    <xf numFmtId="0" fontId="53" fillId="8" borderId="22" xfId="0" applyFont="1" applyFill="1" applyBorder="1" applyAlignment="1" applyProtection="1">
      <alignment horizontal="center" vertical="center"/>
      <protection/>
    </xf>
    <xf numFmtId="0" fontId="52" fillId="8" borderId="6" xfId="0" applyFont="1" applyFill="1" applyBorder="1" applyAlignment="1">
      <alignment/>
    </xf>
    <xf numFmtId="4" fontId="52" fillId="8" borderId="3" xfId="0" applyNumberFormat="1" applyFont="1" applyFill="1" applyBorder="1" applyAlignment="1" applyProtection="1">
      <alignment horizontal="center"/>
      <protection/>
    </xf>
    <xf numFmtId="0" fontId="52" fillId="8" borderId="4" xfId="0" applyFont="1" applyFill="1" applyBorder="1" applyAlignment="1">
      <alignment/>
    </xf>
    <xf numFmtId="0" fontId="57" fillId="7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2" fontId="57" fillId="7" borderId="3" xfId="0" applyNumberFormat="1" applyFont="1" applyFill="1" applyBorder="1" applyAlignment="1">
      <alignment horizontal="center"/>
    </xf>
    <xf numFmtId="0" fontId="57" fillId="7" borderId="4" xfId="0" applyFont="1" applyFill="1" applyBorder="1" applyAlignment="1">
      <alignment/>
    </xf>
    <xf numFmtId="7" fontId="57" fillId="7" borderId="22" xfId="0" applyNumberFormat="1" applyFont="1" applyFill="1" applyBorder="1" applyAlignment="1">
      <alignment horizontal="center"/>
    </xf>
    <xf numFmtId="0" fontId="27" fillId="9" borderId="22" xfId="0" applyFont="1" applyFill="1" applyBorder="1" applyAlignment="1">
      <alignment horizontal="center" vertical="center" wrapText="1"/>
    </xf>
    <xf numFmtId="0" fontId="57" fillId="9" borderId="6" xfId="0" applyFont="1" applyFill="1" applyBorder="1" applyAlignment="1">
      <alignment/>
    </xf>
    <xf numFmtId="0" fontId="57" fillId="9" borderId="3" xfId="0" applyFont="1" applyFill="1" applyBorder="1" applyAlignment="1">
      <alignment/>
    </xf>
    <xf numFmtId="2" fontId="57" fillId="9" borderId="3" xfId="0" applyNumberFormat="1" applyFont="1" applyFill="1" applyBorder="1" applyAlignment="1">
      <alignment horizontal="center"/>
    </xf>
    <xf numFmtId="0" fontId="57" fillId="9" borderId="4" xfId="0" applyFont="1" applyFill="1" applyBorder="1" applyAlignment="1">
      <alignment/>
    </xf>
    <xf numFmtId="7" fontId="57" fillId="9" borderId="22" xfId="0" applyNumberFormat="1" applyFont="1" applyFill="1" applyBorder="1" applyAlignment="1">
      <alignment horizontal="center"/>
    </xf>
    <xf numFmtId="0" fontId="53" fillId="10" borderId="24" xfId="0" applyFont="1" applyFill="1" applyBorder="1" applyAlignment="1" applyProtection="1">
      <alignment horizontal="centerContinuous" vertical="center" wrapText="1"/>
      <protection/>
    </xf>
    <xf numFmtId="0" fontId="53" fillId="10" borderId="25" xfId="0" applyFont="1" applyFill="1" applyBorder="1" applyAlignment="1">
      <alignment horizontal="centerContinuous" vertical="center"/>
    </xf>
    <xf numFmtId="0" fontId="52" fillId="10" borderId="32" xfId="0" applyFont="1" applyFill="1" applyBorder="1" applyAlignment="1">
      <alignment horizontal="center"/>
    </xf>
    <xf numFmtId="0" fontId="52" fillId="10" borderId="34" xfId="0" applyFont="1" applyFill="1" applyBorder="1" applyAlignment="1">
      <alignment/>
    </xf>
    <xf numFmtId="0" fontId="52" fillId="10" borderId="35" xfId="0" applyFont="1" applyFill="1" applyBorder="1" applyAlignment="1">
      <alignment horizontal="center"/>
    </xf>
    <xf numFmtId="0" fontId="52" fillId="10" borderId="16" xfId="0" applyFont="1" applyFill="1" applyBorder="1" applyAlignment="1">
      <alignment/>
    </xf>
    <xf numFmtId="168" fontId="52" fillId="10" borderId="35" xfId="0" applyNumberFormat="1" applyFont="1" applyFill="1" applyBorder="1" applyAlignment="1" applyProtection="1" quotePrefix="1">
      <alignment horizontal="center"/>
      <protection/>
    </xf>
    <xf numFmtId="168" fontId="52" fillId="10" borderId="37" xfId="0" applyNumberFormat="1" applyFont="1" applyFill="1" applyBorder="1" applyAlignment="1" applyProtection="1" quotePrefix="1">
      <alignment horizontal="center"/>
      <protection/>
    </xf>
    <xf numFmtId="7" fontId="52" fillId="10" borderId="22" xfId="0" applyNumberFormat="1" applyFont="1" applyFill="1" applyBorder="1" applyAlignment="1">
      <alignment horizontal="center"/>
    </xf>
    <xf numFmtId="0" fontId="53" fillId="3" borderId="24" xfId="0" applyFont="1" applyFill="1" applyBorder="1" applyAlignment="1" applyProtection="1">
      <alignment horizontal="centerContinuous" vertical="center" wrapText="1"/>
      <protection/>
    </xf>
    <xf numFmtId="0" fontId="53" fillId="3" borderId="25" xfId="0" applyFont="1" applyFill="1" applyBorder="1" applyAlignment="1">
      <alignment horizontal="centerContinuous" vertical="center"/>
    </xf>
    <xf numFmtId="0" fontId="52" fillId="3" borderId="32" xfId="0" applyFont="1" applyFill="1" applyBorder="1" applyAlignment="1">
      <alignment horizontal="center"/>
    </xf>
    <xf numFmtId="0" fontId="52" fillId="3" borderId="34" xfId="0" applyFont="1" applyFill="1" applyBorder="1" applyAlignment="1">
      <alignment/>
    </xf>
    <xf numFmtId="0" fontId="52" fillId="3" borderId="35" xfId="0" applyFont="1" applyFill="1" applyBorder="1" applyAlignment="1">
      <alignment horizontal="center"/>
    </xf>
    <xf numFmtId="0" fontId="52" fillId="3" borderId="16" xfId="0" applyFont="1" applyFill="1" applyBorder="1" applyAlignment="1">
      <alignment/>
    </xf>
    <xf numFmtId="168" fontId="52" fillId="3" borderId="35" xfId="0" applyNumberFormat="1" applyFont="1" applyFill="1" applyBorder="1" applyAlignment="1" applyProtection="1" quotePrefix="1">
      <alignment horizontal="center"/>
      <protection/>
    </xf>
    <xf numFmtId="168" fontId="52" fillId="3" borderId="37" xfId="0" applyNumberFormat="1" applyFont="1" applyFill="1" applyBorder="1" applyAlignment="1" applyProtection="1" quotePrefix="1">
      <alignment horizontal="center"/>
      <protection/>
    </xf>
    <xf numFmtId="7" fontId="52" fillId="3" borderId="22" xfId="0" applyNumberFormat="1" applyFont="1" applyFill="1" applyBorder="1" applyAlignment="1">
      <alignment horizontal="center"/>
    </xf>
    <xf numFmtId="0" fontId="50" fillId="5" borderId="22" xfId="0" applyFont="1" applyFill="1" applyBorder="1" applyAlignment="1">
      <alignment horizontal="center" vertical="center" wrapText="1"/>
    </xf>
    <xf numFmtId="0" fontId="51" fillId="5" borderId="6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168" fontId="51" fillId="5" borderId="3" xfId="0" applyNumberFormat="1" applyFont="1" applyFill="1" applyBorder="1" applyAlignment="1" applyProtection="1" quotePrefix="1">
      <alignment horizontal="center"/>
      <protection/>
    </xf>
    <xf numFmtId="0" fontId="51" fillId="5" borderId="4" xfId="0" applyFont="1" applyFill="1" applyBorder="1" applyAlignment="1">
      <alignment/>
    </xf>
    <xf numFmtId="7" fontId="51" fillId="5" borderId="22" xfId="0" applyNumberFormat="1" applyFont="1" applyFill="1" applyBorder="1" applyAlignment="1">
      <alignment horizontal="center"/>
    </xf>
    <xf numFmtId="0" fontId="27" fillId="6" borderId="22" xfId="0" applyFont="1" applyFill="1" applyBorder="1" applyAlignment="1">
      <alignment horizontal="center" vertical="center" wrapText="1"/>
    </xf>
    <xf numFmtId="0" fontId="57" fillId="6" borderId="6" xfId="0" applyFont="1" applyFill="1" applyBorder="1" applyAlignment="1">
      <alignment/>
    </xf>
    <xf numFmtId="0" fontId="57" fillId="6" borderId="3" xfId="0" applyFont="1" applyFill="1" applyBorder="1" applyAlignment="1">
      <alignment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0" fontId="57" fillId="6" borderId="4" xfId="0" applyFont="1" applyFill="1" applyBorder="1" applyAlignment="1">
      <alignment/>
    </xf>
    <xf numFmtId="7" fontId="57" fillId="6" borderId="22" xfId="0" applyNumberFormat="1" applyFont="1" applyFill="1" applyBorder="1" applyAlignment="1">
      <alignment horizontal="center"/>
    </xf>
    <xf numFmtId="0" fontId="52" fillId="10" borderId="38" xfId="0" applyFont="1" applyFill="1" applyBorder="1" applyAlignment="1">
      <alignment/>
    </xf>
    <xf numFmtId="0" fontId="52" fillId="10" borderId="39" xfId="0" applyFont="1" applyFill="1" applyBorder="1" applyAlignment="1">
      <alignment/>
    </xf>
    <xf numFmtId="0" fontId="52" fillId="3" borderId="38" xfId="0" applyFont="1" applyFill="1" applyBorder="1" applyAlignment="1">
      <alignment/>
    </xf>
    <xf numFmtId="0" fontId="52" fillId="3" borderId="39" xfId="0" applyFont="1" applyFill="1" applyBorder="1" applyAlignment="1">
      <alignment/>
    </xf>
    <xf numFmtId="0" fontId="58" fillId="0" borderId="8" xfId="0" applyFont="1" applyBorder="1" applyAlignment="1">
      <alignment/>
    </xf>
    <xf numFmtId="0" fontId="59" fillId="2" borderId="29" xfId="0" applyFont="1" applyFill="1" applyBorder="1" applyAlignment="1">
      <alignment horizontal="center"/>
    </xf>
    <xf numFmtId="168" fontId="59" fillId="2" borderId="17" xfId="0" applyNumberFormat="1" applyFont="1" applyFill="1" applyBorder="1" applyAlignment="1" applyProtection="1">
      <alignment horizontal="center"/>
      <protection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164" fontId="55" fillId="8" borderId="17" xfId="0" applyNumberFormat="1" applyFont="1" applyFill="1" applyBorder="1" applyAlignment="1" applyProtection="1">
      <alignment horizontal="center"/>
      <protection/>
    </xf>
    <xf numFmtId="2" fontId="57" fillId="9" borderId="17" xfId="0" applyNumberFormat="1" applyFont="1" applyFill="1" applyBorder="1" applyAlignment="1">
      <alignment horizontal="center"/>
    </xf>
    <xf numFmtId="4" fontId="57" fillId="9" borderId="22" xfId="0" applyNumberFormat="1" applyFont="1" applyFill="1" applyBorder="1" applyAlignment="1">
      <alignment horizontal="center"/>
    </xf>
    <xf numFmtId="0" fontId="55" fillId="8" borderId="6" xfId="0" applyFont="1" applyFill="1" applyBorder="1" applyAlignment="1">
      <alignment horizontal="center"/>
    </xf>
    <xf numFmtId="0" fontId="57" fillId="9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8" fontId="57" fillId="6" borderId="32" xfId="0" applyNumberFormat="1" applyFont="1" applyFill="1" applyBorder="1" applyAlignment="1" applyProtection="1" quotePrefix="1">
      <alignment horizontal="center"/>
      <protection/>
    </xf>
    <xf numFmtId="168" fontId="57" fillId="6" borderId="19" xfId="0" applyNumberFormat="1" applyFont="1" applyFill="1" applyBorder="1" applyAlignment="1" applyProtection="1" quotePrefix="1">
      <alignment horizontal="center"/>
      <protection/>
    </xf>
    <xf numFmtId="4" fontId="57" fillId="6" borderId="22" xfId="0" applyNumberFormat="1" applyFont="1" applyFill="1" applyBorder="1" applyAlignment="1">
      <alignment horizontal="center"/>
    </xf>
    <xf numFmtId="4" fontId="57" fillId="6" borderId="40" xfId="0" applyNumberFormat="1" applyFont="1" applyFill="1" applyBorder="1" applyAlignment="1">
      <alignment horizontal="center"/>
    </xf>
    <xf numFmtId="0" fontId="27" fillId="6" borderId="24" xfId="0" applyFont="1" applyFill="1" applyBorder="1" applyAlignment="1" applyProtection="1">
      <alignment horizontal="centerContinuous" vertical="center" wrapText="1"/>
      <protection/>
    </xf>
    <xf numFmtId="168" fontId="57" fillId="6" borderId="41" xfId="0" applyNumberFormat="1" applyFont="1" applyFill="1" applyBorder="1" applyAlignment="1" applyProtection="1" quotePrefix="1">
      <alignment horizontal="center"/>
      <protection/>
    </xf>
    <xf numFmtId="168" fontId="57" fillId="6" borderId="42" xfId="0" applyNumberFormat="1" applyFont="1" applyFill="1" applyBorder="1" applyAlignment="1" applyProtection="1" quotePrefix="1">
      <alignment horizontal="center"/>
      <protection/>
    </xf>
    <xf numFmtId="168" fontId="7" fillId="0" borderId="6" xfId="0" applyNumberFormat="1" applyFont="1" applyBorder="1" applyAlignment="1" applyProtection="1">
      <alignment horizontal="center"/>
      <protection/>
    </xf>
    <xf numFmtId="0" fontId="60" fillId="2" borderId="6" xfId="0" applyFont="1" applyFill="1" applyBorder="1" applyAlignment="1">
      <alignment/>
    </xf>
    <xf numFmtId="0" fontId="60" fillId="2" borderId="3" xfId="0" applyFont="1" applyFill="1" applyBorder="1" applyAlignment="1">
      <alignment/>
    </xf>
    <xf numFmtId="168" fontId="59" fillId="2" borderId="3" xfId="0" applyNumberFormat="1" applyFont="1" applyFill="1" applyBorder="1" applyAlignment="1" applyProtection="1">
      <alignment horizontal="center"/>
      <protection/>
    </xf>
    <xf numFmtId="168" fontId="59" fillId="2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>
      <alignment/>
    </xf>
    <xf numFmtId="168" fontId="57" fillId="5" borderId="6" xfId="0" applyNumberFormat="1" applyFont="1" applyFill="1" applyBorder="1" applyAlignment="1" applyProtection="1" quotePrefix="1">
      <alignment horizontal="center"/>
      <protection/>
    </xf>
    <xf numFmtId="168" fontId="57" fillId="5" borderId="17" xfId="0" applyNumberFormat="1" applyFont="1" applyFill="1" applyBorder="1" applyAlignment="1" applyProtection="1" quotePrefix="1">
      <alignment horizontal="center"/>
      <protection/>
    </xf>
    <xf numFmtId="4" fontId="57" fillId="5" borderId="40" xfId="0" applyNumberFormat="1" applyFont="1" applyFill="1" applyBorder="1" applyAlignment="1">
      <alignment horizontal="center"/>
    </xf>
    <xf numFmtId="173" fontId="0" fillId="0" borderId="2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8" fillId="0" borderId="9" xfId="0" applyFont="1" applyBorder="1" applyAlignment="1">
      <alignment/>
    </xf>
    <xf numFmtId="0" fontId="0" fillId="0" borderId="14" xfId="0" applyBorder="1" applyAlignment="1">
      <alignment horizontal="center"/>
    </xf>
    <xf numFmtId="7" fontId="0" fillId="0" borderId="6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3" xfId="0" applyFont="1" applyBorder="1" applyAlignment="1" applyProtection="1">
      <alignment horizontal="left"/>
      <protection/>
    </xf>
    <xf numFmtId="171" fontId="0" fillId="0" borderId="44" xfId="0" applyNumberFormat="1" applyFont="1" applyBorder="1" applyAlignment="1" applyProtection="1">
      <alignment horizontal="centerContinuous"/>
      <protection/>
    </xf>
    <xf numFmtId="0" fontId="10" fillId="0" borderId="45" xfId="0" applyFont="1" applyBorder="1" applyAlignment="1">
      <alignment horizontal="centerContinuous"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 applyProtection="1">
      <alignment horizontal="right"/>
      <protection/>
    </xf>
    <xf numFmtId="173" fontId="10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171" fontId="25" fillId="0" borderId="50" xfId="0" applyNumberFormat="1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52" xfId="0" applyFont="1" applyFill="1" applyBorder="1" applyAlignment="1">
      <alignment/>
    </xf>
    <xf numFmtId="168" fontId="10" fillId="0" borderId="53" xfId="0" applyNumberFormat="1" applyFont="1" applyBorder="1" applyAlignment="1" applyProtection="1">
      <alignment horizontal="right"/>
      <protection/>
    </xf>
    <xf numFmtId="171" fontId="10" fillId="0" borderId="5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171" fontId="25" fillId="0" borderId="53" xfId="0" applyNumberFormat="1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7" xfId="0" applyNumberFormat="1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 horizontal="centerContinuous"/>
    </xf>
    <xf numFmtId="0" fontId="0" fillId="0" borderId="50" xfId="0" applyBorder="1" applyAlignment="1">
      <alignment/>
    </xf>
    <xf numFmtId="7" fontId="19" fillId="0" borderId="59" xfId="0" applyNumberFormat="1" applyFont="1" applyBorder="1" applyAlignment="1">
      <alignment horizontal="center"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2" fontId="10" fillId="0" borderId="61" xfId="0" applyNumberFormat="1" applyFont="1" applyBorder="1" applyAlignment="1" applyProtection="1">
      <alignment horizontal="center"/>
      <protection/>
    </xf>
    <xf numFmtId="168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right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0" fontId="0" fillId="0" borderId="58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8" fontId="10" fillId="0" borderId="58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60" xfId="0" applyNumberFormat="1" applyFont="1" applyBorder="1" applyAlignment="1">
      <alignment horizontal="centerContinuous"/>
    </xf>
    <xf numFmtId="168" fontId="10" fillId="0" borderId="61" xfId="0" applyNumberFormat="1" applyFont="1" applyBorder="1" applyAlignment="1" applyProtection="1" quotePrefix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0" fontId="10" fillId="0" borderId="67" xfId="0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7" xfId="0" applyNumberFormat="1" applyFont="1" applyBorder="1" applyAlignment="1" applyProtection="1">
      <alignment horizontal="centerContinuous"/>
      <protection/>
    </xf>
    <xf numFmtId="2" fontId="22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36" xfId="0" applyNumberFormat="1" applyFont="1" applyBorder="1" applyAlignment="1">
      <alignment horizontal="centerContinuous"/>
    </xf>
    <xf numFmtId="7" fontId="10" fillId="0" borderId="58" xfId="0" applyNumberFormat="1" applyFont="1" applyBorder="1" applyAlignment="1" applyProtection="1">
      <alignment horizontal="centerContinuous"/>
      <protection/>
    </xf>
    <xf numFmtId="5" fontId="8" fillId="0" borderId="24" xfId="0" applyNumberFormat="1" applyFont="1" applyBorder="1" applyAlignment="1" applyProtection="1">
      <alignment horizontal="center"/>
      <protection/>
    </xf>
    <xf numFmtId="7" fontId="8" fillId="0" borderId="2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2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36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24" xfId="0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>
      <alignment horizontal="centerContinuous" vertical="center"/>
    </xf>
    <xf numFmtId="0" fontId="1" fillId="0" borderId="25" xfId="0" applyFont="1" applyBorder="1" applyAlignment="1" applyProtection="1">
      <alignment horizontal="centerContinuous" vertical="center"/>
      <protection/>
    </xf>
    <xf numFmtId="167" fontId="0" fillId="0" borderId="25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2" fontId="7" fillId="0" borderId="42" xfId="0" applyNumberFormat="1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/>
      <protection locked="0"/>
    </xf>
    <xf numFmtId="0" fontId="7" fillId="0" borderId="71" xfId="0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2" fillId="3" borderId="4" xfId="0" applyNumberFormat="1" applyFont="1" applyFill="1" applyBorder="1" applyAlignment="1" applyProtection="1" quotePrefix="1">
      <alignment horizontal="center"/>
      <protection locked="0"/>
    </xf>
    <xf numFmtId="168" fontId="52" fillId="4" borderId="4" xfId="0" applyNumberFormat="1" applyFont="1" applyFill="1" applyBorder="1" applyAlignment="1" applyProtection="1" quotePrefix="1">
      <alignment horizontal="center"/>
      <protection locked="0"/>
    </xf>
    <xf numFmtId="168" fontId="57" fillId="5" borderId="38" xfId="0" applyNumberFormat="1" applyFont="1" applyFill="1" applyBorder="1" applyAlignment="1" applyProtection="1" quotePrefix="1">
      <alignment horizontal="center"/>
      <protection locked="0"/>
    </xf>
    <xf numFmtId="4" fontId="57" fillId="5" borderId="72" xfId="0" applyNumberFormat="1" applyFont="1" applyFill="1" applyBorder="1" applyAlignment="1" applyProtection="1">
      <alignment horizontal="center"/>
      <protection locked="0"/>
    </xf>
    <xf numFmtId="4" fontId="57" fillId="5" borderId="21" xfId="0" applyNumberFormat="1" applyFont="1" applyFill="1" applyBorder="1" applyAlignment="1" applyProtection="1">
      <alignment horizontal="center"/>
      <protection locked="0"/>
    </xf>
    <xf numFmtId="168" fontId="57" fillId="6" borderId="38" xfId="0" applyNumberFormat="1" applyFont="1" applyFill="1" applyBorder="1" applyAlignment="1" applyProtection="1" quotePrefix="1">
      <alignment horizontal="center"/>
      <protection locked="0"/>
    </xf>
    <xf numFmtId="4" fontId="57" fillId="6" borderId="72" xfId="0" applyNumberFormat="1" applyFont="1" applyFill="1" applyBorder="1" applyAlignment="1" applyProtection="1">
      <alignment horizontal="center"/>
      <protection locked="0"/>
    </xf>
    <xf numFmtId="4" fontId="57" fillId="6" borderId="21" xfId="0" applyNumberFormat="1" applyFont="1" applyFill="1" applyBorder="1" applyAlignment="1" applyProtection="1">
      <alignment horizontal="center"/>
      <protection locked="0"/>
    </xf>
    <xf numFmtId="4" fontId="57" fillId="7" borderId="4" xfId="0" applyNumberFormat="1" applyFont="1" applyFill="1" applyBorder="1" applyAlignment="1" applyProtection="1">
      <alignment horizontal="center"/>
      <protection locked="0"/>
    </xf>
    <xf numFmtId="4" fontId="52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4" fillId="3" borderId="3" xfId="0" applyFont="1" applyFill="1" applyBorder="1" applyAlignment="1" applyProtection="1">
      <alignment/>
      <protection locked="0"/>
    </xf>
    <xf numFmtId="0" fontId="54" fillId="4" borderId="3" xfId="0" applyFont="1" applyFill="1" applyBorder="1" applyAlignment="1" applyProtection="1">
      <alignment/>
      <protection locked="0"/>
    </xf>
    <xf numFmtId="0" fontId="56" fillId="5" borderId="35" xfId="0" applyFont="1" applyFill="1" applyBorder="1" applyAlignment="1" applyProtection="1">
      <alignment horizontal="center"/>
      <protection locked="0"/>
    </xf>
    <xf numFmtId="0" fontId="56" fillId="5" borderId="36" xfId="0" applyFont="1" applyFill="1" applyBorder="1" applyAlignment="1" applyProtection="1">
      <alignment/>
      <protection locked="0"/>
    </xf>
    <xf numFmtId="0" fontId="56" fillId="5" borderId="16" xfId="0" applyFont="1" applyFill="1" applyBorder="1" applyAlignment="1" applyProtection="1">
      <alignment/>
      <protection locked="0"/>
    </xf>
    <xf numFmtId="0" fontId="56" fillId="6" borderId="35" xfId="0" applyFont="1" applyFill="1" applyBorder="1" applyAlignment="1" applyProtection="1">
      <alignment horizontal="center"/>
      <protection locked="0"/>
    </xf>
    <xf numFmtId="0" fontId="56" fillId="6" borderId="36" xfId="0" applyFont="1" applyFill="1" applyBorder="1" applyAlignment="1" applyProtection="1">
      <alignment/>
      <protection locked="0"/>
    </xf>
    <xf numFmtId="0" fontId="56" fillId="6" borderId="16" xfId="0" applyFont="1" applyFill="1" applyBorder="1" applyAlignment="1" applyProtection="1">
      <alignment/>
      <protection locked="0"/>
    </xf>
    <xf numFmtId="0" fontId="56" fillId="7" borderId="3" xfId="0" applyFont="1" applyFill="1" applyBorder="1" applyAlignment="1" applyProtection="1">
      <alignment/>
      <protection locked="0"/>
    </xf>
    <xf numFmtId="0" fontId="54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22" xfId="0" applyFont="1" applyFill="1" applyBorder="1" applyAlignment="1" applyProtection="1">
      <alignment horizontal="center" vertical="center" wrapText="1"/>
      <protection/>
    </xf>
    <xf numFmtId="0" fontId="27" fillId="9" borderId="22" xfId="0" applyFont="1" applyFill="1" applyBorder="1" applyAlignment="1" applyProtection="1">
      <alignment horizontal="center" vertical="center" wrapText="1"/>
      <protection/>
    </xf>
    <xf numFmtId="0" fontId="53" fillId="10" borderId="25" xfId="0" applyFont="1" applyFill="1" applyBorder="1" applyAlignment="1" applyProtection="1">
      <alignment horizontal="centerContinuous" vertical="center"/>
      <protection/>
    </xf>
    <xf numFmtId="0" fontId="53" fillId="3" borderId="25" xfId="0" applyFont="1" applyFill="1" applyBorder="1" applyAlignment="1" applyProtection="1">
      <alignment horizontal="centerContinuous" vertical="center"/>
      <protection/>
    </xf>
    <xf numFmtId="0" fontId="50" fillId="5" borderId="22" xfId="0" applyFont="1" applyFill="1" applyBorder="1" applyAlignment="1" applyProtection="1">
      <alignment horizontal="center" vertical="center" wrapText="1"/>
      <protection/>
    </xf>
    <xf numFmtId="0" fontId="27" fillId="6" borderId="22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49" fillId="2" borderId="6" xfId="0" applyFont="1" applyFill="1" applyBorder="1" applyAlignment="1" applyProtection="1">
      <alignment/>
      <protection/>
    </xf>
    <xf numFmtId="0" fontId="52" fillId="8" borderId="6" xfId="0" applyFont="1" applyFill="1" applyBorder="1" applyAlignment="1" applyProtection="1">
      <alignment/>
      <protection/>
    </xf>
    <xf numFmtId="0" fontId="57" fillId="7" borderId="6" xfId="0" applyFont="1" applyFill="1" applyBorder="1" applyAlignment="1" applyProtection="1">
      <alignment/>
      <protection/>
    </xf>
    <xf numFmtId="0" fontId="57" fillId="9" borderId="6" xfId="0" applyFont="1" applyFill="1" applyBorder="1" applyAlignment="1" applyProtection="1">
      <alignment/>
      <protection/>
    </xf>
    <xf numFmtId="0" fontId="52" fillId="10" borderId="32" xfId="0" applyFont="1" applyFill="1" applyBorder="1" applyAlignment="1" applyProtection="1">
      <alignment horizontal="center"/>
      <protection/>
    </xf>
    <xf numFmtId="0" fontId="52" fillId="10" borderId="34" xfId="0" applyFont="1" applyFill="1" applyBorder="1" applyAlignment="1" applyProtection="1">
      <alignment/>
      <protection/>
    </xf>
    <xf numFmtId="0" fontId="52" fillId="3" borderId="32" xfId="0" applyFont="1" applyFill="1" applyBorder="1" applyAlignment="1" applyProtection="1">
      <alignment horizontal="center"/>
      <protection/>
    </xf>
    <xf numFmtId="0" fontId="52" fillId="3" borderId="34" xfId="0" applyFont="1" applyFill="1" applyBorder="1" applyAlignment="1" applyProtection="1">
      <alignment/>
      <protection/>
    </xf>
    <xf numFmtId="0" fontId="51" fillId="5" borderId="6" xfId="0" applyFont="1" applyFill="1" applyBorder="1" applyAlignment="1" applyProtection="1">
      <alignment/>
      <protection/>
    </xf>
    <xf numFmtId="0" fontId="57" fillId="6" borderId="6" xfId="0" applyFont="1" applyFill="1" applyBorder="1" applyAlignment="1" applyProtection="1">
      <alignment/>
      <protection/>
    </xf>
    <xf numFmtId="7" fontId="10" fillId="0" borderId="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9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2" fillId="8" borderId="3" xfId="0" applyFont="1" applyFill="1" applyBorder="1" applyAlignment="1" applyProtection="1">
      <alignment/>
      <protection/>
    </xf>
    <xf numFmtId="0" fontId="57" fillId="7" borderId="3" xfId="0" applyFont="1" applyFill="1" applyBorder="1" applyAlignment="1" applyProtection="1">
      <alignment/>
      <protection/>
    </xf>
    <xf numFmtId="0" fontId="57" fillId="9" borderId="3" xfId="0" applyFont="1" applyFill="1" applyBorder="1" applyAlignment="1" applyProtection="1">
      <alignment/>
      <protection/>
    </xf>
    <xf numFmtId="0" fontId="52" fillId="10" borderId="35" xfId="0" applyFont="1" applyFill="1" applyBorder="1" applyAlignment="1" applyProtection="1">
      <alignment horizontal="center"/>
      <protection/>
    </xf>
    <xf numFmtId="0" fontId="52" fillId="10" borderId="16" xfId="0" applyFont="1" applyFill="1" applyBorder="1" applyAlignment="1" applyProtection="1">
      <alignment/>
      <protection/>
    </xf>
    <xf numFmtId="0" fontId="52" fillId="3" borderId="35" xfId="0" applyFont="1" applyFill="1" applyBorder="1" applyAlignment="1" applyProtection="1">
      <alignment horizontal="center"/>
      <protection/>
    </xf>
    <xf numFmtId="0" fontId="52" fillId="3" borderId="16" xfId="0" applyFont="1" applyFill="1" applyBorder="1" applyAlignment="1" applyProtection="1">
      <alignment/>
      <protection/>
    </xf>
    <xf numFmtId="0" fontId="51" fillId="5" borderId="3" xfId="0" applyFont="1" applyFill="1" applyBorder="1" applyAlignment="1" applyProtection="1">
      <alignment/>
      <protection/>
    </xf>
    <xf numFmtId="0" fontId="57" fillId="6" borderId="3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9" fillId="2" borderId="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39" fillId="0" borderId="26" xfId="0" applyFont="1" applyBorder="1" applyAlignment="1" applyProtection="1">
      <alignment horizontal="center"/>
      <protection/>
    </xf>
    <xf numFmtId="7" fontId="57" fillId="7" borderId="22" xfId="0" applyNumberFormat="1" applyFont="1" applyFill="1" applyBorder="1" applyAlignment="1" applyProtection="1">
      <alignment horizontal="center"/>
      <protection/>
    </xf>
    <xf numFmtId="7" fontId="57" fillId="9" borderId="22" xfId="0" applyNumberFormat="1" applyFont="1" applyFill="1" applyBorder="1" applyAlignment="1" applyProtection="1">
      <alignment horizontal="center"/>
      <protection/>
    </xf>
    <xf numFmtId="7" fontId="52" fillId="10" borderId="22" xfId="0" applyNumberFormat="1" applyFont="1" applyFill="1" applyBorder="1" applyAlignment="1" applyProtection="1">
      <alignment horizontal="center"/>
      <protection/>
    </xf>
    <xf numFmtId="7" fontId="52" fillId="3" borderId="22" xfId="0" applyNumberFormat="1" applyFont="1" applyFill="1" applyBorder="1" applyAlignment="1" applyProtection="1">
      <alignment horizontal="center"/>
      <protection/>
    </xf>
    <xf numFmtId="7" fontId="51" fillId="5" borderId="22" xfId="0" applyNumberFormat="1" applyFont="1" applyFill="1" applyBorder="1" applyAlignment="1" applyProtection="1">
      <alignment horizontal="center"/>
      <protection/>
    </xf>
    <xf numFmtId="7" fontId="57" fillId="6" borderId="22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/>
      <protection/>
    </xf>
    <xf numFmtId="7" fontId="11" fillId="0" borderId="22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17" xfId="0" applyNumberFormat="1" applyFont="1" applyBorder="1" applyAlignment="1" applyProtection="1" quotePrefix="1">
      <alignment horizontal="center"/>
      <protection locked="0"/>
    </xf>
    <xf numFmtId="2" fontId="7" fillId="0" borderId="17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2" fillId="8" borderId="4" xfId="0" applyFont="1" applyFill="1" applyBorder="1" applyAlignment="1" applyProtection="1">
      <alignment/>
      <protection locked="0"/>
    </xf>
    <xf numFmtId="0" fontId="57" fillId="7" borderId="4" xfId="0" applyFont="1" applyFill="1" applyBorder="1" applyAlignment="1" applyProtection="1">
      <alignment/>
      <protection locked="0"/>
    </xf>
    <xf numFmtId="0" fontId="57" fillId="9" borderId="4" xfId="0" applyFont="1" applyFill="1" applyBorder="1" applyAlignment="1" applyProtection="1">
      <alignment/>
      <protection locked="0"/>
    </xf>
    <xf numFmtId="0" fontId="52" fillId="10" borderId="38" xfId="0" applyFont="1" applyFill="1" applyBorder="1" applyAlignment="1" applyProtection="1">
      <alignment/>
      <protection locked="0"/>
    </xf>
    <xf numFmtId="0" fontId="52" fillId="10" borderId="39" xfId="0" applyFont="1" applyFill="1" applyBorder="1" applyAlignment="1" applyProtection="1">
      <alignment/>
      <protection locked="0"/>
    </xf>
    <xf numFmtId="0" fontId="52" fillId="3" borderId="38" xfId="0" applyFont="1" applyFill="1" applyBorder="1" applyAlignment="1" applyProtection="1">
      <alignment/>
      <protection locked="0"/>
    </xf>
    <xf numFmtId="0" fontId="52" fillId="3" borderId="39" xfId="0" applyFont="1" applyFill="1" applyBorder="1" applyAlignment="1" applyProtection="1">
      <alignment/>
      <protection locked="0"/>
    </xf>
    <xf numFmtId="0" fontId="51" fillId="5" borderId="4" xfId="0" applyFont="1" applyFill="1" applyBorder="1" applyAlignment="1" applyProtection="1">
      <alignment/>
      <protection locked="0"/>
    </xf>
    <xf numFmtId="0" fontId="57" fillId="6" borderId="4" xfId="0" applyFont="1" applyFill="1" applyBorder="1" applyAlignment="1" applyProtection="1">
      <alignment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5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1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64" fontId="55" fillId="8" borderId="4" xfId="0" applyNumberFormat="1" applyFont="1" applyFill="1" applyBorder="1" applyAlignment="1" applyProtection="1">
      <alignment horizontal="center"/>
      <protection locked="0"/>
    </xf>
    <xf numFmtId="2" fontId="57" fillId="9" borderId="4" xfId="0" applyNumberFormat="1" applyFont="1" applyFill="1" applyBorder="1" applyAlignment="1" applyProtection="1">
      <alignment horizontal="center"/>
      <protection locked="0"/>
    </xf>
    <xf numFmtId="168" fontId="57" fillId="6" borderId="39" xfId="0" applyNumberFormat="1" applyFont="1" applyFill="1" applyBorder="1" applyAlignment="1" applyProtection="1" quotePrefix="1">
      <alignment horizontal="center"/>
      <protection locked="0"/>
    </xf>
    <xf numFmtId="168" fontId="57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50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61" xfId="0" applyNumberFormat="1" applyFont="1" applyBorder="1" applyAlignment="1" applyProtection="1" quotePrefix="1">
      <alignment horizontal="left"/>
      <protection/>
    </xf>
    <xf numFmtId="168" fontId="64" fillId="0" borderId="57" xfId="0" applyNumberFormat="1" applyFont="1" applyBorder="1" applyAlignment="1" applyProtection="1" quotePrefix="1">
      <alignment horizontal="left"/>
      <protection/>
    </xf>
    <xf numFmtId="168" fontId="11" fillId="0" borderId="50" xfId="0" applyNumberFormat="1" applyFont="1" applyBorder="1" applyAlignment="1" applyProtection="1">
      <alignment horizontal="left"/>
      <protection/>
    </xf>
    <xf numFmtId="177" fontId="11" fillId="0" borderId="50" xfId="0" applyNumberFormat="1" applyFont="1" applyBorder="1" applyAlignment="1" applyProtection="1">
      <alignment horizontal="righ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0" fontId="71" fillId="0" borderId="61" xfId="0" applyFont="1" applyBorder="1" applyAlignment="1" applyProtection="1">
      <alignment horizontal="centerContinuous"/>
      <protection/>
    </xf>
    <xf numFmtId="168" fontId="71" fillId="0" borderId="61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Continuous"/>
      <protection/>
    </xf>
    <xf numFmtId="168" fontId="71" fillId="0" borderId="0" xfId="0" applyNumberFormat="1" applyFont="1" applyBorder="1" applyAlignment="1" applyProtection="1">
      <alignment horizontal="center"/>
      <protection/>
    </xf>
    <xf numFmtId="7" fontId="71" fillId="0" borderId="60" xfId="0" applyNumberFormat="1" applyFont="1" applyBorder="1" applyAlignment="1">
      <alignment horizontal="left"/>
    </xf>
    <xf numFmtId="7" fontId="71" fillId="0" borderId="67" xfId="0" applyNumberFormat="1" applyFont="1" applyBorder="1" applyAlignment="1">
      <alignment horizontal="left"/>
    </xf>
    <xf numFmtId="168" fontId="10" fillId="0" borderId="65" xfId="0" applyNumberFormat="1" applyFont="1" applyBorder="1" applyAlignment="1" applyProtection="1">
      <alignment horizontal="center"/>
      <protection/>
    </xf>
    <xf numFmtId="168" fontId="10" fillId="0" borderId="60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168" fontId="10" fillId="0" borderId="63" xfId="0" applyNumberFormat="1" applyFont="1" applyBorder="1" applyAlignment="1" applyProtection="1">
      <alignment horizontal="center"/>
      <protection/>
    </xf>
    <xf numFmtId="7" fontId="10" fillId="0" borderId="69" xfId="0" applyNumberFormat="1" applyFont="1" applyBorder="1" applyAlignment="1" applyProtection="1">
      <alignment horizontal="center"/>
      <protection/>
    </xf>
    <xf numFmtId="7" fontId="0" fillId="0" borderId="65" xfId="0" applyNumberFormat="1" applyBorder="1" applyAlignment="1">
      <alignment horizontal="center"/>
    </xf>
    <xf numFmtId="177" fontId="11" fillId="0" borderId="5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73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2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2" fillId="3" borderId="3" xfId="0" applyNumberFormat="1" applyFont="1" applyFill="1" applyBorder="1" applyAlignment="1" applyProtection="1">
      <alignment horizontal="center"/>
      <protection/>
    </xf>
    <xf numFmtId="2" fontId="52" fillId="4" borderId="3" xfId="0" applyNumberFormat="1" applyFont="1" applyFill="1" applyBorder="1" applyAlignment="1" applyProtection="1">
      <alignment horizontal="center"/>
      <protection/>
    </xf>
    <xf numFmtId="168" fontId="57" fillId="5" borderId="35" xfId="0" applyNumberFormat="1" applyFont="1" applyFill="1" applyBorder="1" applyAlignment="1" applyProtection="1" quotePrefix="1">
      <alignment horizontal="center"/>
      <protection/>
    </xf>
    <xf numFmtId="168" fontId="57" fillId="5" borderId="36" xfId="0" applyNumberFormat="1" applyFont="1" applyFill="1" applyBorder="1" applyAlignment="1" applyProtection="1" quotePrefix="1">
      <alignment horizontal="center"/>
      <protection/>
    </xf>
    <xf numFmtId="4" fontId="57" fillId="5" borderId="16" xfId="0" applyNumberFormat="1" applyFont="1" applyFill="1" applyBorder="1" applyAlignment="1" applyProtection="1">
      <alignment horizontal="center"/>
      <protection/>
    </xf>
    <xf numFmtId="168" fontId="57" fillId="6" borderId="35" xfId="0" applyNumberFormat="1" applyFont="1" applyFill="1" applyBorder="1" applyAlignment="1" applyProtection="1" quotePrefix="1">
      <alignment horizontal="center"/>
      <protection/>
    </xf>
    <xf numFmtId="168" fontId="57" fillId="6" borderId="36" xfId="0" applyNumberFormat="1" applyFont="1" applyFill="1" applyBorder="1" applyAlignment="1" applyProtection="1" quotePrefix="1">
      <alignment horizontal="center"/>
      <protection/>
    </xf>
    <xf numFmtId="4" fontId="57" fillId="6" borderId="16" xfId="0" applyNumberFormat="1" applyFont="1" applyFill="1" applyBorder="1" applyAlignment="1" applyProtection="1">
      <alignment horizontal="center"/>
      <protection/>
    </xf>
    <xf numFmtId="4" fontId="57" fillId="7" borderId="3" xfId="0" applyNumberFormat="1" applyFont="1" applyFill="1" applyBorder="1" applyAlignment="1" applyProtection="1">
      <alignment horizontal="center"/>
      <protection/>
    </xf>
    <xf numFmtId="4" fontId="52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7" fillId="7" borderId="3" xfId="0" applyNumberFormat="1" applyFont="1" applyFill="1" applyBorder="1" applyAlignment="1" applyProtection="1">
      <alignment horizontal="center"/>
      <protection/>
    </xf>
    <xf numFmtId="2" fontId="57" fillId="9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5" fillId="8" borderId="3" xfId="0" applyNumberFormat="1" applyFont="1" applyFill="1" applyBorder="1" applyAlignment="1" applyProtection="1">
      <alignment horizontal="center"/>
      <protection/>
    </xf>
    <xf numFmtId="2" fontId="57" fillId="9" borderId="3" xfId="0" applyNumberFormat="1" applyFont="1" applyFill="1" applyBorder="1" applyAlignment="1" applyProtection="1">
      <alignment horizontal="center"/>
      <protection/>
    </xf>
    <xf numFmtId="168" fontId="57" fillId="6" borderId="37" xfId="0" applyNumberFormat="1" applyFont="1" applyFill="1" applyBorder="1" applyAlignment="1" applyProtection="1" quotePrefix="1">
      <alignment horizontal="center"/>
      <protection/>
    </xf>
    <xf numFmtId="168" fontId="57" fillId="5" borderId="3" xfId="0" applyNumberFormat="1" applyFont="1" applyFill="1" applyBorder="1" applyAlignment="1" applyProtection="1" quotePrefix="1">
      <alignment horizontal="center"/>
      <protection/>
    </xf>
    <xf numFmtId="0" fontId="55" fillId="0" borderId="0" xfId="0" applyFont="1" applyBorder="1" applyAlignment="1">
      <alignment/>
    </xf>
    <xf numFmtId="0" fontId="55" fillId="0" borderId="1" xfId="0" applyFont="1" applyBorder="1" applyAlignment="1">
      <alignment/>
    </xf>
    <xf numFmtId="0" fontId="55" fillId="0" borderId="74" xfId="0" applyFont="1" applyBorder="1" applyAlignment="1">
      <alignment/>
    </xf>
    <xf numFmtId="0" fontId="55" fillId="0" borderId="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" xfId="0" applyFont="1" applyFill="1" applyBorder="1" applyAlignment="1" applyProtection="1">
      <alignment/>
      <protection/>
    </xf>
    <xf numFmtId="0" fontId="55" fillId="0" borderId="74" xfId="0" applyFont="1" applyFill="1" applyBorder="1" applyAlignment="1" applyProtection="1">
      <alignment/>
      <protection/>
    </xf>
    <xf numFmtId="0" fontId="55" fillId="0" borderId="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" xfId="0" applyFont="1" applyFill="1" applyBorder="1" applyAlignment="1">
      <alignment/>
    </xf>
    <xf numFmtId="0" fontId="55" fillId="0" borderId="74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22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8" fillId="2" borderId="3" xfId="0" applyFont="1" applyFill="1" applyBorder="1" applyAlignment="1">
      <alignment horizontal="center"/>
    </xf>
    <xf numFmtId="22" fontId="7" fillId="0" borderId="3" xfId="0" applyNumberFormat="1" applyFont="1" applyFill="1" applyBorder="1" applyAlignment="1">
      <alignment horizontal="center"/>
    </xf>
    <xf numFmtId="0" fontId="49" fillId="2" borderId="3" xfId="0" applyFont="1" applyFill="1" applyBorder="1" applyAlignment="1">
      <alignment horizontal="center"/>
    </xf>
    <xf numFmtId="0" fontId="52" fillId="8" borderId="3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/>
    </xf>
    <xf numFmtId="0" fontId="7" fillId="0" borderId="5" xfId="0" applyFont="1" applyBorder="1" applyAlignment="1" applyProtection="1">
      <alignment horizontal="center"/>
      <protection locked="0"/>
    </xf>
    <xf numFmtId="0" fontId="72" fillId="0" borderId="0" xfId="0" applyFont="1" applyAlignment="1">
      <alignment/>
    </xf>
    <xf numFmtId="0" fontId="72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3" fillId="0" borderId="0" xfId="0" applyFont="1" applyBorder="1" applyAlignment="1">
      <alignment horizontal="centerContinuous"/>
    </xf>
    <xf numFmtId="0" fontId="74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Continuous"/>
      <protection/>
    </xf>
    <xf numFmtId="0" fontId="75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6" fillId="0" borderId="9" xfId="0" applyFont="1" applyBorder="1" applyAlignment="1">
      <alignment/>
    </xf>
    <xf numFmtId="0" fontId="0" fillId="0" borderId="10" xfId="0" applyBorder="1" applyAlignment="1">
      <alignment/>
    </xf>
    <xf numFmtId="0" fontId="7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1" borderId="70" xfId="0" applyFont="1" applyFill="1" applyBorder="1" applyAlignment="1">
      <alignment horizontal="centerContinuous" vertical="center"/>
    </xf>
    <xf numFmtId="0" fontId="77" fillId="11" borderId="75" xfId="0" applyFont="1" applyFill="1" applyBorder="1" applyAlignment="1" applyProtection="1">
      <alignment horizontal="centerContinuous" vertical="center"/>
      <protection/>
    </xf>
    <xf numFmtId="0" fontId="77" fillId="11" borderId="75" xfId="0" applyFont="1" applyFill="1" applyBorder="1" applyAlignment="1" applyProtection="1">
      <alignment horizontal="centerContinuous" vertical="center" wrapText="1"/>
      <protection/>
    </xf>
    <xf numFmtId="168" fontId="77" fillId="11" borderId="22" xfId="0" applyNumberFormat="1" applyFont="1" applyFill="1" applyBorder="1" applyAlignment="1" applyProtection="1">
      <alignment horizontal="centerContinuous" vertical="center" wrapText="1"/>
      <protection/>
    </xf>
    <xf numFmtId="17" fontId="77" fillId="11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12" borderId="5" xfId="0" applyFont="1" applyFill="1" applyBorder="1" applyAlignment="1">
      <alignment/>
    </xf>
    <xf numFmtId="0" fontId="76" fillId="12" borderId="76" xfId="0" applyFont="1" applyFill="1" applyBorder="1" applyAlignment="1">
      <alignment/>
    </xf>
    <xf numFmtId="0" fontId="76" fillId="12" borderId="29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0" fillId="0" borderId="73" xfId="0" applyBorder="1" applyAlignment="1">
      <alignment/>
    </xf>
    <xf numFmtId="0" fontId="7" fillId="12" borderId="5" xfId="0" applyFont="1" applyFill="1" applyBorder="1" applyAlignment="1">
      <alignment horizontal="center"/>
    </xf>
    <xf numFmtId="0" fontId="7" fillId="12" borderId="19" xfId="0" applyFont="1" applyFill="1" applyBorder="1" applyAlignment="1" applyProtection="1">
      <alignment horizontal="center"/>
      <protection/>
    </xf>
    <xf numFmtId="2" fontId="7" fillId="12" borderId="17" xfId="0" applyNumberFormat="1" applyFont="1" applyFill="1" applyBorder="1" applyAlignment="1" applyProtection="1">
      <alignment horizontal="center"/>
      <protection/>
    </xf>
    <xf numFmtId="1" fontId="7" fillId="13" borderId="7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10" fillId="14" borderId="5" xfId="0" applyFont="1" applyFill="1" applyBorder="1" applyAlignment="1">
      <alignment horizontal="center"/>
    </xf>
    <xf numFmtId="0" fontId="7" fillId="12" borderId="70" xfId="0" applyFont="1" applyFill="1" applyBorder="1" applyAlignment="1">
      <alignment horizontal="center"/>
    </xf>
    <xf numFmtId="0" fontId="7" fillId="12" borderId="78" xfId="0" applyFont="1" applyFill="1" applyBorder="1" applyAlignment="1" applyProtection="1">
      <alignment horizontal="left"/>
      <protection/>
    </xf>
    <xf numFmtId="0" fontId="7" fillId="12" borderId="78" xfId="0" applyFont="1" applyFill="1" applyBorder="1" applyAlignment="1" applyProtection="1">
      <alignment horizontal="center"/>
      <protection/>
    </xf>
    <xf numFmtId="2" fontId="7" fillId="12" borderId="71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right"/>
      <protection/>
    </xf>
    <xf numFmtId="168" fontId="5" fillId="0" borderId="71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2" borderId="22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13" borderId="22" xfId="0" applyNumberFormat="1" applyFont="1" applyFill="1" applyBorder="1" applyAlignment="1">
      <alignment horizontal="center"/>
    </xf>
    <xf numFmtId="0" fontId="7" fillId="12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" xfId="0" applyFont="1" applyBorder="1" applyAlignment="1">
      <alignment/>
    </xf>
    <xf numFmtId="0" fontId="0" fillId="13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2" fontId="79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78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/>
      <protection/>
    </xf>
    <xf numFmtId="0" fontId="10" fillId="14" borderId="19" xfId="0" applyFont="1" applyFill="1" applyBorder="1" applyAlignment="1" applyProtection="1">
      <alignment horizontal="center"/>
      <protection/>
    </xf>
    <xf numFmtId="2" fontId="10" fillId="14" borderId="17" xfId="0" applyNumberFormat="1" applyFont="1" applyFill="1" applyBorder="1" applyAlignment="1" applyProtection="1">
      <alignment horizontal="center"/>
      <protection/>
    </xf>
    <xf numFmtId="0" fontId="10" fillId="12" borderId="5" xfId="0" applyFont="1" applyFill="1" applyBorder="1" applyAlignment="1">
      <alignment horizontal="center"/>
    </xf>
    <xf numFmtId="0" fontId="10" fillId="12" borderId="19" xfId="0" applyFont="1" applyFill="1" applyBorder="1" applyAlignment="1" applyProtection="1">
      <alignment horizontal="center"/>
      <protection/>
    </xf>
    <xf numFmtId="2" fontId="10" fillId="12" borderId="17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66675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238125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3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1</xdr:col>
      <xdr:colOff>447675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82892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419100</xdr:colOff>
      <xdr:row>1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DC17" t="str">
            <v>XXXX</v>
          </cell>
          <cell r="DD17" t="str">
            <v>XXXX</v>
          </cell>
          <cell r="DE17" t="str">
            <v>XXXX</v>
          </cell>
          <cell r="DF17" t="str">
            <v>XXXX</v>
          </cell>
          <cell r="DG17" t="str">
            <v>XXXX</v>
          </cell>
          <cell r="DH17" t="str">
            <v>XXXX</v>
          </cell>
          <cell r="DI17" t="str">
            <v>XXXX</v>
          </cell>
          <cell r="DJ17" t="str">
            <v>XXXX</v>
          </cell>
          <cell r="DK17" t="str">
            <v>XXXX</v>
          </cell>
          <cell r="DL17" t="str">
            <v>XXXX</v>
          </cell>
          <cell r="DM17" t="str">
            <v>XXXX</v>
          </cell>
          <cell r="DN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GM18">
            <v>3</v>
          </cell>
          <cell r="GQ18">
            <v>1</v>
          </cell>
          <cell r="GR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GR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GO25">
            <v>2</v>
          </cell>
          <cell r="GV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  <cell r="GL26">
            <v>1</v>
          </cell>
          <cell r="GR26">
            <v>1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  <cell r="GT29">
            <v>1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G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GN33">
            <v>3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  <cell r="GV34" t="str">
            <v>XXXX</v>
          </cell>
          <cell r="GW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GM35" t="str">
            <v>XXXX</v>
          </cell>
          <cell r="GN35" t="str">
            <v>XXXX</v>
          </cell>
          <cell r="GO35" t="str">
            <v>XXXX</v>
          </cell>
          <cell r="GP35" t="str">
            <v>XXXX</v>
          </cell>
          <cell r="GQ35" t="str">
            <v>XXXX</v>
          </cell>
          <cell r="GR35" t="str">
            <v>XXXX</v>
          </cell>
          <cell r="GS35" t="str">
            <v>XXXX</v>
          </cell>
          <cell r="GT35" t="str">
            <v>XXXX</v>
          </cell>
          <cell r="GU35" t="str">
            <v>XXXX</v>
          </cell>
          <cell r="GV35" t="str">
            <v>XXXX</v>
          </cell>
          <cell r="GW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  <cell r="GP36">
            <v>1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  <cell r="GL38" t="str">
            <v>XXXX</v>
          </cell>
          <cell r="GM38">
            <v>1</v>
          </cell>
          <cell r="GP38">
            <v>1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4.85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GN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  <cell r="GL44" t="str">
            <v>XXXX</v>
          </cell>
        </row>
        <row r="46">
          <cell r="C46">
            <v>19</v>
          </cell>
          <cell r="D46" t="str">
            <v>PUNTA COLORADA - SIERRA GRANDE</v>
          </cell>
          <cell r="E46">
            <v>132</v>
          </cell>
          <cell r="F46">
            <v>31</v>
          </cell>
        </row>
        <row r="47">
          <cell r="C47">
            <v>20</v>
          </cell>
          <cell r="D47" t="str">
            <v>CARMEN DE PATAGONES - VIEDMA</v>
          </cell>
          <cell r="E47">
            <v>132</v>
          </cell>
          <cell r="F47">
            <v>7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  <cell r="GV47" t="str">
            <v>XXXX</v>
          </cell>
          <cell r="GW47" t="str">
            <v>XXXX</v>
          </cell>
        </row>
        <row r="48">
          <cell r="D48" t="str">
            <v>CARMEN DE PATAGONES - VIEDMA</v>
          </cell>
          <cell r="E48">
            <v>132</v>
          </cell>
          <cell r="F48">
            <v>4.4</v>
          </cell>
          <cell r="GS48">
            <v>2</v>
          </cell>
          <cell r="GU48">
            <v>1</v>
          </cell>
        </row>
        <row r="49">
          <cell r="C49">
            <v>21</v>
          </cell>
          <cell r="D49" t="str">
            <v>SAN ANTONIO OESTE - SIERRA GRANDE</v>
          </cell>
          <cell r="E49">
            <v>132</v>
          </cell>
          <cell r="F49">
            <v>110.3</v>
          </cell>
          <cell r="GO49">
            <v>1</v>
          </cell>
          <cell r="GS49">
            <v>1</v>
          </cell>
        </row>
        <row r="50">
          <cell r="C50">
            <v>22</v>
          </cell>
          <cell r="D50" t="str">
            <v>SAN ANTONIO OESTE -VIEDMA-SAN ANTONIO ESTE</v>
          </cell>
          <cell r="E50">
            <v>132</v>
          </cell>
          <cell r="F50">
            <v>185.6</v>
          </cell>
          <cell r="GO50">
            <v>3</v>
          </cell>
          <cell r="GS50">
            <v>5</v>
          </cell>
          <cell r="GW50">
            <v>1</v>
          </cell>
        </row>
        <row r="51"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  <cell r="GV51" t="str">
            <v>XXXX</v>
          </cell>
          <cell r="GW51" t="str">
            <v>XXXX</v>
          </cell>
        </row>
        <row r="72">
          <cell r="GL72">
            <v>1.11</v>
          </cell>
          <cell r="GM72">
            <v>0.87</v>
          </cell>
          <cell r="GN72">
            <v>0.93</v>
          </cell>
          <cell r="GO72">
            <v>1.03</v>
          </cell>
          <cell r="GP72">
            <v>1.24</v>
          </cell>
          <cell r="GQ72">
            <v>1.27</v>
          </cell>
          <cell r="GR72">
            <v>1.2</v>
          </cell>
          <cell r="GS72">
            <v>1.2</v>
          </cell>
          <cell r="GT72">
            <v>1.44</v>
          </cell>
          <cell r="GU72">
            <v>1.37</v>
          </cell>
          <cell r="GV72">
            <v>1.27</v>
          </cell>
          <cell r="GW72">
            <v>1.3</v>
          </cell>
          <cell r="GX72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7"/>
  <sheetViews>
    <sheetView tabSelected="1" zoomScale="70" zoomScaleNormal="70" workbookViewId="0" topLeftCell="A1">
      <selection activeCell="F4" sqref="F4"/>
    </sheetView>
  </sheetViews>
  <sheetFormatPr defaultColWidth="11.421875" defaultRowHeight="12.75"/>
  <cols>
    <col min="1" max="1" width="25.7109375" style="11" customWidth="1"/>
    <col min="2" max="2" width="5.140625" style="11" customWidth="1"/>
    <col min="3" max="3" width="9.8515625" style="11" customWidth="1"/>
    <col min="4" max="4" width="10.7109375" style="11" customWidth="1"/>
    <col min="5" max="5" width="10.57421875" style="11" customWidth="1"/>
    <col min="6" max="6" width="15.7109375" style="11" customWidth="1"/>
    <col min="7" max="7" width="24.28125" style="11" customWidth="1"/>
    <col min="8" max="8" width="11.00390625" style="11" customWidth="1"/>
    <col min="9" max="9" width="15.7109375" style="11" customWidth="1"/>
    <col min="10" max="10" width="9.57421875" style="11" customWidth="1"/>
    <col min="11" max="11" width="15.7109375" style="11" customWidth="1"/>
    <col min="12" max="13" width="11.421875" style="11" customWidth="1"/>
    <col min="14" max="14" width="14.140625" style="11" customWidth="1"/>
    <col min="15" max="15" width="11.421875" style="11" customWidth="1"/>
    <col min="16" max="16" width="14.7109375" style="11" customWidth="1"/>
    <col min="17" max="17" width="11.421875" style="11" customWidth="1"/>
    <col min="18" max="18" width="12.00390625" style="11" customWidth="1"/>
    <col min="19" max="16384" width="11.421875" style="11" customWidth="1"/>
  </cols>
  <sheetData>
    <row r="1" spans="2:11" s="113" customFormat="1" ht="26.25">
      <c r="B1" s="114"/>
      <c r="K1" s="422"/>
    </row>
    <row r="2" spans="2:10" s="113" customFormat="1" ht="26.25">
      <c r="B2" s="114" t="s">
        <v>182</v>
      </c>
      <c r="C2" s="131"/>
      <c r="D2" s="115"/>
      <c r="E2" s="115"/>
      <c r="F2" s="115"/>
      <c r="G2" s="115"/>
      <c r="H2" s="115"/>
      <c r="I2" s="115"/>
      <c r="J2" s="115"/>
    </row>
    <row r="3" spans="3:19" ht="12.75">
      <c r="C3"/>
      <c r="D3" s="33"/>
      <c r="E3" s="33"/>
      <c r="F3" s="33"/>
      <c r="G3" s="33"/>
      <c r="H3" s="33"/>
      <c r="I3" s="33"/>
      <c r="J3" s="33"/>
      <c r="P3" s="9"/>
      <c r="Q3" s="9"/>
      <c r="R3" s="9"/>
      <c r="S3" s="9"/>
    </row>
    <row r="4" spans="1:19" s="116" customFormat="1" ht="11.25">
      <c r="A4" s="132" t="s">
        <v>20</v>
      </c>
      <c r="B4" s="1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s="116" customFormat="1" ht="11.25">
      <c r="A5" s="132" t="s">
        <v>21</v>
      </c>
      <c r="B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s="113" customFormat="1" ht="26.25">
      <c r="B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2:19" s="118" customFormat="1" ht="21">
      <c r="B7" s="173" t="s">
        <v>0</v>
      </c>
      <c r="C7" s="137"/>
      <c r="D7" s="138"/>
      <c r="E7" s="138"/>
      <c r="F7" s="139"/>
      <c r="G7" s="139"/>
      <c r="H7" s="139"/>
      <c r="I7" s="139"/>
      <c r="J7" s="139"/>
      <c r="K7" s="39"/>
      <c r="L7" s="39"/>
      <c r="M7" s="39"/>
      <c r="N7" s="39"/>
      <c r="O7" s="39"/>
      <c r="P7" s="39"/>
      <c r="Q7" s="39"/>
      <c r="R7" s="39"/>
      <c r="S7" s="39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18" customFormat="1" ht="21">
      <c r="B9" s="173" t="s">
        <v>1</v>
      </c>
      <c r="C9" s="137"/>
      <c r="D9" s="138"/>
      <c r="E9" s="138"/>
      <c r="F9" s="138"/>
      <c r="G9" s="138"/>
      <c r="H9" s="138"/>
      <c r="I9" s="139"/>
      <c r="J9" s="139"/>
      <c r="K9" s="39"/>
      <c r="L9" s="39"/>
      <c r="M9" s="39"/>
      <c r="N9" s="39"/>
      <c r="O9" s="39"/>
      <c r="P9" s="39"/>
      <c r="Q9" s="39"/>
      <c r="R9" s="39"/>
      <c r="S9" s="39"/>
    </row>
    <row r="10" spans="4:19" ht="12.75">
      <c r="D10" s="140"/>
      <c r="E10" s="14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18" customFormat="1" ht="20.25">
      <c r="B11" s="173" t="s">
        <v>181</v>
      </c>
      <c r="C11" s="79"/>
      <c r="D11" s="34"/>
      <c r="E11" s="34"/>
      <c r="F11" s="138"/>
      <c r="G11" s="138"/>
      <c r="H11" s="138"/>
      <c r="I11" s="139"/>
      <c r="J11" s="139"/>
      <c r="K11" s="39"/>
      <c r="L11" s="39"/>
      <c r="M11" s="39"/>
      <c r="N11" s="39"/>
      <c r="O11" s="39"/>
      <c r="P11" s="39"/>
      <c r="Q11" s="39"/>
      <c r="R11" s="39"/>
      <c r="S11" s="39"/>
    </row>
    <row r="12" spans="4:19" s="141" customFormat="1" ht="16.5" thickBot="1">
      <c r="D12" s="8"/>
      <c r="E12" s="8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2:19" s="141" customFormat="1" ht="16.5" thickTop="1">
      <c r="B13" s="390">
        <v>1</v>
      </c>
      <c r="C13" s="419"/>
      <c r="D13" s="143"/>
      <c r="E13" s="143"/>
      <c r="F13" s="143"/>
      <c r="G13" s="143"/>
      <c r="H13" s="143"/>
      <c r="I13" s="143"/>
      <c r="J13" s="144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2:19" s="125" customFormat="1" ht="19.5">
      <c r="B14" s="243" t="s">
        <v>143</v>
      </c>
      <c r="C14" s="145"/>
      <c r="D14" s="146"/>
      <c r="E14" s="147"/>
      <c r="F14" s="147"/>
      <c r="G14" s="147"/>
      <c r="H14" s="147"/>
      <c r="I14" s="121"/>
      <c r="J14" s="124"/>
      <c r="K14" s="41"/>
      <c r="L14" s="41"/>
      <c r="M14" s="41"/>
      <c r="N14" s="41"/>
      <c r="O14" s="41"/>
      <c r="P14" s="41"/>
      <c r="Q14" s="41"/>
      <c r="R14" s="41"/>
      <c r="S14" s="41"/>
    </row>
    <row r="15" spans="2:19" s="125" customFormat="1" ht="9" customHeight="1">
      <c r="B15" s="148"/>
      <c r="C15" s="149"/>
      <c r="D15" s="149"/>
      <c r="E15" s="41"/>
      <c r="F15" s="150"/>
      <c r="G15" s="150"/>
      <c r="H15" s="150"/>
      <c r="I15" s="41"/>
      <c r="J15" s="151"/>
      <c r="K15" s="41"/>
      <c r="L15" s="41"/>
      <c r="M15" s="41"/>
      <c r="N15" s="41"/>
      <c r="O15" s="41"/>
      <c r="P15" s="41"/>
      <c r="Q15" s="41"/>
      <c r="R15" s="41"/>
      <c r="S15" s="41"/>
    </row>
    <row r="16" spans="2:18" s="125" customFormat="1" ht="9" customHeight="1">
      <c r="B16" s="243">
        <f>IF(B13=2,"Sanciones duplicadas por tasa de falla &gt; 4 Sal. x año/100km.","")</f>
      </c>
      <c r="C16" s="246"/>
      <c r="D16" s="246"/>
      <c r="E16" s="121"/>
      <c r="F16" s="147"/>
      <c r="G16" s="147"/>
      <c r="H16" s="121"/>
      <c r="I16" s="79"/>
      <c r="J16" s="124"/>
      <c r="K16" s="41"/>
      <c r="L16" s="41"/>
      <c r="M16" s="41"/>
      <c r="N16" s="41"/>
      <c r="O16" s="41"/>
      <c r="P16" s="41"/>
      <c r="Q16" s="41"/>
      <c r="R16" s="41"/>
    </row>
    <row r="17" spans="2:18" s="125" customFormat="1" ht="9" customHeight="1">
      <c r="B17" s="148"/>
      <c r="C17" s="149"/>
      <c r="D17" s="149"/>
      <c r="E17" s="41"/>
      <c r="F17" s="150"/>
      <c r="G17" s="150"/>
      <c r="H17" s="41"/>
      <c r="I17"/>
      <c r="J17" s="151"/>
      <c r="K17" s="41"/>
      <c r="L17" s="41"/>
      <c r="M17" s="41"/>
      <c r="N17" s="41"/>
      <c r="O17" s="41"/>
      <c r="P17" s="41"/>
      <c r="Q17" s="41"/>
      <c r="R17" s="41"/>
    </row>
    <row r="18" spans="2:19" s="125" customFormat="1" ht="19.5">
      <c r="B18" s="148"/>
      <c r="C18" s="152" t="s">
        <v>22</v>
      </c>
      <c r="D18" s="153" t="s">
        <v>23</v>
      </c>
      <c r="E18" s="41"/>
      <c r="F18" s="150"/>
      <c r="G18" s="150"/>
      <c r="H18" s="150"/>
      <c r="I18" s="40"/>
      <c r="J18" s="151"/>
      <c r="K18" s="41"/>
      <c r="L18" s="41"/>
      <c r="M18" s="41"/>
      <c r="N18" s="41"/>
      <c r="O18" s="41"/>
      <c r="P18" s="41"/>
      <c r="Q18" s="41"/>
      <c r="R18" s="41"/>
      <c r="S18" s="41"/>
    </row>
    <row r="19" spans="2:19" s="125" customFormat="1" ht="19.5">
      <c r="B19" s="148"/>
      <c r="C19"/>
      <c r="D19" s="152" t="s">
        <v>24</v>
      </c>
      <c r="E19" s="153" t="s">
        <v>25</v>
      </c>
      <c r="F19" s="150"/>
      <c r="G19" s="150"/>
      <c r="H19" s="150"/>
      <c r="I19" s="40">
        <f>'LI-06 (1)'!AA43</f>
        <v>20401.76</v>
      </c>
      <c r="J19" s="151"/>
      <c r="K19" s="41"/>
      <c r="L19" s="41"/>
      <c r="M19" s="41"/>
      <c r="N19" s="41"/>
      <c r="O19" s="41"/>
      <c r="P19" s="41"/>
      <c r="Q19" s="41"/>
      <c r="R19" s="41"/>
      <c r="S19" s="41"/>
    </row>
    <row r="20" spans="2:19" s="125" customFormat="1" ht="19.5">
      <c r="B20" s="148"/>
      <c r="C20" s="152"/>
      <c r="D20" s="152" t="s">
        <v>162</v>
      </c>
      <c r="E20" s="153" t="s">
        <v>27</v>
      </c>
      <c r="F20" s="150"/>
      <c r="G20" s="150"/>
      <c r="H20" s="150"/>
      <c r="I20" s="40">
        <f>'LI-SPSE-06 (1)'!AA43</f>
        <v>18879.85</v>
      </c>
      <c r="J20" s="151"/>
      <c r="K20" s="41"/>
      <c r="L20" s="41"/>
      <c r="M20" s="41"/>
      <c r="N20" s="41"/>
      <c r="O20" s="41"/>
      <c r="P20" s="41"/>
      <c r="Q20" s="41"/>
      <c r="R20" s="41"/>
      <c r="S20" s="41"/>
    </row>
    <row r="21" spans="2:19" s="125" customFormat="1" ht="18.75">
      <c r="B21" s="148"/>
      <c r="C21" s="152"/>
      <c r="J21" s="151"/>
      <c r="K21" s="41"/>
      <c r="L21" s="41"/>
      <c r="M21" s="41"/>
      <c r="N21" s="41"/>
      <c r="O21" s="41"/>
      <c r="P21" s="41"/>
      <c r="Q21" s="41"/>
      <c r="R21" s="41"/>
      <c r="S21" s="41"/>
    </row>
    <row r="22" spans="2:19" s="125" customFormat="1" ht="19.5">
      <c r="B22" s="148"/>
      <c r="C22" s="152"/>
      <c r="D22" s="152"/>
      <c r="E22" s="153"/>
      <c r="F22" s="150"/>
      <c r="G22" s="150"/>
      <c r="H22" s="150"/>
      <c r="I22" s="40"/>
      <c r="J22" s="15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>
      <c r="B23" s="38"/>
      <c r="C23" s="154"/>
      <c r="D23" s="155"/>
      <c r="E23" s="9"/>
      <c r="F23" s="156"/>
      <c r="G23" s="156"/>
      <c r="H23" s="156"/>
      <c r="I23" s="157"/>
      <c r="J23" s="12"/>
      <c r="K23" s="9"/>
      <c r="L23" s="9"/>
      <c r="M23" s="9"/>
      <c r="N23" s="9"/>
      <c r="O23" s="9"/>
      <c r="P23" s="9"/>
      <c r="Q23" s="9"/>
      <c r="R23" s="9"/>
      <c r="S23" s="9"/>
    </row>
    <row r="24" spans="2:19" s="125" customFormat="1" ht="19.5">
      <c r="B24" s="148"/>
      <c r="C24" s="152" t="s">
        <v>28</v>
      </c>
      <c r="D24" s="153" t="s">
        <v>29</v>
      </c>
      <c r="E24" s="41"/>
      <c r="F24" s="150"/>
      <c r="G24" s="150"/>
      <c r="H24" s="150"/>
      <c r="I24" s="40"/>
      <c r="J24" s="15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8.25" customHeight="1">
      <c r="B25" s="38"/>
      <c r="C25" s="154"/>
      <c r="D25" s="154"/>
      <c r="E25" s="9"/>
      <c r="F25" s="156"/>
      <c r="G25" s="156"/>
      <c r="H25" s="156"/>
      <c r="I25" s="158"/>
      <c r="J25" s="12"/>
      <c r="K25" s="9"/>
      <c r="L25" s="9"/>
      <c r="M25" s="9"/>
      <c r="N25" s="9"/>
      <c r="O25" s="9"/>
      <c r="P25" s="9"/>
      <c r="Q25" s="9"/>
      <c r="R25" s="9"/>
      <c r="S25" s="9"/>
    </row>
    <row r="26" spans="2:19" s="125" customFormat="1" ht="19.5">
      <c r="B26" s="148"/>
      <c r="C26" s="152"/>
      <c r="D26" s="152" t="s">
        <v>30</v>
      </c>
      <c r="E26" s="10" t="s">
        <v>31</v>
      </c>
      <c r="F26" s="150"/>
      <c r="G26" s="150"/>
      <c r="H26" s="150"/>
      <c r="I26" s="40"/>
      <c r="J26" s="151"/>
      <c r="K26" s="41"/>
      <c r="L26" s="41"/>
      <c r="M26" s="41"/>
      <c r="N26" s="41"/>
      <c r="O26" s="41"/>
      <c r="P26" s="41"/>
      <c r="Q26" s="41"/>
      <c r="R26" s="41"/>
      <c r="S26" s="41"/>
    </row>
    <row r="27" spans="2:19" s="125" customFormat="1" ht="19.5">
      <c r="B27" s="148"/>
      <c r="C27" s="152"/>
      <c r="D27" s="152"/>
      <c r="E27" s="152" t="s">
        <v>32</v>
      </c>
      <c r="F27" s="153" t="s">
        <v>25</v>
      </c>
      <c r="G27" s="150"/>
      <c r="H27" s="150"/>
      <c r="I27" s="40">
        <f>'TR-06 (1)'!AC45</f>
        <v>9.76</v>
      </c>
      <c r="J27" s="151"/>
      <c r="K27" s="41"/>
      <c r="L27" s="41"/>
      <c r="M27" s="41"/>
      <c r="N27" s="41"/>
      <c r="O27" s="41"/>
      <c r="P27" s="41"/>
      <c r="Q27" s="41"/>
      <c r="R27" s="41"/>
      <c r="S27" s="41"/>
    </row>
    <row r="28" spans="2:19" s="125" customFormat="1" ht="19.5">
      <c r="B28" s="148"/>
      <c r="C28" s="152"/>
      <c r="D28" s="152"/>
      <c r="E28" s="152" t="s">
        <v>33</v>
      </c>
      <c r="F28" s="153" t="s">
        <v>26</v>
      </c>
      <c r="G28" s="150"/>
      <c r="H28" s="150"/>
      <c r="I28" s="40">
        <f>'TR-EDERSA-06 (1)'!AC45</f>
        <v>11.39</v>
      </c>
      <c r="J28" s="151"/>
      <c r="K28" s="41"/>
      <c r="L28" s="41"/>
      <c r="M28" s="41"/>
      <c r="N28" s="41"/>
      <c r="O28" s="41"/>
      <c r="P28" s="41"/>
      <c r="Q28" s="41"/>
      <c r="R28" s="41"/>
      <c r="S28" s="41"/>
    </row>
    <row r="29" spans="2:19" s="125" customFormat="1" ht="19.5">
      <c r="B29" s="148"/>
      <c r="C29" s="152"/>
      <c r="D29" s="152"/>
      <c r="E29" s="152"/>
      <c r="F29" s="153"/>
      <c r="G29" s="150"/>
      <c r="H29" s="150"/>
      <c r="I29" s="40"/>
      <c r="J29" s="15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>
      <c r="B30" s="38"/>
      <c r="C30" s="154"/>
      <c r="D30" s="154"/>
      <c r="E30" s="9"/>
      <c r="F30" s="156"/>
      <c r="G30" s="156"/>
      <c r="H30" s="156"/>
      <c r="I30" s="158"/>
      <c r="J30" s="12"/>
      <c r="K30" s="9"/>
      <c r="L30" s="9"/>
      <c r="M30" s="9"/>
      <c r="N30" s="9"/>
      <c r="O30" s="9"/>
      <c r="P30" s="9"/>
      <c r="Q30" s="9"/>
      <c r="R30" s="9"/>
      <c r="S30" s="9"/>
    </row>
    <row r="31" spans="2:19" s="125" customFormat="1" ht="19.5">
      <c r="B31" s="148"/>
      <c r="C31" s="152" t="s">
        <v>34</v>
      </c>
      <c r="D31" s="153" t="s">
        <v>35</v>
      </c>
      <c r="E31" s="41"/>
      <c r="F31" s="150"/>
      <c r="G31" s="150"/>
      <c r="H31" s="150"/>
      <c r="I31" s="40">
        <f>'RE-06 (1)'!V43</f>
        <v>22.45</v>
      </c>
      <c r="J31" s="151"/>
      <c r="K31" s="41"/>
      <c r="L31" s="41"/>
      <c r="M31" s="41"/>
      <c r="N31" s="41"/>
      <c r="O31" s="41"/>
      <c r="P31" s="41"/>
      <c r="Q31" s="41"/>
      <c r="R31" s="41"/>
      <c r="S31" s="41"/>
    </row>
    <row r="32" spans="2:19" s="125" customFormat="1" ht="19.5">
      <c r="B32" s="148"/>
      <c r="C32" s="152"/>
      <c r="D32" s="153"/>
      <c r="E32" s="41"/>
      <c r="F32" s="150"/>
      <c r="G32" s="150"/>
      <c r="H32" s="150"/>
      <c r="I32" s="40"/>
      <c r="J32" s="151"/>
      <c r="K32" s="41"/>
      <c r="L32" s="41"/>
      <c r="M32" s="41"/>
      <c r="N32" s="41"/>
      <c r="O32" s="41"/>
      <c r="P32" s="41"/>
      <c r="Q32" s="41"/>
      <c r="R32" s="41"/>
      <c r="S32" s="41"/>
    </row>
    <row r="33" spans="2:19" s="125" customFormat="1" ht="18.75">
      <c r="B33" s="148"/>
      <c r="J33" s="151"/>
      <c r="K33" s="41"/>
      <c r="L33" s="41"/>
      <c r="M33" s="41"/>
      <c r="N33" s="41"/>
      <c r="O33" s="41"/>
      <c r="P33" s="41"/>
      <c r="Q33" s="41"/>
      <c r="R33" s="41"/>
      <c r="S33" s="41"/>
    </row>
    <row r="34" spans="2:19" s="125" customFormat="1" ht="19.5">
      <c r="B34" s="148"/>
      <c r="C34" s="152" t="s">
        <v>36</v>
      </c>
      <c r="D34" s="10" t="s">
        <v>37</v>
      </c>
      <c r="E34" s="150"/>
      <c r="F34"/>
      <c r="G34" s="150"/>
      <c r="H34" s="150"/>
      <c r="I34" s="40"/>
      <c r="J34" s="151"/>
      <c r="K34" s="41"/>
      <c r="L34" s="41"/>
      <c r="M34" s="41"/>
      <c r="N34" s="41"/>
      <c r="O34" s="41"/>
      <c r="P34" s="41"/>
      <c r="Q34" s="41"/>
      <c r="R34" s="41"/>
      <c r="S34" s="41"/>
    </row>
    <row r="35" spans="2:19" s="125" customFormat="1" ht="19.5">
      <c r="B35" s="148"/>
      <c r="C35" s="152"/>
      <c r="D35" s="152" t="s">
        <v>38</v>
      </c>
      <c r="E35" s="153" t="s">
        <v>26</v>
      </c>
      <c r="F35"/>
      <c r="G35" s="150"/>
      <c r="H35" s="150"/>
      <c r="I35" s="40">
        <f>'SUP-EDERSA'!I57</f>
        <v>2.8475</v>
      </c>
      <c r="J35" s="151"/>
      <c r="K35" s="41"/>
      <c r="L35" s="41"/>
      <c r="M35" s="41"/>
      <c r="N35" s="41"/>
      <c r="O35" s="41"/>
      <c r="P35" s="41"/>
      <c r="Q35" s="41"/>
      <c r="R35" s="41"/>
      <c r="S35" s="41"/>
    </row>
    <row r="36" spans="2:19" ht="19.5">
      <c r="B36" s="38"/>
      <c r="C36" s="152"/>
      <c r="D36" s="152" t="s">
        <v>39</v>
      </c>
      <c r="E36" s="153" t="s">
        <v>27</v>
      </c>
      <c r="F36"/>
      <c r="G36" s="150"/>
      <c r="H36" s="150"/>
      <c r="I36" s="40">
        <f>'SUP-SPSE'!I52</f>
        <v>4719.9625</v>
      </c>
      <c r="J36" s="12"/>
      <c r="K36" s="9"/>
      <c r="L36" s="9"/>
      <c r="M36" s="9"/>
      <c r="N36" s="9"/>
      <c r="O36" s="9"/>
      <c r="P36" s="9"/>
      <c r="Q36" s="9"/>
      <c r="R36" s="9"/>
      <c r="S36" s="9"/>
    </row>
    <row r="37" spans="2:19" s="125" customFormat="1" ht="18.75">
      <c r="B37" s="148"/>
      <c r="J37" s="151"/>
      <c r="K37" s="41"/>
      <c r="L37" s="41"/>
      <c r="M37" s="41"/>
      <c r="N37" s="41"/>
      <c r="O37" s="41"/>
      <c r="P37" s="41"/>
      <c r="Q37" s="41"/>
      <c r="R37" s="41"/>
      <c r="S37" s="41"/>
    </row>
    <row r="38" spans="2:19" s="125" customFormat="1" ht="18.75">
      <c r="B38" s="148"/>
      <c r="J38" s="151"/>
      <c r="K38" s="41"/>
      <c r="L38" s="41"/>
      <c r="M38" s="41"/>
      <c r="N38" s="41"/>
      <c r="O38" s="41"/>
      <c r="P38" s="41"/>
      <c r="Q38" s="41"/>
      <c r="R38" s="41"/>
      <c r="S38" s="41"/>
    </row>
    <row r="39" spans="2:19" s="125" customFormat="1" ht="19.5" thickBot="1">
      <c r="B39" s="148"/>
      <c r="J39" s="151"/>
      <c r="K39" s="41"/>
      <c r="L39" s="41"/>
      <c r="M39" s="41"/>
      <c r="N39" s="41"/>
      <c r="O39" s="41"/>
      <c r="P39" s="41"/>
      <c r="Q39" s="41"/>
      <c r="R39" s="41"/>
      <c r="S39" s="41"/>
    </row>
    <row r="40" spans="2:19" s="125" customFormat="1" ht="20.25" thickBot="1" thickTop="1">
      <c r="B40" s="148"/>
      <c r="C40" s="152"/>
      <c r="D40" s="152"/>
      <c r="F40" s="159" t="s">
        <v>40</v>
      </c>
      <c r="G40" s="160">
        <f>SUM(I19:I36)</f>
        <v>44048.020000000004</v>
      </c>
      <c r="H40" s="245"/>
      <c r="J40" s="151"/>
      <c r="K40" s="41"/>
      <c r="L40" s="41"/>
      <c r="M40" s="41"/>
      <c r="N40" s="41"/>
      <c r="O40" s="41"/>
      <c r="P40" s="41"/>
      <c r="Q40" s="41"/>
      <c r="R40" s="41"/>
      <c r="S40" s="41"/>
    </row>
    <row r="41" spans="2:19" s="125" customFormat="1" ht="19.5" thickTop="1">
      <c r="B41" s="148"/>
      <c r="C41" s="152"/>
      <c r="D41" s="152"/>
      <c r="F41" s="684"/>
      <c r="G41" s="245"/>
      <c r="H41" s="245"/>
      <c r="J41" s="151"/>
      <c r="K41" s="41"/>
      <c r="L41" s="41"/>
      <c r="M41" s="41"/>
      <c r="N41" s="41"/>
      <c r="O41" s="41"/>
      <c r="P41" s="41"/>
      <c r="Q41" s="41"/>
      <c r="R41" s="41"/>
      <c r="S41" s="41"/>
    </row>
    <row r="42" spans="2:19" s="125" customFormat="1" ht="18.75">
      <c r="B42" s="148"/>
      <c r="C42" s="685" t="s">
        <v>177</v>
      </c>
      <c r="D42" s="152"/>
      <c r="F42" s="684"/>
      <c r="G42" s="245"/>
      <c r="H42" s="245"/>
      <c r="I42" s="41"/>
      <c r="J42" s="151"/>
      <c r="K42" s="41"/>
      <c r="L42" s="41"/>
      <c r="M42" s="41"/>
      <c r="N42" s="41"/>
      <c r="O42" s="41"/>
      <c r="P42" s="41"/>
      <c r="Q42" s="41"/>
      <c r="R42" s="41"/>
      <c r="S42" s="41"/>
    </row>
    <row r="43" spans="2:19" s="125" customFormat="1" ht="18.75">
      <c r="B43" s="148"/>
      <c r="J43" s="151"/>
      <c r="K43" s="41"/>
      <c r="L43" s="41"/>
      <c r="M43" s="41"/>
      <c r="N43" s="41"/>
      <c r="O43" s="41"/>
      <c r="P43" s="41"/>
      <c r="Q43" s="41"/>
      <c r="R43" s="41"/>
      <c r="S43" s="41"/>
    </row>
    <row r="44" spans="2:19" s="125" customFormat="1" ht="8.25" customHeight="1">
      <c r="B44" s="148"/>
      <c r="J44" s="151"/>
      <c r="K44" s="41"/>
      <c r="L44" s="41"/>
      <c r="M44" s="41"/>
      <c r="N44" s="41"/>
      <c r="O44" s="41"/>
      <c r="P44" s="41"/>
      <c r="Q44" s="41"/>
      <c r="R44" s="41"/>
      <c r="S44" s="41"/>
    </row>
    <row r="45" spans="2:19" s="125" customFormat="1" ht="18.75">
      <c r="B45" s="148"/>
      <c r="J45" s="151"/>
      <c r="K45" s="41"/>
      <c r="L45" s="41"/>
      <c r="M45" s="41"/>
      <c r="N45" s="41"/>
      <c r="O45" s="41"/>
      <c r="P45" s="41"/>
      <c r="Q45" s="41"/>
      <c r="R45" s="41"/>
      <c r="S45" s="41"/>
    </row>
    <row r="46" spans="2:19" s="141" customFormat="1" ht="6.75" customHeight="1" thickBot="1">
      <c r="B46" s="161"/>
      <c r="C46" s="162"/>
      <c r="D46" s="162"/>
      <c r="E46" s="163"/>
      <c r="F46" s="163"/>
      <c r="G46" s="163"/>
      <c r="H46" s="163"/>
      <c r="I46" s="163"/>
      <c r="J46" s="164"/>
      <c r="K46" s="142"/>
      <c r="L46" s="142"/>
      <c r="M46" s="77"/>
      <c r="N46" s="165"/>
      <c r="O46" s="165"/>
      <c r="P46" s="166"/>
      <c r="Q46" s="167"/>
      <c r="R46" s="142"/>
      <c r="S46" s="142"/>
    </row>
    <row r="47" spans="4:19" ht="13.5" thickTop="1">
      <c r="D47" s="9"/>
      <c r="F47" s="9"/>
      <c r="G47" s="9"/>
      <c r="H47" s="9"/>
      <c r="I47" s="9"/>
      <c r="J47" s="9"/>
      <c r="K47" s="9"/>
      <c r="L47" s="9"/>
      <c r="M47" s="28"/>
      <c r="N47" s="168"/>
      <c r="O47" s="168"/>
      <c r="P47" s="9"/>
      <c r="Q47" s="30"/>
      <c r="R47" s="9"/>
      <c r="S47" s="9"/>
    </row>
    <row r="48" spans="4:19" ht="12.75">
      <c r="D48" s="9"/>
      <c r="F48" s="9"/>
      <c r="G48" s="9"/>
      <c r="H48" s="9"/>
      <c r="I48" s="9"/>
      <c r="J48" s="9"/>
      <c r="K48" s="9"/>
      <c r="L48" s="9"/>
      <c r="M48" s="9"/>
      <c r="N48" s="169"/>
      <c r="O48" s="169"/>
      <c r="P48" s="170"/>
      <c r="Q48" s="30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169"/>
      <c r="O49" s="169"/>
      <c r="P49" s="170"/>
      <c r="Q49" s="30"/>
      <c r="R49" s="9"/>
      <c r="S49" s="9"/>
    </row>
    <row r="50" spans="4:19" ht="12.75">
      <c r="D50" s="9"/>
      <c r="E50" s="9"/>
      <c r="L50" s="9"/>
      <c r="M50" s="9"/>
      <c r="N50" s="9"/>
      <c r="O50" s="9"/>
      <c r="P50" s="9"/>
      <c r="Q50" s="9"/>
      <c r="R50" s="9"/>
      <c r="S50" s="9"/>
    </row>
    <row r="51" spans="4:19" ht="12.75">
      <c r="D51" s="9"/>
      <c r="E51" s="9"/>
      <c r="P51" s="9"/>
      <c r="Q51" s="9"/>
      <c r="R51" s="9"/>
      <c r="S51" s="9"/>
    </row>
    <row r="52" spans="4:19" ht="12.75">
      <c r="D52" s="9"/>
      <c r="E52" s="9"/>
      <c r="P52" s="9"/>
      <c r="Q52" s="9"/>
      <c r="R52" s="9"/>
      <c r="S52" s="9"/>
    </row>
    <row r="53" spans="4:19" ht="12.75">
      <c r="D53" s="9"/>
      <c r="E53" s="9"/>
      <c r="P53" s="9"/>
      <c r="Q53" s="9"/>
      <c r="R53" s="9"/>
      <c r="S53" s="9"/>
    </row>
    <row r="54" spans="4:19" ht="12.75">
      <c r="D54" s="9"/>
      <c r="E54" s="9"/>
      <c r="P54" s="9"/>
      <c r="Q54" s="9"/>
      <c r="R54" s="9"/>
      <c r="S54" s="9"/>
    </row>
    <row r="55" spans="4:19" ht="12.75">
      <c r="D55" s="9"/>
      <c r="E55" s="9"/>
      <c r="P55" s="9"/>
      <c r="Q55" s="9"/>
      <c r="R55" s="9"/>
      <c r="S55" s="9"/>
    </row>
    <row r="56" spans="16:19" ht="12.75">
      <c r="P56" s="9"/>
      <c r="Q56" s="9"/>
      <c r="R56" s="9"/>
      <c r="S56" s="9"/>
    </row>
    <row r="57" spans="16:19" ht="12.75">
      <c r="P57" s="9"/>
      <c r="Q57" s="9"/>
      <c r="R57" s="9"/>
      <c r="S57" s="9"/>
    </row>
  </sheetData>
  <printOptions horizontalCentered="1"/>
  <pageMargins left="0.24" right="0.5" top="0.7874015748031497" bottom="0.7874015748031497" header="0.5118110236220472" footer="0.5118110236220472"/>
  <pageSetup fitToHeight="1" fitToWidth="1" orientation="portrait" paperSize="9" scale="7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workbookViewId="0" topLeftCell="A1">
      <selection activeCell="I42" sqref="I42"/>
    </sheetView>
  </sheetViews>
  <sheetFormatPr defaultColWidth="11.421875" defaultRowHeight="12.75"/>
  <cols>
    <col min="1" max="1" width="5.421875" style="0" customWidth="1"/>
    <col min="2" max="2" width="4.28125" style="0" customWidth="1"/>
    <col min="3" max="3" width="5.421875" style="0" customWidth="1"/>
    <col min="4" max="5" width="13.7109375" style="0" customWidth="1"/>
    <col min="6" max="6" width="49.851562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5.8515625" style="0" bestFit="1" customWidth="1"/>
    <col min="16" max="17" width="12.140625" style="0" hidden="1" customWidth="1"/>
    <col min="18" max="18" width="11.421875" style="0" hidden="1" customWidth="1"/>
    <col min="19" max="19" width="10.140625" style="0" hidden="1" customWidth="1"/>
    <col min="20" max="20" width="6.00390625" style="0" hidden="1" customWidth="1"/>
    <col min="21" max="22" width="6.8515625" style="0" hidden="1" customWidth="1"/>
    <col min="23" max="23" width="6.00390625" style="0" hidden="1" customWidth="1"/>
    <col min="24" max="25" width="11.710937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3" customFormat="1" ht="26.25">
      <c r="AB1" s="422"/>
    </row>
    <row r="2" spans="2:28" s="113" customFormat="1" ht="26.25">
      <c r="B2" s="114" t="str">
        <f>+'TOT-0611'!B2</f>
        <v>ANEXO VI al Memorandum D.T.E.E. N°482 / 2012 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="11" customFormat="1" ht="12.75"/>
    <row r="4" spans="1:3" s="116" customFormat="1" ht="11.25">
      <c r="A4" s="716" t="s">
        <v>20</v>
      </c>
      <c r="C4" s="715"/>
    </row>
    <row r="5" spans="1:3" s="116" customFormat="1" ht="11.25">
      <c r="A5" s="716" t="s">
        <v>139</v>
      </c>
      <c r="C5" s="715"/>
    </row>
    <row r="6" s="11" customFormat="1" ht="13.5" thickBot="1"/>
    <row r="7" spans="1:28" s="11" customFormat="1" ht="13.5" thickTop="1">
      <c r="A7" s="9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7"/>
    </row>
    <row r="8" spans="1:28" s="118" customFormat="1" ht="20.25">
      <c r="A8" s="39"/>
      <c r="B8" s="117"/>
      <c r="C8" s="39"/>
      <c r="D8" s="39"/>
      <c r="E8" s="39"/>
      <c r="F8" s="20" t="s">
        <v>41</v>
      </c>
      <c r="G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19"/>
    </row>
    <row r="9" spans="1:28" s="11" customFormat="1" ht="12.75">
      <c r="A9" s="9"/>
      <c r="B9" s="38"/>
      <c r="C9" s="9"/>
      <c r="D9" s="9"/>
      <c r="E9" s="9"/>
      <c r="F9" s="130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18" customFormat="1" ht="20.25">
      <c r="A10" s="39"/>
      <c r="B10" s="117"/>
      <c r="C10" s="39"/>
      <c r="D10" s="39"/>
      <c r="E10" s="39"/>
      <c r="F10" s="20" t="s">
        <v>42</v>
      </c>
      <c r="G10" s="20"/>
      <c r="H10" s="39"/>
      <c r="I10" s="120"/>
      <c r="J10" s="120"/>
      <c r="K10" s="120"/>
      <c r="L10" s="120"/>
      <c r="M10" s="120"/>
      <c r="N10" s="120"/>
      <c r="O10" s="120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19"/>
    </row>
    <row r="11" spans="1:28" s="11" customFormat="1" ht="12.75">
      <c r="A11" s="9"/>
      <c r="B11" s="38"/>
      <c r="C11" s="9"/>
      <c r="D11" s="9"/>
      <c r="E11" s="9"/>
      <c r="F11" s="129"/>
      <c r="G11" s="127"/>
      <c r="H11" s="9"/>
      <c r="I11" s="126"/>
      <c r="J11" s="126"/>
      <c r="K11" s="126"/>
      <c r="L11" s="126"/>
      <c r="M11" s="126"/>
      <c r="N11" s="126"/>
      <c r="O11" s="1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18" customFormat="1" ht="20.25">
      <c r="A12" s="39"/>
      <c r="B12" s="117"/>
      <c r="C12" s="39"/>
      <c r="D12" s="39"/>
      <c r="E12" s="39"/>
      <c r="F12" s="20" t="s">
        <v>43</v>
      </c>
      <c r="G12" s="20"/>
      <c r="H12" s="39"/>
      <c r="I12" s="120"/>
      <c r="J12" s="120"/>
      <c r="K12" s="120"/>
      <c r="L12" s="120"/>
      <c r="M12" s="120"/>
      <c r="N12" s="120"/>
      <c r="O12" s="12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19"/>
    </row>
    <row r="13" spans="1:28" s="11" customFormat="1" ht="12.75">
      <c r="A13" s="9"/>
      <c r="B13" s="38"/>
      <c r="C13" s="9"/>
      <c r="D13" s="9"/>
      <c r="E13" s="9"/>
      <c r="F13" s="129"/>
      <c r="G13" s="127"/>
      <c r="H13" s="9"/>
      <c r="I13" s="126"/>
      <c r="J13" s="126"/>
      <c r="K13" s="126"/>
      <c r="L13" s="126"/>
      <c r="M13" s="126"/>
      <c r="N13" s="126"/>
      <c r="O13" s="12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5" customFormat="1" ht="19.5">
      <c r="A14" s="41"/>
      <c r="B14" s="93" t="str">
        <f>+'TOT-0611'!B14</f>
        <v>Desde el 01 al 30 de junio de 2011</v>
      </c>
      <c r="C14" s="121"/>
      <c r="D14" s="121"/>
      <c r="E14" s="121"/>
      <c r="F14" s="121"/>
      <c r="G14" s="122"/>
      <c r="H14" s="122"/>
      <c r="I14" s="123"/>
      <c r="J14" s="123"/>
      <c r="K14" s="123"/>
      <c r="L14" s="123"/>
      <c r="M14" s="123"/>
      <c r="N14" s="123"/>
      <c r="O14" s="123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4"/>
    </row>
    <row r="15" spans="1:28" s="11" customFormat="1" ht="13.5" thickBot="1">
      <c r="A15" s="9"/>
      <c r="B15" s="38"/>
      <c r="C15" s="9"/>
      <c r="D15" s="9"/>
      <c r="E15" s="9"/>
      <c r="F15" s="9"/>
      <c r="G15" s="127"/>
      <c r="H15" s="128"/>
      <c r="I15" s="126"/>
      <c r="J15" s="126"/>
      <c r="K15" s="126"/>
      <c r="L15" s="126"/>
      <c r="M15" s="126"/>
      <c r="N15" s="126"/>
      <c r="O15" s="1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99" customFormat="1" ht="16.5" customHeight="1" thickBot="1" thickTop="1">
      <c r="A16" s="96"/>
      <c r="B16" s="97"/>
      <c r="C16" s="96"/>
      <c r="D16" s="96"/>
      <c r="E16" s="96"/>
      <c r="F16" s="516" t="s">
        <v>44</v>
      </c>
      <c r="G16" s="517">
        <v>72.965</v>
      </c>
      <c r="H16" s="518"/>
      <c r="I16" s="100"/>
      <c r="J16" s="100"/>
      <c r="K16" s="100"/>
      <c r="L16" s="100"/>
      <c r="M16" s="100"/>
      <c r="N16" s="100"/>
      <c r="O16" s="100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8"/>
    </row>
    <row r="17" spans="1:28" s="99" customFormat="1" ht="16.5" customHeight="1" thickBot="1" thickTop="1">
      <c r="A17" s="96"/>
      <c r="B17" s="97"/>
      <c r="C17" s="96"/>
      <c r="D17" s="96"/>
      <c r="E17" s="96"/>
      <c r="F17" s="516" t="s">
        <v>45</v>
      </c>
      <c r="G17" s="517">
        <v>69.722</v>
      </c>
      <c r="H17" s="519"/>
      <c r="I17" s="96"/>
      <c r="K17" s="101" t="s">
        <v>46</v>
      </c>
      <c r="L17" s="102">
        <f>30*'TOT-0611'!B13</f>
        <v>30</v>
      </c>
      <c r="M17" s="244" t="str">
        <f>IF(L17=30," ",IF(L17=60,"Coeficiente duplicado por tasa de falla &gt;4 Sal. x año/100 km.","REVISAR COEFICIENTE"))</f>
        <v> 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8"/>
    </row>
    <row r="18" spans="1:28" s="742" customFormat="1" ht="14.25" thickBot="1" thickTop="1">
      <c r="A18" s="738"/>
      <c r="B18" s="739"/>
      <c r="C18" s="740">
        <v>3</v>
      </c>
      <c r="D18" s="740">
        <v>4</v>
      </c>
      <c r="E18" s="740">
        <v>5</v>
      </c>
      <c r="F18" s="740">
        <v>6</v>
      </c>
      <c r="G18" s="740">
        <v>7</v>
      </c>
      <c r="H18" s="740">
        <v>8</v>
      </c>
      <c r="I18" s="740">
        <v>9</v>
      </c>
      <c r="J18" s="740">
        <v>10</v>
      </c>
      <c r="K18" s="740">
        <v>11</v>
      </c>
      <c r="L18" s="740">
        <v>12</v>
      </c>
      <c r="M18" s="740">
        <v>13</v>
      </c>
      <c r="N18" s="740">
        <v>14</v>
      </c>
      <c r="O18" s="740">
        <v>15</v>
      </c>
      <c r="P18" s="740">
        <v>16</v>
      </c>
      <c r="Q18" s="740">
        <v>17</v>
      </c>
      <c r="R18" s="740">
        <v>18</v>
      </c>
      <c r="S18" s="740">
        <v>19</v>
      </c>
      <c r="T18" s="740">
        <v>20</v>
      </c>
      <c r="U18" s="740">
        <v>21</v>
      </c>
      <c r="V18" s="740">
        <v>22</v>
      </c>
      <c r="W18" s="740">
        <v>23</v>
      </c>
      <c r="X18" s="740">
        <v>24</v>
      </c>
      <c r="Y18" s="740">
        <v>25</v>
      </c>
      <c r="Z18" s="740">
        <v>26</v>
      </c>
      <c r="AA18" s="740">
        <v>27</v>
      </c>
      <c r="AB18" s="741"/>
    </row>
    <row r="19" spans="1:28" s="112" customFormat="1" ht="33.75" customHeight="1" thickBot="1" thickTop="1">
      <c r="A19" s="103"/>
      <c r="B19" s="104"/>
      <c r="C19" s="105" t="s">
        <v>47</v>
      </c>
      <c r="D19" s="105" t="s">
        <v>138</v>
      </c>
      <c r="E19" s="105" t="s">
        <v>137</v>
      </c>
      <c r="F19" s="106" t="s">
        <v>23</v>
      </c>
      <c r="G19" s="107" t="s">
        <v>48</v>
      </c>
      <c r="H19" s="108" t="s">
        <v>49</v>
      </c>
      <c r="I19" s="276" t="s">
        <v>50</v>
      </c>
      <c r="J19" s="106" t="s">
        <v>51</v>
      </c>
      <c r="K19" s="106" t="s">
        <v>52</v>
      </c>
      <c r="L19" s="107" t="s">
        <v>53</v>
      </c>
      <c r="M19" s="107" t="s">
        <v>54</v>
      </c>
      <c r="N19" s="109" t="s">
        <v>55</v>
      </c>
      <c r="O19" s="107" t="s">
        <v>56</v>
      </c>
      <c r="P19" s="302" t="s">
        <v>57</v>
      </c>
      <c r="Q19" s="305" t="s">
        <v>58</v>
      </c>
      <c r="R19" s="308" t="s">
        <v>59</v>
      </c>
      <c r="S19" s="309"/>
      <c r="T19" s="310"/>
      <c r="U19" s="317" t="s">
        <v>60</v>
      </c>
      <c r="V19" s="318"/>
      <c r="W19" s="319"/>
      <c r="X19" s="327" t="s">
        <v>61</v>
      </c>
      <c r="Y19" s="330" t="s">
        <v>62</v>
      </c>
      <c r="Z19" s="110" t="s">
        <v>63</v>
      </c>
      <c r="AA19" s="110" t="s">
        <v>64</v>
      </c>
      <c r="AB19" s="111"/>
    </row>
    <row r="20" spans="1:28" ht="16.5" customHeight="1" thickTop="1">
      <c r="A20" s="1"/>
      <c r="B20" s="2"/>
      <c r="C20" s="45"/>
      <c r="D20" s="714"/>
      <c r="E20" s="714"/>
      <c r="F20" s="420"/>
      <c r="G20" s="47"/>
      <c r="H20" s="47"/>
      <c r="I20" s="409"/>
      <c r="J20" s="47"/>
      <c r="K20" s="48"/>
      <c r="L20" s="48"/>
      <c r="M20" s="48"/>
      <c r="N20" s="46"/>
      <c r="O20" s="47"/>
      <c r="P20" s="303"/>
      <c r="Q20" s="306"/>
      <c r="R20" s="311"/>
      <c r="S20" s="312"/>
      <c r="T20" s="313"/>
      <c r="U20" s="320"/>
      <c r="V20" s="321"/>
      <c r="W20" s="322"/>
      <c r="X20" s="328"/>
      <c r="Y20" s="331"/>
      <c r="Z20" s="316"/>
      <c r="AA20" s="421"/>
      <c r="AB20" s="3"/>
    </row>
    <row r="21" spans="1:28" ht="16.5" customHeight="1">
      <c r="A21" s="1"/>
      <c r="B21" s="2"/>
      <c r="C21" s="542"/>
      <c r="D21" s="712"/>
      <c r="E21" s="712"/>
      <c r="F21" s="542"/>
      <c r="G21" s="543"/>
      <c r="H21" s="543"/>
      <c r="I21" s="410"/>
      <c r="J21" s="542"/>
      <c r="K21" s="544"/>
      <c r="L21" s="95"/>
      <c r="M21" s="95"/>
      <c r="N21" s="545"/>
      <c r="O21" s="542"/>
      <c r="P21" s="546"/>
      <c r="Q21" s="547"/>
      <c r="R21" s="548"/>
      <c r="S21" s="549"/>
      <c r="T21" s="550"/>
      <c r="U21" s="551"/>
      <c r="V21" s="552"/>
      <c r="W21" s="553"/>
      <c r="X21" s="554"/>
      <c r="Y21" s="555"/>
      <c r="Z21" s="556"/>
      <c r="AA21" s="95"/>
      <c r="AB21" s="3"/>
    </row>
    <row r="22" spans="1:28" ht="16.5" customHeight="1">
      <c r="A22" s="1"/>
      <c r="B22" s="2"/>
      <c r="C22" s="520">
        <v>1</v>
      </c>
      <c r="D22" s="520">
        <v>235189</v>
      </c>
      <c r="E22" s="520">
        <v>1631</v>
      </c>
      <c r="F22" s="521" t="s">
        <v>144</v>
      </c>
      <c r="G22" s="522">
        <v>132</v>
      </c>
      <c r="H22" s="523">
        <v>121.5</v>
      </c>
      <c r="I22" s="411">
        <f aca="true" t="shared" si="0" ref="I22:I41">IF(H22&gt;25,H22,25)*IF(G22=330,$G$16,$G$17)/100</f>
        <v>84.71223</v>
      </c>
      <c r="J22" s="528">
        <v>40697.35555555556</v>
      </c>
      <c r="K22" s="528">
        <v>40697.64375</v>
      </c>
      <c r="L22" s="13">
        <f aca="true" t="shared" si="1" ref="L22:L41">IF(F22="","",(K22-J22)*24)</f>
        <v>6.916666666686069</v>
      </c>
      <c r="M22" s="14">
        <f aca="true" t="shared" si="2" ref="M22:M41">IF(F22="","",ROUND((K22-J22)*24*60,0))</f>
        <v>415</v>
      </c>
      <c r="N22" s="529" t="s">
        <v>145</v>
      </c>
      <c r="O22" s="733" t="s">
        <v>147</v>
      </c>
      <c r="P22" s="719">
        <f aca="true" t="shared" si="3" ref="P22:P41">IF(N22="P",ROUND(M22/60,2)*I22*$L$17*0.01,"--")</f>
        <v>175.86258948</v>
      </c>
      <c r="Q22" s="720" t="str">
        <f aca="true" t="shared" si="4" ref="Q22:Q41">IF(N22="RP",ROUND(M22/60,2)*I22*$L$17*0.01*O22/100,"--")</f>
        <v>--</v>
      </c>
      <c r="R22" s="721" t="str">
        <f aca="true" t="shared" si="5" ref="R22:R41">IF(N22="F",I22*$L$17,"--")</f>
        <v>--</v>
      </c>
      <c r="S22" s="722" t="str">
        <f aca="true" t="shared" si="6" ref="S22:S41">IF(AND(M22&gt;10,N22="F"),I22*$L$17*IF(M22&gt;180,3,ROUND(M22/60,2)),"--")</f>
        <v>--</v>
      </c>
      <c r="T22" s="723" t="str">
        <f aca="true" t="shared" si="7" ref="T22:T41">IF(AND(M22&gt;180,N22="F"),(ROUND(M22/60,2)-3)*I22*$L$17*0.1,"--")</f>
        <v>--</v>
      </c>
      <c r="U22" s="724" t="str">
        <f aca="true" t="shared" si="8" ref="U22:U41">IF(N22="R",I22*$L$17*O22/100,"--")</f>
        <v>--</v>
      </c>
      <c r="V22" s="725" t="str">
        <f aca="true" t="shared" si="9" ref="V22:V41">IF(AND(M22&gt;10,N22="R"),I22*$L$17*O22/100*IF(M22&gt;180,3,ROUND(M22/60,2)),"--")</f>
        <v>--</v>
      </c>
      <c r="W22" s="726" t="str">
        <f aca="true" t="shared" si="10" ref="W22:W41">IF(AND(M22&gt;180,N22="R"),(ROUND(M22/60,2)-3)*O22/100*I22*$L$17*0.1,"--")</f>
        <v>--</v>
      </c>
      <c r="X22" s="727" t="str">
        <f aca="true" t="shared" si="11" ref="X22:X41">IF(N22="RF",ROUND(M22/60,2)*I22*$L$17*0.1,"--")</f>
        <v>--</v>
      </c>
      <c r="Y22" s="728" t="str">
        <f aca="true" t="shared" si="12" ref="Y22:Y41">IF(N22="RR",ROUND(M22/60,2)*O22/100*I22*$L$17*0.1,"--")</f>
        <v>--</v>
      </c>
      <c r="Z22" s="729" t="s">
        <v>146</v>
      </c>
      <c r="AA22" s="49">
        <f aca="true" t="shared" si="13" ref="AA22:AA41">IF(F22="","",SUM(P22:Y22)*IF(Z22="SI",1,2))</f>
        <v>175.86258948</v>
      </c>
      <c r="AB22" s="3"/>
    </row>
    <row r="23" spans="1:28" ht="16.5" customHeight="1">
      <c r="A23" s="1"/>
      <c r="B23" s="2"/>
      <c r="C23" s="520">
        <v>2</v>
      </c>
      <c r="D23" s="520">
        <v>236019</v>
      </c>
      <c r="E23" s="520">
        <v>1638</v>
      </c>
      <c r="F23" s="521" t="s">
        <v>148</v>
      </c>
      <c r="G23" s="522">
        <v>330</v>
      </c>
      <c r="H23" s="523">
        <v>550</v>
      </c>
      <c r="I23" s="411">
        <f t="shared" si="0"/>
        <v>401.3075</v>
      </c>
      <c r="J23" s="528">
        <v>40716.19930555556</v>
      </c>
      <c r="K23" s="528">
        <v>40716.22777777778</v>
      </c>
      <c r="L23" s="13">
        <f t="shared" si="1"/>
        <v>0.6833333332906477</v>
      </c>
      <c r="M23" s="14">
        <f t="shared" si="2"/>
        <v>41</v>
      </c>
      <c r="N23" s="529" t="s">
        <v>149</v>
      </c>
      <c r="O23" s="733" t="s">
        <v>147</v>
      </c>
      <c r="P23" s="719" t="str">
        <f t="shared" si="3"/>
        <v>--</v>
      </c>
      <c r="Q23" s="720" t="str">
        <f t="shared" si="4"/>
        <v>--</v>
      </c>
      <c r="R23" s="721">
        <f t="shared" si="5"/>
        <v>12039.225</v>
      </c>
      <c r="S23" s="722">
        <f t="shared" si="6"/>
        <v>8186.673000000001</v>
      </c>
      <c r="T23" s="723" t="str">
        <f t="shared" si="7"/>
        <v>--</v>
      </c>
      <c r="U23" s="724" t="str">
        <f t="shared" si="8"/>
        <v>--</v>
      </c>
      <c r="V23" s="725" t="str">
        <f t="shared" si="9"/>
        <v>--</v>
      </c>
      <c r="W23" s="726" t="str">
        <f t="shared" si="10"/>
        <v>--</v>
      </c>
      <c r="X23" s="727" t="str">
        <f t="shared" si="11"/>
        <v>--</v>
      </c>
      <c r="Y23" s="728" t="str">
        <f t="shared" si="12"/>
        <v>--</v>
      </c>
      <c r="Z23" s="729" t="s">
        <v>146</v>
      </c>
      <c r="AA23" s="49">
        <f t="shared" si="13"/>
        <v>20225.898</v>
      </c>
      <c r="AB23" s="3"/>
    </row>
    <row r="24" spans="1:28" ht="16.5" customHeight="1">
      <c r="A24" s="1"/>
      <c r="B24" s="2"/>
      <c r="C24" s="520"/>
      <c r="D24" s="520"/>
      <c r="E24" s="520"/>
      <c r="F24" s="521"/>
      <c r="G24" s="522"/>
      <c r="H24" s="523"/>
      <c r="I24" s="411">
        <f t="shared" si="0"/>
        <v>17.4305</v>
      </c>
      <c r="J24" s="528"/>
      <c r="K24" s="528"/>
      <c r="L24" s="13">
        <f t="shared" si="1"/>
      </c>
      <c r="M24" s="14">
        <f t="shared" si="2"/>
      </c>
      <c r="N24" s="529"/>
      <c r="O24" s="718">
        <f aca="true" t="shared" si="14" ref="O24:O41">IF(F24="","","--")</f>
      </c>
      <c r="P24" s="719" t="str">
        <f t="shared" si="3"/>
        <v>--</v>
      </c>
      <c r="Q24" s="720" t="str">
        <f t="shared" si="4"/>
        <v>--</v>
      </c>
      <c r="R24" s="721" t="str">
        <f t="shared" si="5"/>
        <v>--</v>
      </c>
      <c r="S24" s="722" t="str">
        <f t="shared" si="6"/>
        <v>--</v>
      </c>
      <c r="T24" s="723" t="str">
        <f t="shared" si="7"/>
        <v>--</v>
      </c>
      <c r="U24" s="724" t="str">
        <f t="shared" si="8"/>
        <v>--</v>
      </c>
      <c r="V24" s="725" t="str">
        <f t="shared" si="9"/>
        <v>--</v>
      </c>
      <c r="W24" s="726" t="str">
        <f t="shared" si="10"/>
        <v>--</v>
      </c>
      <c r="X24" s="727" t="str">
        <f t="shared" si="11"/>
        <v>--</v>
      </c>
      <c r="Y24" s="728" t="str">
        <f t="shared" si="12"/>
        <v>--</v>
      </c>
      <c r="Z24" s="729">
        <f aca="true" t="shared" si="15" ref="Z24:Z41">IF(F24="","","SI")</f>
      </c>
      <c r="AA24" s="49">
        <f t="shared" si="13"/>
      </c>
      <c r="AB24" s="3"/>
    </row>
    <row r="25" spans="1:28" ht="16.5" customHeight="1">
      <c r="A25" s="1"/>
      <c r="B25" s="2"/>
      <c r="C25" s="520"/>
      <c r="D25" s="520"/>
      <c r="E25" s="520"/>
      <c r="F25" s="521"/>
      <c r="G25" s="522"/>
      <c r="H25" s="523"/>
      <c r="I25" s="411">
        <f t="shared" si="0"/>
        <v>17.4305</v>
      </c>
      <c r="J25" s="528"/>
      <c r="K25" s="528"/>
      <c r="L25" s="13">
        <f t="shared" si="1"/>
      </c>
      <c r="M25" s="14">
        <f t="shared" si="2"/>
      </c>
      <c r="N25" s="529"/>
      <c r="O25" s="718">
        <f t="shared" si="14"/>
      </c>
      <c r="P25" s="719" t="str">
        <f t="shared" si="3"/>
        <v>--</v>
      </c>
      <c r="Q25" s="720" t="str">
        <f t="shared" si="4"/>
        <v>--</v>
      </c>
      <c r="R25" s="721" t="str">
        <f t="shared" si="5"/>
        <v>--</v>
      </c>
      <c r="S25" s="722" t="str">
        <f t="shared" si="6"/>
        <v>--</v>
      </c>
      <c r="T25" s="723" t="str">
        <f t="shared" si="7"/>
        <v>--</v>
      </c>
      <c r="U25" s="724" t="str">
        <f t="shared" si="8"/>
        <v>--</v>
      </c>
      <c r="V25" s="725" t="str">
        <f t="shared" si="9"/>
        <v>--</v>
      </c>
      <c r="W25" s="726" t="str">
        <f t="shared" si="10"/>
        <v>--</v>
      </c>
      <c r="X25" s="727" t="str">
        <f t="shared" si="11"/>
        <v>--</v>
      </c>
      <c r="Y25" s="728" t="str">
        <f t="shared" si="12"/>
        <v>--</v>
      </c>
      <c r="Z25" s="729">
        <f t="shared" si="15"/>
      </c>
      <c r="AA25" s="49">
        <f t="shared" si="13"/>
      </c>
      <c r="AB25" s="3"/>
    </row>
    <row r="26" spans="1:28" ht="16.5" customHeight="1">
      <c r="A26" s="1"/>
      <c r="B26" s="2"/>
      <c r="C26" s="520"/>
      <c r="D26" s="520"/>
      <c r="E26" s="520"/>
      <c r="F26" s="521"/>
      <c r="G26" s="522"/>
      <c r="H26" s="523"/>
      <c r="I26" s="411">
        <f t="shared" si="0"/>
        <v>17.4305</v>
      </c>
      <c r="J26" s="528"/>
      <c r="K26" s="528"/>
      <c r="L26" s="13">
        <f t="shared" si="1"/>
      </c>
      <c r="M26" s="14">
        <f t="shared" si="2"/>
      </c>
      <c r="N26" s="529"/>
      <c r="O26" s="718">
        <f t="shared" si="14"/>
      </c>
      <c r="P26" s="719" t="str">
        <f t="shared" si="3"/>
        <v>--</v>
      </c>
      <c r="Q26" s="720" t="str">
        <f t="shared" si="4"/>
        <v>--</v>
      </c>
      <c r="R26" s="721" t="str">
        <f t="shared" si="5"/>
        <v>--</v>
      </c>
      <c r="S26" s="722" t="str">
        <f t="shared" si="6"/>
        <v>--</v>
      </c>
      <c r="T26" s="723" t="str">
        <f t="shared" si="7"/>
        <v>--</v>
      </c>
      <c r="U26" s="724" t="str">
        <f t="shared" si="8"/>
        <v>--</v>
      </c>
      <c r="V26" s="725" t="str">
        <f t="shared" si="9"/>
        <v>--</v>
      </c>
      <c r="W26" s="726" t="str">
        <f t="shared" si="10"/>
        <v>--</v>
      </c>
      <c r="X26" s="727" t="str">
        <f t="shared" si="11"/>
        <v>--</v>
      </c>
      <c r="Y26" s="728" t="str">
        <f t="shared" si="12"/>
        <v>--</v>
      </c>
      <c r="Z26" s="729">
        <f t="shared" si="15"/>
      </c>
      <c r="AA26" s="49">
        <f t="shared" si="13"/>
      </c>
      <c r="AB26" s="3"/>
    </row>
    <row r="27" spans="1:28" ht="16.5" customHeight="1">
      <c r="A27" s="1"/>
      <c r="B27" s="2"/>
      <c r="C27" s="520"/>
      <c r="D27" s="520"/>
      <c r="E27" s="520"/>
      <c r="F27" s="521"/>
      <c r="G27" s="522"/>
      <c r="H27" s="523"/>
      <c r="I27" s="411">
        <f t="shared" si="0"/>
        <v>17.4305</v>
      </c>
      <c r="J27" s="528"/>
      <c r="K27" s="528"/>
      <c r="L27" s="13">
        <f t="shared" si="1"/>
      </c>
      <c r="M27" s="14">
        <f t="shared" si="2"/>
      </c>
      <c r="N27" s="529"/>
      <c r="O27" s="718">
        <f t="shared" si="14"/>
      </c>
      <c r="P27" s="719" t="str">
        <f t="shared" si="3"/>
        <v>--</v>
      </c>
      <c r="Q27" s="720" t="str">
        <f t="shared" si="4"/>
        <v>--</v>
      </c>
      <c r="R27" s="721" t="str">
        <f t="shared" si="5"/>
        <v>--</v>
      </c>
      <c r="S27" s="722" t="str">
        <f t="shared" si="6"/>
        <v>--</v>
      </c>
      <c r="T27" s="723" t="str">
        <f t="shared" si="7"/>
        <v>--</v>
      </c>
      <c r="U27" s="724" t="str">
        <f t="shared" si="8"/>
        <v>--</v>
      </c>
      <c r="V27" s="725" t="str">
        <f t="shared" si="9"/>
        <v>--</v>
      </c>
      <c r="W27" s="726" t="str">
        <f t="shared" si="10"/>
        <v>--</v>
      </c>
      <c r="X27" s="727" t="str">
        <f t="shared" si="11"/>
        <v>--</v>
      </c>
      <c r="Y27" s="728" t="str">
        <f t="shared" si="12"/>
        <v>--</v>
      </c>
      <c r="Z27" s="729">
        <f t="shared" si="15"/>
      </c>
      <c r="AA27" s="49">
        <f t="shared" si="13"/>
      </c>
      <c r="AB27" s="3"/>
    </row>
    <row r="28" spans="1:28" ht="16.5" customHeight="1">
      <c r="A28" s="1"/>
      <c r="B28" s="2"/>
      <c r="C28" s="520"/>
      <c r="D28" s="520"/>
      <c r="E28" s="520"/>
      <c r="F28" s="521"/>
      <c r="G28" s="522"/>
      <c r="H28" s="523"/>
      <c r="I28" s="411">
        <f t="shared" si="0"/>
        <v>17.4305</v>
      </c>
      <c r="J28" s="528"/>
      <c r="K28" s="528"/>
      <c r="L28" s="13">
        <f t="shared" si="1"/>
      </c>
      <c r="M28" s="14">
        <f t="shared" si="2"/>
      </c>
      <c r="N28" s="529"/>
      <c r="O28" s="718">
        <f t="shared" si="14"/>
      </c>
      <c r="P28" s="719" t="str">
        <f t="shared" si="3"/>
        <v>--</v>
      </c>
      <c r="Q28" s="720" t="str">
        <f t="shared" si="4"/>
        <v>--</v>
      </c>
      <c r="R28" s="721" t="str">
        <f t="shared" si="5"/>
        <v>--</v>
      </c>
      <c r="S28" s="722" t="str">
        <f t="shared" si="6"/>
        <v>--</v>
      </c>
      <c r="T28" s="723" t="str">
        <f t="shared" si="7"/>
        <v>--</v>
      </c>
      <c r="U28" s="724" t="str">
        <f t="shared" si="8"/>
        <v>--</v>
      </c>
      <c r="V28" s="725" t="str">
        <f t="shared" si="9"/>
        <v>--</v>
      </c>
      <c r="W28" s="726" t="str">
        <f t="shared" si="10"/>
        <v>--</v>
      </c>
      <c r="X28" s="727" t="str">
        <f t="shared" si="11"/>
        <v>--</v>
      </c>
      <c r="Y28" s="728" t="str">
        <f t="shared" si="12"/>
        <v>--</v>
      </c>
      <c r="Z28" s="729">
        <f t="shared" si="15"/>
      </c>
      <c r="AA28" s="49">
        <f t="shared" si="13"/>
      </c>
      <c r="AB28" s="3"/>
    </row>
    <row r="29" spans="1:28" ht="16.5" customHeight="1">
      <c r="A29" s="1"/>
      <c r="B29" s="2"/>
      <c r="C29" s="520"/>
      <c r="D29" s="520"/>
      <c r="E29" s="520"/>
      <c r="F29" s="521"/>
      <c r="G29" s="522"/>
      <c r="H29" s="523"/>
      <c r="I29" s="411">
        <f t="shared" si="0"/>
        <v>17.4305</v>
      </c>
      <c r="J29" s="528"/>
      <c r="K29" s="528"/>
      <c r="L29" s="13">
        <f t="shared" si="1"/>
      </c>
      <c r="M29" s="14">
        <f t="shared" si="2"/>
      </c>
      <c r="N29" s="529"/>
      <c r="O29" s="718">
        <f t="shared" si="14"/>
      </c>
      <c r="P29" s="719" t="str">
        <f t="shared" si="3"/>
        <v>--</v>
      </c>
      <c r="Q29" s="720" t="str">
        <f t="shared" si="4"/>
        <v>--</v>
      </c>
      <c r="R29" s="721" t="str">
        <f t="shared" si="5"/>
        <v>--</v>
      </c>
      <c r="S29" s="722" t="str">
        <f t="shared" si="6"/>
        <v>--</v>
      </c>
      <c r="T29" s="723" t="str">
        <f t="shared" si="7"/>
        <v>--</v>
      </c>
      <c r="U29" s="724" t="str">
        <f t="shared" si="8"/>
        <v>--</v>
      </c>
      <c r="V29" s="725" t="str">
        <f t="shared" si="9"/>
        <v>--</v>
      </c>
      <c r="W29" s="726" t="str">
        <f t="shared" si="10"/>
        <v>--</v>
      </c>
      <c r="X29" s="727" t="str">
        <f t="shared" si="11"/>
        <v>--</v>
      </c>
      <c r="Y29" s="728" t="str">
        <f t="shared" si="12"/>
        <v>--</v>
      </c>
      <c r="Z29" s="729">
        <f t="shared" si="15"/>
      </c>
      <c r="AA29" s="49">
        <f t="shared" si="13"/>
      </c>
      <c r="AB29" s="3"/>
    </row>
    <row r="30" spans="1:28" ht="16.5" customHeight="1">
      <c r="A30" s="1"/>
      <c r="B30" s="2"/>
      <c r="C30" s="520"/>
      <c r="D30" s="520"/>
      <c r="E30" s="520"/>
      <c r="F30" s="521"/>
      <c r="G30" s="522"/>
      <c r="H30" s="523"/>
      <c r="I30" s="411">
        <f t="shared" si="0"/>
        <v>17.4305</v>
      </c>
      <c r="J30" s="528"/>
      <c r="K30" s="528"/>
      <c r="L30" s="13">
        <f t="shared" si="1"/>
      </c>
      <c r="M30" s="14">
        <f t="shared" si="2"/>
      </c>
      <c r="N30" s="529"/>
      <c r="O30" s="718">
        <f t="shared" si="14"/>
      </c>
      <c r="P30" s="719" t="str">
        <f t="shared" si="3"/>
        <v>--</v>
      </c>
      <c r="Q30" s="720" t="str">
        <f t="shared" si="4"/>
        <v>--</v>
      </c>
      <c r="R30" s="721" t="str">
        <f t="shared" si="5"/>
        <v>--</v>
      </c>
      <c r="S30" s="722" t="str">
        <f t="shared" si="6"/>
        <v>--</v>
      </c>
      <c r="T30" s="723" t="str">
        <f t="shared" si="7"/>
        <v>--</v>
      </c>
      <c r="U30" s="724" t="str">
        <f t="shared" si="8"/>
        <v>--</v>
      </c>
      <c r="V30" s="725" t="str">
        <f t="shared" si="9"/>
        <v>--</v>
      </c>
      <c r="W30" s="726" t="str">
        <f t="shared" si="10"/>
        <v>--</v>
      </c>
      <c r="X30" s="727" t="str">
        <f t="shared" si="11"/>
        <v>--</v>
      </c>
      <c r="Y30" s="728" t="str">
        <f t="shared" si="12"/>
        <v>--</v>
      </c>
      <c r="Z30" s="729">
        <f t="shared" si="15"/>
      </c>
      <c r="AA30" s="49">
        <f t="shared" si="13"/>
      </c>
      <c r="AB30" s="3"/>
    </row>
    <row r="31" spans="1:28" ht="16.5" customHeight="1">
      <c r="A31" s="1"/>
      <c r="B31" s="2"/>
      <c r="C31" s="520"/>
      <c r="D31" s="520"/>
      <c r="E31" s="520"/>
      <c r="F31" s="521"/>
      <c r="G31" s="522"/>
      <c r="H31" s="523"/>
      <c r="I31" s="411">
        <f t="shared" si="0"/>
        <v>17.4305</v>
      </c>
      <c r="J31" s="528"/>
      <c r="K31" s="528"/>
      <c r="L31" s="13">
        <f t="shared" si="1"/>
      </c>
      <c r="M31" s="14">
        <f t="shared" si="2"/>
      </c>
      <c r="N31" s="529"/>
      <c r="O31" s="718">
        <f t="shared" si="14"/>
      </c>
      <c r="P31" s="719" t="str">
        <f t="shared" si="3"/>
        <v>--</v>
      </c>
      <c r="Q31" s="720" t="str">
        <f t="shared" si="4"/>
        <v>--</v>
      </c>
      <c r="R31" s="721" t="str">
        <f t="shared" si="5"/>
        <v>--</v>
      </c>
      <c r="S31" s="722" t="str">
        <f t="shared" si="6"/>
        <v>--</v>
      </c>
      <c r="T31" s="723" t="str">
        <f t="shared" si="7"/>
        <v>--</v>
      </c>
      <c r="U31" s="724" t="str">
        <f t="shared" si="8"/>
        <v>--</v>
      </c>
      <c r="V31" s="725" t="str">
        <f t="shared" si="9"/>
        <v>--</v>
      </c>
      <c r="W31" s="726" t="str">
        <f t="shared" si="10"/>
        <v>--</v>
      </c>
      <c r="X31" s="727" t="str">
        <f t="shared" si="11"/>
        <v>--</v>
      </c>
      <c r="Y31" s="728" t="str">
        <f t="shared" si="12"/>
        <v>--</v>
      </c>
      <c r="Z31" s="729">
        <f t="shared" si="15"/>
      </c>
      <c r="AA31" s="49">
        <f t="shared" si="13"/>
      </c>
      <c r="AB31" s="3"/>
    </row>
    <row r="32" spans="1:28" ht="16.5" customHeight="1">
      <c r="A32" s="1"/>
      <c r="B32" s="2"/>
      <c r="C32" s="520"/>
      <c r="D32" s="520"/>
      <c r="E32" s="520"/>
      <c r="F32" s="521"/>
      <c r="G32" s="522"/>
      <c r="H32" s="523"/>
      <c r="I32" s="411">
        <f t="shared" si="0"/>
        <v>17.4305</v>
      </c>
      <c r="J32" s="528"/>
      <c r="K32" s="528"/>
      <c r="L32" s="13">
        <f t="shared" si="1"/>
      </c>
      <c r="M32" s="14">
        <f t="shared" si="2"/>
      </c>
      <c r="N32" s="529"/>
      <c r="O32" s="718">
        <f t="shared" si="14"/>
      </c>
      <c r="P32" s="719" t="str">
        <f t="shared" si="3"/>
        <v>--</v>
      </c>
      <c r="Q32" s="720" t="str">
        <f t="shared" si="4"/>
        <v>--</v>
      </c>
      <c r="R32" s="721" t="str">
        <f t="shared" si="5"/>
        <v>--</v>
      </c>
      <c r="S32" s="722" t="str">
        <f t="shared" si="6"/>
        <v>--</v>
      </c>
      <c r="T32" s="723" t="str">
        <f t="shared" si="7"/>
        <v>--</v>
      </c>
      <c r="U32" s="724" t="str">
        <f t="shared" si="8"/>
        <v>--</v>
      </c>
      <c r="V32" s="725" t="str">
        <f t="shared" si="9"/>
        <v>--</v>
      </c>
      <c r="W32" s="726" t="str">
        <f t="shared" si="10"/>
        <v>--</v>
      </c>
      <c r="X32" s="727" t="str">
        <f t="shared" si="11"/>
        <v>--</v>
      </c>
      <c r="Y32" s="728" t="str">
        <f t="shared" si="12"/>
        <v>--</v>
      </c>
      <c r="Z32" s="729">
        <f t="shared" si="15"/>
      </c>
      <c r="AA32" s="49">
        <f t="shared" si="13"/>
      </c>
      <c r="AB32" s="3"/>
    </row>
    <row r="33" spans="1:28" ht="16.5" customHeight="1">
      <c r="A33" s="1"/>
      <c r="B33" s="2"/>
      <c r="C33" s="520"/>
      <c r="D33" s="520"/>
      <c r="E33" s="520"/>
      <c r="F33" s="521"/>
      <c r="G33" s="522"/>
      <c r="H33" s="523"/>
      <c r="I33" s="411">
        <f t="shared" si="0"/>
        <v>17.4305</v>
      </c>
      <c r="J33" s="528"/>
      <c r="K33" s="528"/>
      <c r="L33" s="13">
        <f t="shared" si="1"/>
      </c>
      <c r="M33" s="14">
        <f t="shared" si="2"/>
      </c>
      <c r="N33" s="529"/>
      <c r="O33" s="718">
        <f t="shared" si="14"/>
      </c>
      <c r="P33" s="719" t="str">
        <f t="shared" si="3"/>
        <v>--</v>
      </c>
      <c r="Q33" s="720" t="str">
        <f t="shared" si="4"/>
        <v>--</v>
      </c>
      <c r="R33" s="721" t="str">
        <f t="shared" si="5"/>
        <v>--</v>
      </c>
      <c r="S33" s="722" t="str">
        <f t="shared" si="6"/>
        <v>--</v>
      </c>
      <c r="T33" s="723" t="str">
        <f t="shared" si="7"/>
        <v>--</v>
      </c>
      <c r="U33" s="724" t="str">
        <f t="shared" si="8"/>
        <v>--</v>
      </c>
      <c r="V33" s="725" t="str">
        <f t="shared" si="9"/>
        <v>--</v>
      </c>
      <c r="W33" s="726" t="str">
        <f t="shared" si="10"/>
        <v>--</v>
      </c>
      <c r="X33" s="727" t="str">
        <f t="shared" si="11"/>
        <v>--</v>
      </c>
      <c r="Y33" s="728" t="str">
        <f t="shared" si="12"/>
        <v>--</v>
      </c>
      <c r="Z33" s="729">
        <f t="shared" si="15"/>
      </c>
      <c r="AA33" s="49">
        <f t="shared" si="13"/>
      </c>
      <c r="AB33" s="3"/>
    </row>
    <row r="34" spans="1:28" ht="16.5" customHeight="1">
      <c r="A34" s="1"/>
      <c r="B34" s="2"/>
      <c r="C34" s="520"/>
      <c r="D34" s="520"/>
      <c r="E34" s="520"/>
      <c r="F34" s="521"/>
      <c r="G34" s="522"/>
      <c r="H34" s="523"/>
      <c r="I34" s="411">
        <f t="shared" si="0"/>
        <v>17.4305</v>
      </c>
      <c r="J34" s="528"/>
      <c r="K34" s="528"/>
      <c r="L34" s="13">
        <f t="shared" si="1"/>
      </c>
      <c r="M34" s="14">
        <f t="shared" si="2"/>
      </c>
      <c r="N34" s="529"/>
      <c r="O34" s="718">
        <f t="shared" si="14"/>
      </c>
      <c r="P34" s="719" t="str">
        <f t="shared" si="3"/>
        <v>--</v>
      </c>
      <c r="Q34" s="720" t="str">
        <f t="shared" si="4"/>
        <v>--</v>
      </c>
      <c r="R34" s="721" t="str">
        <f t="shared" si="5"/>
        <v>--</v>
      </c>
      <c r="S34" s="722" t="str">
        <f t="shared" si="6"/>
        <v>--</v>
      </c>
      <c r="T34" s="723" t="str">
        <f t="shared" si="7"/>
        <v>--</v>
      </c>
      <c r="U34" s="724" t="str">
        <f t="shared" si="8"/>
        <v>--</v>
      </c>
      <c r="V34" s="725" t="str">
        <f t="shared" si="9"/>
        <v>--</v>
      </c>
      <c r="W34" s="726" t="str">
        <f t="shared" si="10"/>
        <v>--</v>
      </c>
      <c r="X34" s="727" t="str">
        <f t="shared" si="11"/>
        <v>--</v>
      </c>
      <c r="Y34" s="728" t="str">
        <f t="shared" si="12"/>
        <v>--</v>
      </c>
      <c r="Z34" s="729">
        <f t="shared" si="15"/>
      </c>
      <c r="AA34" s="49">
        <f t="shared" si="13"/>
      </c>
      <c r="AB34" s="3"/>
    </row>
    <row r="35" spans="1:28" ht="16.5" customHeight="1">
      <c r="A35" s="1"/>
      <c r="B35" s="2"/>
      <c r="C35" s="520"/>
      <c r="D35" s="520"/>
      <c r="E35" s="520"/>
      <c r="F35" s="521"/>
      <c r="G35" s="522"/>
      <c r="H35" s="523"/>
      <c r="I35" s="411">
        <f t="shared" si="0"/>
        <v>17.4305</v>
      </c>
      <c r="J35" s="528"/>
      <c r="K35" s="528"/>
      <c r="L35" s="13">
        <f t="shared" si="1"/>
      </c>
      <c r="M35" s="14">
        <f t="shared" si="2"/>
      </c>
      <c r="N35" s="529"/>
      <c r="O35" s="718">
        <f t="shared" si="14"/>
      </c>
      <c r="P35" s="719" t="str">
        <f t="shared" si="3"/>
        <v>--</v>
      </c>
      <c r="Q35" s="720" t="str">
        <f t="shared" si="4"/>
        <v>--</v>
      </c>
      <c r="R35" s="721" t="str">
        <f t="shared" si="5"/>
        <v>--</v>
      </c>
      <c r="S35" s="722" t="str">
        <f t="shared" si="6"/>
        <v>--</v>
      </c>
      <c r="T35" s="723" t="str">
        <f t="shared" si="7"/>
        <v>--</v>
      </c>
      <c r="U35" s="724" t="str">
        <f t="shared" si="8"/>
        <v>--</v>
      </c>
      <c r="V35" s="725" t="str">
        <f t="shared" si="9"/>
        <v>--</v>
      </c>
      <c r="W35" s="726" t="str">
        <f t="shared" si="10"/>
        <v>--</v>
      </c>
      <c r="X35" s="727" t="str">
        <f t="shared" si="11"/>
        <v>--</v>
      </c>
      <c r="Y35" s="728" t="str">
        <f t="shared" si="12"/>
        <v>--</v>
      </c>
      <c r="Z35" s="729">
        <f t="shared" si="15"/>
      </c>
      <c r="AA35" s="49">
        <f t="shared" si="13"/>
      </c>
      <c r="AB35" s="3"/>
    </row>
    <row r="36" spans="1:28" ht="16.5" customHeight="1">
      <c r="A36" s="1"/>
      <c r="B36" s="2"/>
      <c r="C36" s="520"/>
      <c r="D36" s="520"/>
      <c r="E36" s="520"/>
      <c r="F36" s="521"/>
      <c r="G36" s="522"/>
      <c r="H36" s="523"/>
      <c r="I36" s="411">
        <f t="shared" si="0"/>
        <v>17.4305</v>
      </c>
      <c r="J36" s="528"/>
      <c r="K36" s="528"/>
      <c r="L36" s="13">
        <f t="shared" si="1"/>
      </c>
      <c r="M36" s="14">
        <f t="shared" si="2"/>
      </c>
      <c r="N36" s="529"/>
      <c r="O36" s="718">
        <f t="shared" si="14"/>
      </c>
      <c r="P36" s="719" t="str">
        <f t="shared" si="3"/>
        <v>--</v>
      </c>
      <c r="Q36" s="720" t="str">
        <f t="shared" si="4"/>
        <v>--</v>
      </c>
      <c r="R36" s="721" t="str">
        <f t="shared" si="5"/>
        <v>--</v>
      </c>
      <c r="S36" s="722" t="str">
        <f t="shared" si="6"/>
        <v>--</v>
      </c>
      <c r="T36" s="723" t="str">
        <f t="shared" si="7"/>
        <v>--</v>
      </c>
      <c r="U36" s="724" t="str">
        <f t="shared" si="8"/>
        <v>--</v>
      </c>
      <c r="V36" s="725" t="str">
        <f t="shared" si="9"/>
        <v>--</v>
      </c>
      <c r="W36" s="726" t="str">
        <f t="shared" si="10"/>
        <v>--</v>
      </c>
      <c r="X36" s="727" t="str">
        <f t="shared" si="11"/>
        <v>--</v>
      </c>
      <c r="Y36" s="728" t="str">
        <f t="shared" si="12"/>
        <v>--</v>
      </c>
      <c r="Z36" s="729">
        <f t="shared" si="15"/>
      </c>
      <c r="AA36" s="49">
        <f t="shared" si="13"/>
      </c>
      <c r="AB36" s="3"/>
    </row>
    <row r="37" spans="1:28" ht="16.5" customHeight="1">
      <c r="A37" s="1"/>
      <c r="B37" s="2"/>
      <c r="C37" s="520"/>
      <c r="D37" s="520"/>
      <c r="E37" s="520"/>
      <c r="F37" s="521"/>
      <c r="G37" s="522"/>
      <c r="H37" s="523"/>
      <c r="I37" s="411">
        <f t="shared" si="0"/>
        <v>17.4305</v>
      </c>
      <c r="J37" s="528"/>
      <c r="K37" s="528"/>
      <c r="L37" s="13">
        <f t="shared" si="1"/>
      </c>
      <c r="M37" s="14">
        <f t="shared" si="2"/>
      </c>
      <c r="N37" s="529"/>
      <c r="O37" s="718">
        <f t="shared" si="14"/>
      </c>
      <c r="P37" s="719" t="str">
        <f t="shared" si="3"/>
        <v>--</v>
      </c>
      <c r="Q37" s="720" t="str">
        <f t="shared" si="4"/>
        <v>--</v>
      </c>
      <c r="R37" s="721" t="str">
        <f t="shared" si="5"/>
        <v>--</v>
      </c>
      <c r="S37" s="722" t="str">
        <f t="shared" si="6"/>
        <v>--</v>
      </c>
      <c r="T37" s="723" t="str">
        <f t="shared" si="7"/>
        <v>--</v>
      </c>
      <c r="U37" s="724" t="str">
        <f t="shared" si="8"/>
        <v>--</v>
      </c>
      <c r="V37" s="725" t="str">
        <f t="shared" si="9"/>
        <v>--</v>
      </c>
      <c r="W37" s="726" t="str">
        <f t="shared" si="10"/>
        <v>--</v>
      </c>
      <c r="X37" s="727" t="str">
        <f t="shared" si="11"/>
        <v>--</v>
      </c>
      <c r="Y37" s="728" t="str">
        <f t="shared" si="12"/>
        <v>--</v>
      </c>
      <c r="Z37" s="729">
        <f t="shared" si="15"/>
      </c>
      <c r="AA37" s="49">
        <f t="shared" si="13"/>
      </c>
      <c r="AB37" s="3"/>
    </row>
    <row r="38" spans="2:28" ht="16.5" customHeight="1">
      <c r="B38" s="50"/>
      <c r="C38" s="520"/>
      <c r="D38" s="520"/>
      <c r="E38" s="520"/>
      <c r="F38" s="521"/>
      <c r="G38" s="522"/>
      <c r="H38" s="523"/>
      <c r="I38" s="411">
        <f t="shared" si="0"/>
        <v>17.4305</v>
      </c>
      <c r="J38" s="528"/>
      <c r="K38" s="528"/>
      <c r="L38" s="13">
        <f t="shared" si="1"/>
      </c>
      <c r="M38" s="14">
        <f t="shared" si="2"/>
      </c>
      <c r="N38" s="529"/>
      <c r="O38" s="718">
        <f t="shared" si="14"/>
      </c>
      <c r="P38" s="719" t="str">
        <f t="shared" si="3"/>
        <v>--</v>
      </c>
      <c r="Q38" s="720" t="str">
        <f t="shared" si="4"/>
        <v>--</v>
      </c>
      <c r="R38" s="721" t="str">
        <f t="shared" si="5"/>
        <v>--</v>
      </c>
      <c r="S38" s="722" t="str">
        <f t="shared" si="6"/>
        <v>--</v>
      </c>
      <c r="T38" s="723" t="str">
        <f t="shared" si="7"/>
        <v>--</v>
      </c>
      <c r="U38" s="724" t="str">
        <f t="shared" si="8"/>
        <v>--</v>
      </c>
      <c r="V38" s="725" t="str">
        <f t="shared" si="9"/>
        <v>--</v>
      </c>
      <c r="W38" s="726" t="str">
        <f t="shared" si="10"/>
        <v>--</v>
      </c>
      <c r="X38" s="727" t="str">
        <f t="shared" si="11"/>
        <v>--</v>
      </c>
      <c r="Y38" s="728" t="str">
        <f t="shared" si="12"/>
        <v>--</v>
      </c>
      <c r="Z38" s="729">
        <f t="shared" si="15"/>
      </c>
      <c r="AA38" s="49">
        <f t="shared" si="13"/>
      </c>
      <c r="AB38" s="3"/>
    </row>
    <row r="39" spans="2:28" ht="16.5" customHeight="1">
      <c r="B39" s="50"/>
      <c r="C39" s="520"/>
      <c r="D39" s="520"/>
      <c r="E39" s="520"/>
      <c r="F39" s="521"/>
      <c r="G39" s="522"/>
      <c r="H39" s="523"/>
      <c r="I39" s="411">
        <f t="shared" si="0"/>
        <v>17.4305</v>
      </c>
      <c r="J39" s="528"/>
      <c r="K39" s="528"/>
      <c r="L39" s="13">
        <f t="shared" si="1"/>
      </c>
      <c r="M39" s="14">
        <f t="shared" si="2"/>
      </c>
      <c r="N39" s="529"/>
      <c r="O39" s="718">
        <f t="shared" si="14"/>
      </c>
      <c r="P39" s="719" t="str">
        <f t="shared" si="3"/>
        <v>--</v>
      </c>
      <c r="Q39" s="720" t="str">
        <f t="shared" si="4"/>
        <v>--</v>
      </c>
      <c r="R39" s="721" t="str">
        <f t="shared" si="5"/>
        <v>--</v>
      </c>
      <c r="S39" s="722" t="str">
        <f t="shared" si="6"/>
        <v>--</v>
      </c>
      <c r="T39" s="723" t="str">
        <f t="shared" si="7"/>
        <v>--</v>
      </c>
      <c r="U39" s="724" t="str">
        <f t="shared" si="8"/>
        <v>--</v>
      </c>
      <c r="V39" s="725" t="str">
        <f t="shared" si="9"/>
        <v>--</v>
      </c>
      <c r="W39" s="726" t="str">
        <f t="shared" si="10"/>
        <v>--</v>
      </c>
      <c r="X39" s="727" t="str">
        <f t="shared" si="11"/>
        <v>--</v>
      </c>
      <c r="Y39" s="728" t="str">
        <f t="shared" si="12"/>
        <v>--</v>
      </c>
      <c r="Z39" s="729">
        <f t="shared" si="15"/>
      </c>
      <c r="AA39" s="49">
        <f t="shared" si="13"/>
      </c>
      <c r="AB39" s="3"/>
    </row>
    <row r="40" spans="2:28" ht="16.5" customHeight="1">
      <c r="B40" s="50"/>
      <c r="C40" s="520"/>
      <c r="D40" s="520"/>
      <c r="E40" s="520"/>
      <c r="F40" s="521"/>
      <c r="G40" s="522"/>
      <c r="H40" s="523"/>
      <c r="I40" s="411">
        <f t="shared" si="0"/>
        <v>17.4305</v>
      </c>
      <c r="J40" s="528"/>
      <c r="K40" s="528"/>
      <c r="L40" s="13">
        <f t="shared" si="1"/>
      </c>
      <c r="M40" s="14">
        <f t="shared" si="2"/>
      </c>
      <c r="N40" s="529"/>
      <c r="O40" s="718">
        <f t="shared" si="14"/>
      </c>
      <c r="P40" s="719" t="str">
        <f t="shared" si="3"/>
        <v>--</v>
      </c>
      <c r="Q40" s="720" t="str">
        <f t="shared" si="4"/>
        <v>--</v>
      </c>
      <c r="R40" s="721" t="str">
        <f t="shared" si="5"/>
        <v>--</v>
      </c>
      <c r="S40" s="722" t="str">
        <f t="shared" si="6"/>
        <v>--</v>
      </c>
      <c r="T40" s="723" t="str">
        <f t="shared" si="7"/>
        <v>--</v>
      </c>
      <c r="U40" s="724" t="str">
        <f t="shared" si="8"/>
        <v>--</v>
      </c>
      <c r="V40" s="725" t="str">
        <f t="shared" si="9"/>
        <v>--</v>
      </c>
      <c r="W40" s="726" t="str">
        <f t="shared" si="10"/>
        <v>--</v>
      </c>
      <c r="X40" s="727" t="str">
        <f t="shared" si="11"/>
        <v>--</v>
      </c>
      <c r="Y40" s="728" t="str">
        <f t="shared" si="12"/>
        <v>--</v>
      </c>
      <c r="Z40" s="729">
        <f t="shared" si="15"/>
      </c>
      <c r="AA40" s="49">
        <f t="shared" si="13"/>
      </c>
      <c r="AB40" s="3"/>
    </row>
    <row r="41" spans="2:28" ht="16.5" customHeight="1">
      <c r="B41" s="50"/>
      <c r="C41" s="520"/>
      <c r="D41" s="520"/>
      <c r="E41" s="520"/>
      <c r="F41" s="521"/>
      <c r="G41" s="522"/>
      <c r="H41" s="523"/>
      <c r="I41" s="411">
        <f t="shared" si="0"/>
        <v>17.4305</v>
      </c>
      <c r="J41" s="528"/>
      <c r="K41" s="528"/>
      <c r="L41" s="13">
        <f t="shared" si="1"/>
      </c>
      <c r="M41" s="14">
        <f t="shared" si="2"/>
      </c>
      <c r="N41" s="529"/>
      <c r="O41" s="718">
        <f t="shared" si="14"/>
      </c>
      <c r="P41" s="719" t="str">
        <f t="shared" si="3"/>
        <v>--</v>
      </c>
      <c r="Q41" s="720" t="str">
        <f t="shared" si="4"/>
        <v>--</v>
      </c>
      <c r="R41" s="721" t="str">
        <f t="shared" si="5"/>
        <v>--</v>
      </c>
      <c r="S41" s="722" t="str">
        <f t="shared" si="6"/>
        <v>--</v>
      </c>
      <c r="T41" s="723" t="str">
        <f t="shared" si="7"/>
        <v>--</v>
      </c>
      <c r="U41" s="724" t="str">
        <f t="shared" si="8"/>
        <v>--</v>
      </c>
      <c r="V41" s="725" t="str">
        <f t="shared" si="9"/>
        <v>--</v>
      </c>
      <c r="W41" s="726" t="str">
        <f t="shared" si="10"/>
        <v>--</v>
      </c>
      <c r="X41" s="727" t="str">
        <f t="shared" si="11"/>
        <v>--</v>
      </c>
      <c r="Y41" s="728" t="str">
        <f t="shared" si="12"/>
        <v>--</v>
      </c>
      <c r="Z41" s="729">
        <f t="shared" si="15"/>
      </c>
      <c r="AA41" s="49">
        <f t="shared" si="13"/>
      </c>
      <c r="AB41" s="3"/>
    </row>
    <row r="42" spans="1:28" ht="16.5" customHeight="1" thickBot="1">
      <c r="A42" s="1"/>
      <c r="B42" s="2"/>
      <c r="C42" s="524"/>
      <c r="D42" s="524"/>
      <c r="E42" s="524"/>
      <c r="F42" s="525"/>
      <c r="G42" s="526"/>
      <c r="H42" s="527"/>
      <c r="I42" s="412"/>
      <c r="J42" s="527"/>
      <c r="K42" s="527"/>
      <c r="L42" s="15"/>
      <c r="M42" s="15"/>
      <c r="N42" s="527"/>
      <c r="O42" s="530"/>
      <c r="P42" s="531"/>
      <c r="Q42" s="532"/>
      <c r="R42" s="533"/>
      <c r="S42" s="534"/>
      <c r="T42" s="535"/>
      <c r="U42" s="536"/>
      <c r="V42" s="537"/>
      <c r="W42" s="538"/>
      <c r="X42" s="539"/>
      <c r="Y42" s="540"/>
      <c r="Z42" s="541"/>
      <c r="AA42" s="51"/>
      <c r="AB42" s="3"/>
    </row>
    <row r="43" spans="1:28" ht="16.5" customHeight="1" thickBot="1" thickTop="1">
      <c r="A43" s="1"/>
      <c r="B43" s="2"/>
      <c r="C43" s="249" t="s">
        <v>65</v>
      </c>
      <c r="D43" s="829" t="s">
        <v>178</v>
      </c>
      <c r="E43" s="713"/>
      <c r="F43" s="250"/>
      <c r="G43" s="16"/>
      <c r="H43" s="17"/>
      <c r="I43" s="52"/>
      <c r="J43" s="52"/>
      <c r="K43" s="52"/>
      <c r="L43" s="52"/>
      <c r="M43" s="52"/>
      <c r="N43" s="52"/>
      <c r="O43" s="53"/>
      <c r="P43" s="333">
        <f aca="true" t="shared" si="16" ref="P43:Y43">ROUND(SUM(P20:P42),2)</f>
        <v>175.86</v>
      </c>
      <c r="Q43" s="334">
        <f t="shared" si="16"/>
        <v>0</v>
      </c>
      <c r="R43" s="335">
        <f t="shared" si="16"/>
        <v>12039.23</v>
      </c>
      <c r="S43" s="335">
        <f t="shared" si="16"/>
        <v>8186.67</v>
      </c>
      <c r="T43" s="336">
        <f t="shared" si="16"/>
        <v>0</v>
      </c>
      <c r="U43" s="337">
        <f t="shared" si="16"/>
        <v>0</v>
      </c>
      <c r="V43" s="337">
        <f t="shared" si="16"/>
        <v>0</v>
      </c>
      <c r="W43" s="338">
        <f t="shared" si="16"/>
        <v>0</v>
      </c>
      <c r="X43" s="339">
        <f t="shared" si="16"/>
        <v>0</v>
      </c>
      <c r="Y43" s="340">
        <f t="shared" si="16"/>
        <v>0</v>
      </c>
      <c r="Z43" s="54"/>
      <c r="AA43" s="717">
        <f>ROUND(SUM(AA20:AA42),2)</f>
        <v>20401.76</v>
      </c>
      <c r="AB43" s="55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workbookViewId="0" topLeftCell="G1">
      <selection activeCell="AE38" sqref="AE3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2.14062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5.00390625" style="0" customWidth="1"/>
    <col min="16" max="17" width="12.140625" style="0" hidden="1" customWidth="1"/>
    <col min="18" max="18" width="12.8515625" style="0" hidden="1" customWidth="1"/>
    <col min="19" max="19" width="14.00390625" style="0" hidden="1" customWidth="1"/>
    <col min="20" max="20" width="15.421875" style="0" hidden="1" customWidth="1"/>
    <col min="21" max="22" width="6.8515625" style="0" hidden="1" customWidth="1"/>
    <col min="23" max="23" width="6.00390625" style="0" hidden="1" customWidth="1"/>
    <col min="24" max="25" width="11.710937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13" customFormat="1" ht="26.25">
      <c r="AB1" s="422"/>
    </row>
    <row r="2" spans="2:28" s="113" customFormat="1" ht="26.25">
      <c r="B2" s="114" t="str">
        <f>+'TOT-0611'!B2</f>
        <v>ANEXO VI al Memorandum D.T.E.E. N°482 / 2012 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="11" customFormat="1" ht="12.75"/>
    <row r="4" spans="1:4" s="116" customFormat="1" ht="11.25">
      <c r="A4" s="716" t="s">
        <v>20</v>
      </c>
      <c r="C4" s="715"/>
      <c r="D4" s="715"/>
    </row>
    <row r="5" spans="1:4" s="116" customFormat="1" ht="11.25">
      <c r="A5" s="716" t="s">
        <v>139</v>
      </c>
      <c r="C5" s="715"/>
      <c r="D5" s="715"/>
    </row>
    <row r="6" s="11" customFormat="1" ht="13.5" thickBot="1"/>
    <row r="7" spans="1:28" s="11" customFormat="1" ht="13.5" thickTop="1">
      <c r="A7" s="9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7"/>
    </row>
    <row r="8" spans="1:28" s="118" customFormat="1" ht="20.25">
      <c r="A8" s="39"/>
      <c r="B8" s="117"/>
      <c r="C8" s="39"/>
      <c r="D8" s="39"/>
      <c r="E8" s="39"/>
      <c r="F8" s="20" t="s">
        <v>41</v>
      </c>
      <c r="G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19"/>
    </row>
    <row r="9" spans="1:28" s="11" customFormat="1" ht="12.75">
      <c r="A9" s="9"/>
      <c r="B9" s="38"/>
      <c r="C9" s="9"/>
      <c r="D9" s="9"/>
      <c r="E9" s="9"/>
      <c r="F9" s="130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18" customFormat="1" ht="20.25">
      <c r="A10" s="39"/>
      <c r="B10" s="117"/>
      <c r="C10" s="39"/>
      <c r="D10" s="39"/>
      <c r="E10" s="39"/>
      <c r="F10" s="20" t="s">
        <v>161</v>
      </c>
      <c r="G10" s="20"/>
      <c r="H10" s="39"/>
      <c r="I10" s="120"/>
      <c r="J10" s="120"/>
      <c r="K10" s="120"/>
      <c r="L10" s="120"/>
      <c r="M10" s="120"/>
      <c r="N10" s="120"/>
      <c r="O10" s="120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19"/>
    </row>
    <row r="11" spans="1:28" s="11" customFormat="1" ht="12.75">
      <c r="A11" s="9"/>
      <c r="B11" s="38"/>
      <c r="C11" s="9"/>
      <c r="D11" s="9"/>
      <c r="E11" s="9"/>
      <c r="F11" s="129"/>
      <c r="G11" s="127"/>
      <c r="H11" s="9"/>
      <c r="I11" s="126"/>
      <c r="J11" s="126"/>
      <c r="K11" s="126"/>
      <c r="L11" s="126"/>
      <c r="M11" s="126"/>
      <c r="N11" s="126"/>
      <c r="O11" s="1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5" customFormat="1" ht="19.5">
      <c r="A12" s="41"/>
      <c r="B12" s="93" t="str">
        <f>+'TOT-0611'!B14</f>
        <v>Desde el 01 al 30 de junio de 2011</v>
      </c>
      <c r="C12" s="121"/>
      <c r="D12" s="121"/>
      <c r="E12" s="121"/>
      <c r="F12" s="121"/>
      <c r="G12" s="122"/>
      <c r="H12" s="122"/>
      <c r="I12" s="123"/>
      <c r="J12" s="123"/>
      <c r="K12" s="123"/>
      <c r="L12" s="123"/>
      <c r="M12" s="123"/>
      <c r="N12" s="123"/>
      <c r="O12" s="123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4"/>
    </row>
    <row r="13" spans="1:28" s="125" customFormat="1" ht="7.5" customHeight="1">
      <c r="A13" s="41"/>
      <c r="B13" s="93"/>
      <c r="C13" s="121"/>
      <c r="D13" s="121"/>
      <c r="E13" s="121"/>
      <c r="F13" s="121"/>
      <c r="G13" s="122"/>
      <c r="H13" s="122"/>
      <c r="I13" s="123"/>
      <c r="J13" s="123"/>
      <c r="K13" s="123"/>
      <c r="L13" s="123"/>
      <c r="M13" s="123"/>
      <c r="N13" s="123"/>
      <c r="O13" s="123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4"/>
    </row>
    <row r="14" spans="1:28" s="11" customFormat="1" ht="7.5" customHeight="1" thickBot="1">
      <c r="A14" s="9"/>
      <c r="B14" s="38"/>
      <c r="C14" s="9"/>
      <c r="D14" s="9"/>
      <c r="E14" s="9"/>
      <c r="F14" s="9"/>
      <c r="G14" s="127"/>
      <c r="H14" s="128"/>
      <c r="I14" s="126"/>
      <c r="J14" s="126"/>
      <c r="K14" s="126"/>
      <c r="L14" s="126"/>
      <c r="M14" s="126"/>
      <c r="N14" s="126"/>
      <c r="O14" s="1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"/>
    </row>
    <row r="15" spans="1:28" s="99" customFormat="1" ht="16.5" customHeight="1" thickBot="1" thickTop="1">
      <c r="A15" s="96"/>
      <c r="B15" s="97"/>
      <c r="C15" s="96"/>
      <c r="D15" s="96"/>
      <c r="E15" s="96"/>
      <c r="F15" s="516" t="s">
        <v>44</v>
      </c>
      <c r="G15" s="517" t="s">
        <v>176</v>
      </c>
      <c r="H15" s="247"/>
      <c r="I15" s="100"/>
      <c r="J15" s="100"/>
      <c r="K15" s="100"/>
      <c r="L15" s="100"/>
      <c r="M15" s="100"/>
      <c r="N15" s="100"/>
      <c r="O15" s="100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8"/>
    </row>
    <row r="16" spans="1:28" s="99" customFormat="1" ht="16.5" customHeight="1" thickBot="1" thickTop="1">
      <c r="A16" s="96"/>
      <c r="B16" s="97"/>
      <c r="C16" s="96"/>
      <c r="D16" s="96"/>
      <c r="E16" s="96"/>
      <c r="F16" s="516" t="s">
        <v>45</v>
      </c>
      <c r="G16" s="517">
        <v>69.722</v>
      </c>
      <c r="H16" s="248"/>
      <c r="I16" s="96"/>
      <c r="K16" s="101" t="s">
        <v>46</v>
      </c>
      <c r="L16" s="102">
        <f>30*'TOT-0611'!B13</f>
        <v>30</v>
      </c>
      <c r="M16" s="244" t="str">
        <f>IF(L16=30," ",IF(L16=60,"Coeficiente duplicado por tasa de falla &gt;4 Sal. x año/100 km.","REVISAR COEFICIENTE"))</f>
        <v> 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8"/>
    </row>
    <row r="17" spans="1:28" s="99" customFormat="1" ht="7.5" customHeight="1" thickTop="1">
      <c r="A17" s="96"/>
      <c r="B17" s="97"/>
      <c r="C17" s="96"/>
      <c r="D17" s="96"/>
      <c r="E17" s="96"/>
      <c r="F17" s="706"/>
      <c r="G17" s="707"/>
      <c r="H17" s="708"/>
      <c r="I17" s="96"/>
      <c r="K17" s="101"/>
      <c r="L17" s="102"/>
      <c r="M17" s="244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8"/>
    </row>
    <row r="18" spans="1:28" s="742" customFormat="1" ht="15" customHeight="1" thickBot="1">
      <c r="A18" s="738"/>
      <c r="B18" s="739"/>
      <c r="C18" s="740">
        <v>3</v>
      </c>
      <c r="D18" s="740">
        <v>4</v>
      </c>
      <c r="E18" s="740">
        <v>5</v>
      </c>
      <c r="F18" s="740">
        <v>6</v>
      </c>
      <c r="G18" s="740">
        <v>7</v>
      </c>
      <c r="H18" s="740">
        <v>8</v>
      </c>
      <c r="I18" s="740">
        <v>9</v>
      </c>
      <c r="J18" s="740">
        <v>10</v>
      </c>
      <c r="K18" s="740">
        <v>11</v>
      </c>
      <c r="L18" s="740">
        <v>12</v>
      </c>
      <c r="M18" s="740">
        <v>13</v>
      </c>
      <c r="N18" s="740">
        <v>14</v>
      </c>
      <c r="O18" s="740">
        <v>15</v>
      </c>
      <c r="P18" s="740">
        <v>16</v>
      </c>
      <c r="Q18" s="740">
        <v>17</v>
      </c>
      <c r="R18" s="740">
        <v>18</v>
      </c>
      <c r="S18" s="740">
        <v>19</v>
      </c>
      <c r="T18" s="740">
        <v>20</v>
      </c>
      <c r="U18" s="740">
        <v>21</v>
      </c>
      <c r="V18" s="740">
        <v>22</v>
      </c>
      <c r="W18" s="740">
        <v>23</v>
      </c>
      <c r="X18" s="740">
        <v>24</v>
      </c>
      <c r="Y18" s="740">
        <v>25</v>
      </c>
      <c r="Z18" s="740">
        <v>26</v>
      </c>
      <c r="AA18" s="740">
        <v>27</v>
      </c>
      <c r="AB18" s="741"/>
    </row>
    <row r="19" spans="1:28" s="112" customFormat="1" ht="33.75" customHeight="1" thickBot="1" thickTop="1">
      <c r="A19" s="103"/>
      <c r="B19" s="104"/>
      <c r="C19" s="105" t="s">
        <v>47</v>
      </c>
      <c r="D19" s="105" t="s">
        <v>138</v>
      </c>
      <c r="E19" s="105" t="s">
        <v>137</v>
      </c>
      <c r="F19" s="106" t="s">
        <v>23</v>
      </c>
      <c r="G19" s="107" t="s">
        <v>48</v>
      </c>
      <c r="H19" s="108" t="s">
        <v>49</v>
      </c>
      <c r="I19" s="276" t="s">
        <v>50</v>
      </c>
      <c r="J19" s="106" t="s">
        <v>51</v>
      </c>
      <c r="K19" s="106" t="s">
        <v>52</v>
      </c>
      <c r="L19" s="107" t="s">
        <v>53</v>
      </c>
      <c r="M19" s="107" t="s">
        <v>54</v>
      </c>
      <c r="N19" s="109" t="s">
        <v>55</v>
      </c>
      <c r="O19" s="107" t="s">
        <v>56</v>
      </c>
      <c r="P19" s="302" t="s">
        <v>57</v>
      </c>
      <c r="Q19" s="305" t="s">
        <v>58</v>
      </c>
      <c r="R19" s="308" t="s">
        <v>59</v>
      </c>
      <c r="S19" s="309"/>
      <c r="T19" s="310"/>
      <c r="U19" s="317" t="s">
        <v>60</v>
      </c>
      <c r="V19" s="318"/>
      <c r="W19" s="319"/>
      <c r="X19" s="327" t="s">
        <v>61</v>
      </c>
      <c r="Y19" s="330" t="s">
        <v>62</v>
      </c>
      <c r="Z19" s="110" t="s">
        <v>63</v>
      </c>
      <c r="AA19" s="110" t="s">
        <v>64</v>
      </c>
      <c r="AB19" s="111"/>
    </row>
    <row r="20" spans="1:28" ht="16.5" customHeight="1" thickTop="1">
      <c r="A20" s="1"/>
      <c r="B20" s="2"/>
      <c r="C20" s="45"/>
      <c r="D20" s="94"/>
      <c r="E20" s="94"/>
      <c r="F20" s="46"/>
      <c r="G20" s="47"/>
      <c r="H20" s="47"/>
      <c r="I20" s="277"/>
      <c r="J20" s="47"/>
      <c r="K20" s="48"/>
      <c r="L20" s="48"/>
      <c r="M20" s="48"/>
      <c r="N20" s="46"/>
      <c r="O20" s="47"/>
      <c r="P20" s="303"/>
      <c r="Q20" s="306"/>
      <c r="R20" s="311"/>
      <c r="S20" s="312"/>
      <c r="T20" s="313"/>
      <c r="U20" s="320"/>
      <c r="V20" s="321"/>
      <c r="W20" s="322"/>
      <c r="X20" s="328"/>
      <c r="Y20" s="331"/>
      <c r="Z20" s="316"/>
      <c r="AA20" s="48"/>
      <c r="AB20" s="3"/>
    </row>
    <row r="21" spans="1:28" ht="16.5" customHeight="1">
      <c r="A21" s="1"/>
      <c r="B21" s="2"/>
      <c r="C21" s="95">
        <v>3</v>
      </c>
      <c r="D21" s="95">
        <v>235812</v>
      </c>
      <c r="E21" s="95">
        <v>4658</v>
      </c>
      <c r="F21" s="95" t="s">
        <v>158</v>
      </c>
      <c r="G21" s="753">
        <v>132</v>
      </c>
      <c r="H21" s="753">
        <v>207.5</v>
      </c>
      <c r="I21" s="756">
        <f>IF(H21&gt;25,H21,25)*IF(G21=330,$G$15,$G$16)/100</f>
        <v>144.67315</v>
      </c>
      <c r="J21" s="752">
        <v>40713.42083333333</v>
      </c>
      <c r="K21" s="752">
        <v>40713.691666666666</v>
      </c>
      <c r="L21" s="95">
        <f>IF(F21="","",(K21-J21)*24)</f>
        <v>6.500000000058208</v>
      </c>
      <c r="M21" s="95">
        <f>IF(F21="","",ROUND((K21-J21)*24*60,0))</f>
        <v>390</v>
      </c>
      <c r="N21" s="754" t="s">
        <v>149</v>
      </c>
      <c r="O21" s="718" t="str">
        <f aca="true" t="shared" si="0" ref="O21:O41">IF(F21="","","--")</f>
        <v>--</v>
      </c>
      <c r="P21" s="304"/>
      <c r="Q21" s="307"/>
      <c r="R21" s="314">
        <f>IF(N21="F",I21*$L$16,"--")</f>
        <v>4340.1945</v>
      </c>
      <c r="S21" s="315">
        <f>IF(AND(M21&gt;10,N21="F"),I21*$L$16*IF(M21&gt;180,3,ROUND(M21/60,2)),"--")</f>
        <v>13020.583499999999</v>
      </c>
      <c r="T21" s="723">
        <f aca="true" t="shared" si="1" ref="T21:T41">IF(AND(M21&gt;180,N21="F"),(ROUND(M21/60,2)-3)*I21*$L$16*0.1,"--")</f>
        <v>1519.0680750000001</v>
      </c>
      <c r="U21" s="323"/>
      <c r="V21" s="324"/>
      <c r="W21" s="325"/>
      <c r="X21" s="329"/>
      <c r="Y21" s="332"/>
      <c r="Z21" s="755" t="s">
        <v>146</v>
      </c>
      <c r="AA21" s="95">
        <f>IF(F21="","",SUM(P21:Y21)*IF(Z21="SI",1,2))</f>
        <v>18879.846074999998</v>
      </c>
      <c r="AB21" s="3"/>
    </row>
    <row r="22" spans="1:28" ht="16.5" customHeight="1">
      <c r="A22" s="1"/>
      <c r="B22" s="2"/>
      <c r="C22" s="520"/>
      <c r="D22" s="520"/>
      <c r="E22" s="520"/>
      <c r="F22" s="521"/>
      <c r="G22" s="522"/>
      <c r="H22" s="523"/>
      <c r="I22" s="278">
        <f aca="true" t="shared" si="2" ref="I22:I41">IF(H22&gt;25,H22,25)*IF(G22=330,$G$15,$G$16)/100</f>
        <v>17.4305</v>
      </c>
      <c r="J22" s="528"/>
      <c r="K22" s="528"/>
      <c r="L22" s="13">
        <f aca="true" t="shared" si="3" ref="L22:L41">IF(F22="","",(K22-J22)*24)</f>
      </c>
      <c r="M22" s="14">
        <f aca="true" t="shared" si="4" ref="M22:M41">IF(F22="","",ROUND((K22-J22)*24*60,0))</f>
      </c>
      <c r="N22" s="529"/>
      <c r="O22" s="718">
        <f t="shared" si="0"/>
      </c>
      <c r="P22" s="719" t="str">
        <f aca="true" t="shared" si="5" ref="P22:P41">IF(N22="P",ROUND(M22/60,2)*I22*$L$16*0.01,"--")</f>
        <v>--</v>
      </c>
      <c r="Q22" s="720" t="str">
        <f aca="true" t="shared" si="6" ref="Q22:Q41">IF(N22="RP",ROUND(M22/60,2)*I22*$L$16*0.01*O22/100,"--")</f>
        <v>--</v>
      </c>
      <c r="R22" s="721" t="str">
        <f aca="true" t="shared" si="7" ref="R22:R41">IF(N22="F",I22*$L$16,"--")</f>
        <v>--</v>
      </c>
      <c r="S22" s="722" t="str">
        <f aca="true" t="shared" si="8" ref="S22:S41">IF(AND(M22&gt;10,N22="F"),I22*$L$16*IF(M22&gt;180,3,ROUND(M22/60,2)),"--")</f>
        <v>--</v>
      </c>
      <c r="T22" s="723" t="str">
        <f t="shared" si="1"/>
        <v>--</v>
      </c>
      <c r="U22" s="724" t="str">
        <f aca="true" t="shared" si="9" ref="U22:U41">IF(N22="R",I22*$L$16*O22/100,"--")</f>
        <v>--</v>
      </c>
      <c r="V22" s="725" t="str">
        <f aca="true" t="shared" si="10" ref="V22:V41">IF(AND(M22&gt;10,N22="R"),I22*$L$16*O22/100*IF(M22&gt;180,3,ROUND(M22/60,2)),"--")</f>
        <v>--</v>
      </c>
      <c r="W22" s="726" t="str">
        <f aca="true" t="shared" si="11" ref="W22:W41">IF(AND(M22&gt;180,N22="R"),(ROUND(M22/60,2)-3)*O22/100*I22*$L$16*0.1,"--")</f>
        <v>--</v>
      </c>
      <c r="X22" s="727" t="str">
        <f aca="true" t="shared" si="12" ref="X22:X41">IF(N22="RF",ROUND(M22/60,2)*I22*$L$16*0.1,"--")</f>
        <v>--</v>
      </c>
      <c r="Y22" s="728" t="str">
        <f aca="true" t="shared" si="13" ref="Y22:Y41">IF(N22="RR",ROUND(M22/60,2)*O22/100*I22*$L$16*0.1,"--")</f>
        <v>--</v>
      </c>
      <c r="Z22" s="729">
        <f aca="true" t="shared" si="14" ref="Z22:Z41">IF(F22="","","SI")</f>
      </c>
      <c r="AA22" s="49">
        <f aca="true" t="shared" si="15" ref="AA22:AA41">IF(F22="","",SUM(P22:Y22)*IF(Z22="SI",1,2))</f>
      </c>
      <c r="AB22" s="3"/>
    </row>
    <row r="23" spans="1:28" ht="16.5" customHeight="1">
      <c r="A23" s="1"/>
      <c r="B23" s="2"/>
      <c r="C23" s="520"/>
      <c r="D23" s="520"/>
      <c r="E23" s="520"/>
      <c r="F23" s="521"/>
      <c r="G23" s="522"/>
      <c r="H23" s="523"/>
      <c r="I23" s="278">
        <f t="shared" si="2"/>
        <v>17.4305</v>
      </c>
      <c r="J23" s="528"/>
      <c r="K23" s="528"/>
      <c r="L23" s="13">
        <f t="shared" si="3"/>
      </c>
      <c r="M23" s="14">
        <f t="shared" si="4"/>
      </c>
      <c r="N23" s="529"/>
      <c r="O23" s="718">
        <f t="shared" si="0"/>
      </c>
      <c r="P23" s="719" t="str">
        <f t="shared" si="5"/>
        <v>--</v>
      </c>
      <c r="Q23" s="720" t="str">
        <f t="shared" si="6"/>
        <v>--</v>
      </c>
      <c r="R23" s="721" t="str">
        <f t="shared" si="7"/>
        <v>--</v>
      </c>
      <c r="S23" s="722" t="str">
        <f t="shared" si="8"/>
        <v>--</v>
      </c>
      <c r="T23" s="723" t="str">
        <f t="shared" si="1"/>
        <v>--</v>
      </c>
      <c r="U23" s="724" t="str">
        <f t="shared" si="9"/>
        <v>--</v>
      </c>
      <c r="V23" s="725" t="str">
        <f t="shared" si="10"/>
        <v>--</v>
      </c>
      <c r="W23" s="726" t="str">
        <f t="shared" si="11"/>
        <v>--</v>
      </c>
      <c r="X23" s="727" t="str">
        <f t="shared" si="12"/>
        <v>--</v>
      </c>
      <c r="Y23" s="728" t="str">
        <f t="shared" si="13"/>
        <v>--</v>
      </c>
      <c r="Z23" s="729">
        <f t="shared" si="14"/>
      </c>
      <c r="AA23" s="49">
        <f t="shared" si="15"/>
      </c>
      <c r="AB23" s="3"/>
    </row>
    <row r="24" spans="1:28" ht="16.5" customHeight="1">
      <c r="A24" s="1"/>
      <c r="B24" s="2"/>
      <c r="C24" s="520"/>
      <c r="D24" s="520"/>
      <c r="E24" s="520"/>
      <c r="F24" s="521"/>
      <c r="G24" s="522"/>
      <c r="H24" s="523"/>
      <c r="I24" s="278">
        <f t="shared" si="2"/>
        <v>17.4305</v>
      </c>
      <c r="J24" s="528"/>
      <c r="K24" s="528"/>
      <c r="L24" s="13">
        <f t="shared" si="3"/>
      </c>
      <c r="M24" s="14">
        <f t="shared" si="4"/>
      </c>
      <c r="N24" s="529"/>
      <c r="O24" s="718">
        <f t="shared" si="0"/>
      </c>
      <c r="P24" s="719" t="str">
        <f t="shared" si="5"/>
        <v>--</v>
      </c>
      <c r="Q24" s="720" t="str">
        <f t="shared" si="6"/>
        <v>--</v>
      </c>
      <c r="R24" s="721" t="str">
        <f t="shared" si="7"/>
        <v>--</v>
      </c>
      <c r="S24" s="722" t="str">
        <f t="shared" si="8"/>
        <v>--</v>
      </c>
      <c r="T24" s="723" t="str">
        <f t="shared" si="1"/>
        <v>--</v>
      </c>
      <c r="U24" s="724" t="str">
        <f t="shared" si="9"/>
        <v>--</v>
      </c>
      <c r="V24" s="725" t="str">
        <f t="shared" si="10"/>
        <v>--</v>
      </c>
      <c r="W24" s="726" t="str">
        <f t="shared" si="11"/>
        <v>--</v>
      </c>
      <c r="X24" s="727" t="str">
        <f t="shared" si="12"/>
        <v>--</v>
      </c>
      <c r="Y24" s="728" t="str">
        <f t="shared" si="13"/>
        <v>--</v>
      </c>
      <c r="Z24" s="729">
        <f t="shared" si="14"/>
      </c>
      <c r="AA24" s="49">
        <f t="shared" si="15"/>
      </c>
      <c r="AB24" s="3"/>
    </row>
    <row r="25" spans="1:28" ht="16.5" customHeight="1">
      <c r="A25" s="1"/>
      <c r="B25" s="2"/>
      <c r="C25" s="520"/>
      <c r="D25" s="520"/>
      <c r="E25" s="520"/>
      <c r="F25" s="521"/>
      <c r="G25" s="522"/>
      <c r="H25" s="523"/>
      <c r="I25" s="278">
        <f t="shared" si="2"/>
        <v>17.4305</v>
      </c>
      <c r="J25" s="528"/>
      <c r="K25" s="528"/>
      <c r="L25" s="13">
        <f t="shared" si="3"/>
      </c>
      <c r="M25" s="14">
        <f t="shared" si="4"/>
      </c>
      <c r="N25" s="529"/>
      <c r="O25" s="718">
        <f t="shared" si="0"/>
      </c>
      <c r="P25" s="719" t="str">
        <f t="shared" si="5"/>
        <v>--</v>
      </c>
      <c r="Q25" s="720" t="str">
        <f t="shared" si="6"/>
        <v>--</v>
      </c>
      <c r="R25" s="721" t="str">
        <f t="shared" si="7"/>
        <v>--</v>
      </c>
      <c r="S25" s="722" t="str">
        <f t="shared" si="8"/>
        <v>--</v>
      </c>
      <c r="T25" s="723" t="str">
        <f t="shared" si="1"/>
        <v>--</v>
      </c>
      <c r="U25" s="724" t="str">
        <f t="shared" si="9"/>
        <v>--</v>
      </c>
      <c r="V25" s="725" t="str">
        <f t="shared" si="10"/>
        <v>--</v>
      </c>
      <c r="W25" s="726" t="str">
        <f t="shared" si="11"/>
        <v>--</v>
      </c>
      <c r="X25" s="727" t="str">
        <f t="shared" si="12"/>
        <v>--</v>
      </c>
      <c r="Y25" s="728" t="str">
        <f t="shared" si="13"/>
        <v>--</v>
      </c>
      <c r="Z25" s="729">
        <f t="shared" si="14"/>
      </c>
      <c r="AA25" s="49">
        <f t="shared" si="15"/>
      </c>
      <c r="AB25" s="3"/>
    </row>
    <row r="26" spans="1:28" ht="16.5" customHeight="1">
      <c r="A26" s="1"/>
      <c r="B26" s="2"/>
      <c r="C26" s="520"/>
      <c r="D26" s="520"/>
      <c r="E26" s="520"/>
      <c r="F26" s="521"/>
      <c r="G26" s="522"/>
      <c r="H26" s="523"/>
      <c r="I26" s="278">
        <f t="shared" si="2"/>
        <v>17.4305</v>
      </c>
      <c r="J26" s="528"/>
      <c r="K26" s="528"/>
      <c r="L26" s="13">
        <f t="shared" si="3"/>
      </c>
      <c r="M26" s="14">
        <f t="shared" si="4"/>
      </c>
      <c r="N26" s="529"/>
      <c r="O26" s="718">
        <f t="shared" si="0"/>
      </c>
      <c r="P26" s="719" t="str">
        <f t="shared" si="5"/>
        <v>--</v>
      </c>
      <c r="Q26" s="720" t="str">
        <f t="shared" si="6"/>
        <v>--</v>
      </c>
      <c r="R26" s="721" t="str">
        <f t="shared" si="7"/>
        <v>--</v>
      </c>
      <c r="S26" s="722" t="str">
        <f t="shared" si="8"/>
        <v>--</v>
      </c>
      <c r="T26" s="723" t="str">
        <f t="shared" si="1"/>
        <v>--</v>
      </c>
      <c r="U26" s="724" t="str">
        <f t="shared" si="9"/>
        <v>--</v>
      </c>
      <c r="V26" s="725" t="str">
        <f t="shared" si="10"/>
        <v>--</v>
      </c>
      <c r="W26" s="726" t="str">
        <f t="shared" si="11"/>
        <v>--</v>
      </c>
      <c r="X26" s="727" t="str">
        <f t="shared" si="12"/>
        <v>--</v>
      </c>
      <c r="Y26" s="728" t="str">
        <f t="shared" si="13"/>
        <v>--</v>
      </c>
      <c r="Z26" s="729">
        <f t="shared" si="14"/>
      </c>
      <c r="AA26" s="49">
        <f t="shared" si="15"/>
      </c>
      <c r="AB26" s="3"/>
    </row>
    <row r="27" spans="1:28" ht="16.5" customHeight="1">
      <c r="A27" s="1"/>
      <c r="B27" s="2"/>
      <c r="C27" s="520"/>
      <c r="D27" s="520"/>
      <c r="E27" s="520"/>
      <c r="F27" s="521"/>
      <c r="G27" s="522"/>
      <c r="H27" s="523"/>
      <c r="I27" s="278">
        <f t="shared" si="2"/>
        <v>17.4305</v>
      </c>
      <c r="J27" s="528"/>
      <c r="K27" s="528"/>
      <c r="L27" s="13">
        <f t="shared" si="3"/>
      </c>
      <c r="M27" s="14">
        <f t="shared" si="4"/>
      </c>
      <c r="N27" s="529"/>
      <c r="O27" s="718">
        <f t="shared" si="0"/>
      </c>
      <c r="P27" s="719" t="str">
        <f t="shared" si="5"/>
        <v>--</v>
      </c>
      <c r="Q27" s="720" t="str">
        <f t="shared" si="6"/>
        <v>--</v>
      </c>
      <c r="R27" s="721" t="str">
        <f t="shared" si="7"/>
        <v>--</v>
      </c>
      <c r="S27" s="722" t="str">
        <f t="shared" si="8"/>
        <v>--</v>
      </c>
      <c r="T27" s="723" t="str">
        <f t="shared" si="1"/>
        <v>--</v>
      </c>
      <c r="U27" s="724" t="str">
        <f t="shared" si="9"/>
        <v>--</v>
      </c>
      <c r="V27" s="725" t="str">
        <f t="shared" si="10"/>
        <v>--</v>
      </c>
      <c r="W27" s="726" t="str">
        <f t="shared" si="11"/>
        <v>--</v>
      </c>
      <c r="X27" s="727" t="str">
        <f t="shared" si="12"/>
        <v>--</v>
      </c>
      <c r="Y27" s="728" t="str">
        <f t="shared" si="13"/>
        <v>--</v>
      </c>
      <c r="Z27" s="729">
        <f t="shared" si="14"/>
      </c>
      <c r="AA27" s="49">
        <f t="shared" si="15"/>
      </c>
      <c r="AB27" s="3"/>
    </row>
    <row r="28" spans="1:28" ht="16.5" customHeight="1">
      <c r="A28" s="1"/>
      <c r="B28" s="2"/>
      <c r="C28" s="520"/>
      <c r="D28" s="520"/>
      <c r="E28" s="520"/>
      <c r="F28" s="521"/>
      <c r="G28" s="522"/>
      <c r="H28" s="523"/>
      <c r="I28" s="278">
        <f t="shared" si="2"/>
        <v>17.4305</v>
      </c>
      <c r="J28" s="528"/>
      <c r="K28" s="528"/>
      <c r="L28" s="13">
        <f t="shared" si="3"/>
      </c>
      <c r="M28" s="14">
        <f t="shared" si="4"/>
      </c>
      <c r="N28" s="529"/>
      <c r="O28" s="718">
        <f t="shared" si="0"/>
      </c>
      <c r="P28" s="719" t="str">
        <f t="shared" si="5"/>
        <v>--</v>
      </c>
      <c r="Q28" s="720" t="str">
        <f t="shared" si="6"/>
        <v>--</v>
      </c>
      <c r="R28" s="721" t="str">
        <f t="shared" si="7"/>
        <v>--</v>
      </c>
      <c r="S28" s="722" t="str">
        <f t="shared" si="8"/>
        <v>--</v>
      </c>
      <c r="T28" s="723" t="str">
        <f t="shared" si="1"/>
        <v>--</v>
      </c>
      <c r="U28" s="724" t="str">
        <f t="shared" si="9"/>
        <v>--</v>
      </c>
      <c r="V28" s="725" t="str">
        <f t="shared" si="10"/>
        <v>--</v>
      </c>
      <c r="W28" s="726" t="str">
        <f t="shared" si="11"/>
        <v>--</v>
      </c>
      <c r="X28" s="727" t="str">
        <f t="shared" si="12"/>
        <v>--</v>
      </c>
      <c r="Y28" s="728" t="str">
        <f t="shared" si="13"/>
        <v>--</v>
      </c>
      <c r="Z28" s="729">
        <f t="shared" si="14"/>
      </c>
      <c r="AA28" s="49">
        <f t="shared" si="15"/>
      </c>
      <c r="AB28" s="3"/>
    </row>
    <row r="29" spans="1:28" ht="16.5" customHeight="1">
      <c r="A29" s="1"/>
      <c r="B29" s="2"/>
      <c r="C29" s="520"/>
      <c r="D29" s="520"/>
      <c r="E29" s="520"/>
      <c r="F29" s="521"/>
      <c r="G29" s="522"/>
      <c r="H29" s="523"/>
      <c r="I29" s="278">
        <f t="shared" si="2"/>
        <v>17.4305</v>
      </c>
      <c r="J29" s="528"/>
      <c r="K29" s="528"/>
      <c r="L29" s="13">
        <f t="shared" si="3"/>
      </c>
      <c r="M29" s="14">
        <f t="shared" si="4"/>
      </c>
      <c r="N29" s="529"/>
      <c r="O29" s="718">
        <f t="shared" si="0"/>
      </c>
      <c r="P29" s="719" t="str">
        <f t="shared" si="5"/>
        <v>--</v>
      </c>
      <c r="Q29" s="720" t="str">
        <f t="shared" si="6"/>
        <v>--</v>
      </c>
      <c r="R29" s="721" t="str">
        <f t="shared" si="7"/>
        <v>--</v>
      </c>
      <c r="S29" s="722" t="str">
        <f t="shared" si="8"/>
        <v>--</v>
      </c>
      <c r="T29" s="723" t="str">
        <f t="shared" si="1"/>
        <v>--</v>
      </c>
      <c r="U29" s="724" t="str">
        <f t="shared" si="9"/>
        <v>--</v>
      </c>
      <c r="V29" s="725" t="str">
        <f t="shared" si="10"/>
        <v>--</v>
      </c>
      <c r="W29" s="726" t="str">
        <f t="shared" si="11"/>
        <v>--</v>
      </c>
      <c r="X29" s="727" t="str">
        <f t="shared" si="12"/>
        <v>--</v>
      </c>
      <c r="Y29" s="728" t="str">
        <f t="shared" si="13"/>
        <v>--</v>
      </c>
      <c r="Z29" s="729">
        <f t="shared" si="14"/>
      </c>
      <c r="AA29" s="49">
        <f t="shared" si="15"/>
      </c>
      <c r="AB29" s="3"/>
    </row>
    <row r="30" spans="1:28" ht="16.5" customHeight="1">
      <c r="A30" s="1"/>
      <c r="B30" s="2"/>
      <c r="C30" s="520"/>
      <c r="D30" s="520"/>
      <c r="E30" s="520"/>
      <c r="F30" s="521"/>
      <c r="G30" s="522"/>
      <c r="H30" s="523"/>
      <c r="I30" s="278">
        <f t="shared" si="2"/>
        <v>17.4305</v>
      </c>
      <c r="J30" s="528"/>
      <c r="K30" s="528"/>
      <c r="L30" s="13">
        <f t="shared" si="3"/>
      </c>
      <c r="M30" s="14">
        <f t="shared" si="4"/>
      </c>
      <c r="N30" s="529"/>
      <c r="O30" s="718">
        <f t="shared" si="0"/>
      </c>
      <c r="P30" s="719" t="str">
        <f t="shared" si="5"/>
        <v>--</v>
      </c>
      <c r="Q30" s="720" t="str">
        <f t="shared" si="6"/>
        <v>--</v>
      </c>
      <c r="R30" s="721" t="str">
        <f t="shared" si="7"/>
        <v>--</v>
      </c>
      <c r="S30" s="722" t="str">
        <f t="shared" si="8"/>
        <v>--</v>
      </c>
      <c r="T30" s="723" t="str">
        <f t="shared" si="1"/>
        <v>--</v>
      </c>
      <c r="U30" s="724" t="str">
        <f t="shared" si="9"/>
        <v>--</v>
      </c>
      <c r="V30" s="725" t="str">
        <f t="shared" si="10"/>
        <v>--</v>
      </c>
      <c r="W30" s="726" t="str">
        <f t="shared" si="11"/>
        <v>--</v>
      </c>
      <c r="X30" s="727" t="str">
        <f t="shared" si="12"/>
        <v>--</v>
      </c>
      <c r="Y30" s="728" t="str">
        <f t="shared" si="13"/>
        <v>--</v>
      </c>
      <c r="Z30" s="729">
        <f t="shared" si="14"/>
      </c>
      <c r="AA30" s="49">
        <f t="shared" si="15"/>
      </c>
      <c r="AB30" s="3"/>
    </row>
    <row r="31" spans="1:28" ht="16.5" customHeight="1">
      <c r="A31" s="1"/>
      <c r="B31" s="2"/>
      <c r="C31" s="520"/>
      <c r="D31" s="520"/>
      <c r="E31" s="520"/>
      <c r="F31" s="521"/>
      <c r="G31" s="522"/>
      <c r="H31" s="523"/>
      <c r="I31" s="278">
        <f t="shared" si="2"/>
        <v>17.4305</v>
      </c>
      <c r="J31" s="528"/>
      <c r="K31" s="528"/>
      <c r="L31" s="13">
        <f t="shared" si="3"/>
      </c>
      <c r="M31" s="14">
        <f t="shared" si="4"/>
      </c>
      <c r="N31" s="529"/>
      <c r="O31" s="718">
        <f t="shared" si="0"/>
      </c>
      <c r="P31" s="719" t="str">
        <f t="shared" si="5"/>
        <v>--</v>
      </c>
      <c r="Q31" s="720" t="str">
        <f t="shared" si="6"/>
        <v>--</v>
      </c>
      <c r="R31" s="721" t="str">
        <f t="shared" si="7"/>
        <v>--</v>
      </c>
      <c r="S31" s="722" t="str">
        <f t="shared" si="8"/>
        <v>--</v>
      </c>
      <c r="T31" s="723" t="str">
        <f t="shared" si="1"/>
        <v>--</v>
      </c>
      <c r="U31" s="724" t="str">
        <f t="shared" si="9"/>
        <v>--</v>
      </c>
      <c r="V31" s="725" t="str">
        <f t="shared" si="10"/>
        <v>--</v>
      </c>
      <c r="W31" s="726" t="str">
        <f t="shared" si="11"/>
        <v>--</v>
      </c>
      <c r="X31" s="727" t="str">
        <f t="shared" si="12"/>
        <v>--</v>
      </c>
      <c r="Y31" s="728" t="str">
        <f t="shared" si="13"/>
        <v>--</v>
      </c>
      <c r="Z31" s="729">
        <f t="shared" si="14"/>
      </c>
      <c r="AA31" s="49">
        <f t="shared" si="15"/>
      </c>
      <c r="AB31" s="3"/>
    </row>
    <row r="32" spans="1:28" ht="16.5" customHeight="1">
      <c r="A32" s="1"/>
      <c r="B32" s="2"/>
      <c r="C32" s="520"/>
      <c r="D32" s="520"/>
      <c r="E32" s="520"/>
      <c r="F32" s="521"/>
      <c r="G32" s="522"/>
      <c r="H32" s="523"/>
      <c r="I32" s="278">
        <f t="shared" si="2"/>
        <v>17.4305</v>
      </c>
      <c r="J32" s="528"/>
      <c r="K32" s="528"/>
      <c r="L32" s="13">
        <f t="shared" si="3"/>
      </c>
      <c r="M32" s="14">
        <f t="shared" si="4"/>
      </c>
      <c r="N32" s="529"/>
      <c r="O32" s="718">
        <f t="shared" si="0"/>
      </c>
      <c r="P32" s="719" t="str">
        <f t="shared" si="5"/>
        <v>--</v>
      </c>
      <c r="Q32" s="720" t="str">
        <f t="shared" si="6"/>
        <v>--</v>
      </c>
      <c r="R32" s="721" t="str">
        <f t="shared" si="7"/>
        <v>--</v>
      </c>
      <c r="S32" s="722" t="str">
        <f t="shared" si="8"/>
        <v>--</v>
      </c>
      <c r="T32" s="723" t="str">
        <f t="shared" si="1"/>
        <v>--</v>
      </c>
      <c r="U32" s="724" t="str">
        <f t="shared" si="9"/>
        <v>--</v>
      </c>
      <c r="V32" s="725" t="str">
        <f t="shared" si="10"/>
        <v>--</v>
      </c>
      <c r="W32" s="726" t="str">
        <f t="shared" si="11"/>
        <v>--</v>
      </c>
      <c r="X32" s="727" t="str">
        <f t="shared" si="12"/>
        <v>--</v>
      </c>
      <c r="Y32" s="728" t="str">
        <f t="shared" si="13"/>
        <v>--</v>
      </c>
      <c r="Z32" s="729">
        <f t="shared" si="14"/>
      </c>
      <c r="AA32" s="49">
        <f t="shared" si="15"/>
      </c>
      <c r="AB32" s="3"/>
    </row>
    <row r="33" spans="1:28" ht="16.5" customHeight="1">
      <c r="A33" s="1"/>
      <c r="B33" s="2"/>
      <c r="C33" s="520"/>
      <c r="D33" s="520"/>
      <c r="E33" s="520"/>
      <c r="F33" s="521"/>
      <c r="G33" s="522"/>
      <c r="H33" s="523"/>
      <c r="I33" s="278">
        <f t="shared" si="2"/>
        <v>17.4305</v>
      </c>
      <c r="J33" s="528"/>
      <c r="K33" s="528"/>
      <c r="L33" s="13">
        <f t="shared" si="3"/>
      </c>
      <c r="M33" s="14">
        <f t="shared" si="4"/>
      </c>
      <c r="N33" s="529"/>
      <c r="O33" s="718">
        <f t="shared" si="0"/>
      </c>
      <c r="P33" s="719" t="str">
        <f t="shared" si="5"/>
        <v>--</v>
      </c>
      <c r="Q33" s="720" t="str">
        <f t="shared" si="6"/>
        <v>--</v>
      </c>
      <c r="R33" s="721" t="str">
        <f t="shared" si="7"/>
        <v>--</v>
      </c>
      <c r="S33" s="722" t="str">
        <f t="shared" si="8"/>
        <v>--</v>
      </c>
      <c r="T33" s="723" t="str">
        <f t="shared" si="1"/>
        <v>--</v>
      </c>
      <c r="U33" s="724" t="str">
        <f t="shared" si="9"/>
        <v>--</v>
      </c>
      <c r="V33" s="725" t="str">
        <f t="shared" si="10"/>
        <v>--</v>
      </c>
      <c r="W33" s="726" t="str">
        <f t="shared" si="11"/>
        <v>--</v>
      </c>
      <c r="X33" s="727" t="str">
        <f t="shared" si="12"/>
        <v>--</v>
      </c>
      <c r="Y33" s="728" t="str">
        <f t="shared" si="13"/>
        <v>--</v>
      </c>
      <c r="Z33" s="729">
        <f t="shared" si="14"/>
      </c>
      <c r="AA33" s="49">
        <f t="shared" si="15"/>
      </c>
      <c r="AB33" s="3"/>
    </row>
    <row r="34" spans="1:28" ht="16.5" customHeight="1">
      <c r="A34" s="1"/>
      <c r="B34" s="2"/>
      <c r="C34" s="520"/>
      <c r="D34" s="520"/>
      <c r="E34" s="520"/>
      <c r="F34" s="521"/>
      <c r="G34" s="522"/>
      <c r="H34" s="523"/>
      <c r="I34" s="278">
        <f t="shared" si="2"/>
        <v>17.4305</v>
      </c>
      <c r="J34" s="528"/>
      <c r="K34" s="528"/>
      <c r="L34" s="13">
        <f t="shared" si="3"/>
      </c>
      <c r="M34" s="14">
        <f t="shared" si="4"/>
      </c>
      <c r="N34" s="529"/>
      <c r="O34" s="718">
        <f t="shared" si="0"/>
      </c>
      <c r="P34" s="719" t="str">
        <f t="shared" si="5"/>
        <v>--</v>
      </c>
      <c r="Q34" s="720" t="str">
        <f t="shared" si="6"/>
        <v>--</v>
      </c>
      <c r="R34" s="721" t="str">
        <f t="shared" si="7"/>
        <v>--</v>
      </c>
      <c r="S34" s="722" t="str">
        <f t="shared" si="8"/>
        <v>--</v>
      </c>
      <c r="T34" s="723" t="str">
        <f t="shared" si="1"/>
        <v>--</v>
      </c>
      <c r="U34" s="724" t="str">
        <f t="shared" si="9"/>
        <v>--</v>
      </c>
      <c r="V34" s="725" t="str">
        <f t="shared" si="10"/>
        <v>--</v>
      </c>
      <c r="W34" s="726" t="str">
        <f t="shared" si="11"/>
        <v>--</v>
      </c>
      <c r="X34" s="727" t="str">
        <f t="shared" si="12"/>
        <v>--</v>
      </c>
      <c r="Y34" s="728" t="str">
        <f t="shared" si="13"/>
        <v>--</v>
      </c>
      <c r="Z34" s="729">
        <f t="shared" si="14"/>
      </c>
      <c r="AA34" s="49">
        <f t="shared" si="15"/>
      </c>
      <c r="AB34" s="3"/>
    </row>
    <row r="35" spans="1:28" ht="16.5" customHeight="1">
      <c r="A35" s="1"/>
      <c r="B35" s="2"/>
      <c r="C35" s="520"/>
      <c r="D35" s="520"/>
      <c r="E35" s="520"/>
      <c r="F35" s="521"/>
      <c r="G35" s="522"/>
      <c r="H35" s="523"/>
      <c r="I35" s="278">
        <f t="shared" si="2"/>
        <v>17.4305</v>
      </c>
      <c r="J35" s="528"/>
      <c r="K35" s="528"/>
      <c r="L35" s="13">
        <f t="shared" si="3"/>
      </c>
      <c r="M35" s="14">
        <f t="shared" si="4"/>
      </c>
      <c r="N35" s="529"/>
      <c r="O35" s="718">
        <f t="shared" si="0"/>
      </c>
      <c r="P35" s="719" t="str">
        <f t="shared" si="5"/>
        <v>--</v>
      </c>
      <c r="Q35" s="720" t="str">
        <f t="shared" si="6"/>
        <v>--</v>
      </c>
      <c r="R35" s="721" t="str">
        <f t="shared" si="7"/>
        <v>--</v>
      </c>
      <c r="S35" s="722" t="str">
        <f t="shared" si="8"/>
        <v>--</v>
      </c>
      <c r="T35" s="723" t="str">
        <f t="shared" si="1"/>
        <v>--</v>
      </c>
      <c r="U35" s="724" t="str">
        <f t="shared" si="9"/>
        <v>--</v>
      </c>
      <c r="V35" s="725" t="str">
        <f t="shared" si="10"/>
        <v>--</v>
      </c>
      <c r="W35" s="726" t="str">
        <f t="shared" si="11"/>
        <v>--</v>
      </c>
      <c r="X35" s="727" t="str">
        <f t="shared" si="12"/>
        <v>--</v>
      </c>
      <c r="Y35" s="728" t="str">
        <f t="shared" si="13"/>
        <v>--</v>
      </c>
      <c r="Z35" s="729">
        <f t="shared" si="14"/>
      </c>
      <c r="AA35" s="49">
        <f t="shared" si="15"/>
      </c>
      <c r="AB35" s="3"/>
    </row>
    <row r="36" spans="1:28" ht="16.5" customHeight="1">
      <c r="A36" s="1"/>
      <c r="B36" s="2"/>
      <c r="C36" s="520"/>
      <c r="D36" s="520"/>
      <c r="E36" s="520"/>
      <c r="F36" s="521"/>
      <c r="G36" s="522"/>
      <c r="H36" s="523"/>
      <c r="I36" s="278">
        <f t="shared" si="2"/>
        <v>17.4305</v>
      </c>
      <c r="J36" s="528"/>
      <c r="K36" s="528"/>
      <c r="L36" s="13">
        <f t="shared" si="3"/>
      </c>
      <c r="M36" s="14">
        <f t="shared" si="4"/>
      </c>
      <c r="N36" s="529"/>
      <c r="O36" s="718">
        <f t="shared" si="0"/>
      </c>
      <c r="P36" s="719" t="str">
        <f t="shared" si="5"/>
        <v>--</v>
      </c>
      <c r="Q36" s="720" t="str">
        <f t="shared" si="6"/>
        <v>--</v>
      </c>
      <c r="R36" s="721" t="str">
        <f t="shared" si="7"/>
        <v>--</v>
      </c>
      <c r="S36" s="722" t="str">
        <f t="shared" si="8"/>
        <v>--</v>
      </c>
      <c r="T36" s="723" t="str">
        <f t="shared" si="1"/>
        <v>--</v>
      </c>
      <c r="U36" s="724" t="str">
        <f t="shared" si="9"/>
        <v>--</v>
      </c>
      <c r="V36" s="725" t="str">
        <f t="shared" si="10"/>
        <v>--</v>
      </c>
      <c r="W36" s="726" t="str">
        <f t="shared" si="11"/>
        <v>--</v>
      </c>
      <c r="X36" s="727" t="str">
        <f t="shared" si="12"/>
        <v>--</v>
      </c>
      <c r="Y36" s="728" t="str">
        <f t="shared" si="13"/>
        <v>--</v>
      </c>
      <c r="Z36" s="729">
        <f t="shared" si="14"/>
      </c>
      <c r="AA36" s="49">
        <f t="shared" si="15"/>
      </c>
      <c r="AB36" s="3"/>
    </row>
    <row r="37" spans="1:28" ht="16.5" customHeight="1">
      <c r="A37" s="1"/>
      <c r="B37" s="2"/>
      <c r="C37" s="520"/>
      <c r="D37" s="520"/>
      <c r="E37" s="520"/>
      <c r="F37" s="521"/>
      <c r="G37" s="522"/>
      <c r="H37" s="523"/>
      <c r="I37" s="278">
        <f t="shared" si="2"/>
        <v>17.4305</v>
      </c>
      <c r="J37" s="528"/>
      <c r="K37" s="528"/>
      <c r="L37" s="13">
        <f t="shared" si="3"/>
      </c>
      <c r="M37" s="14">
        <f t="shared" si="4"/>
      </c>
      <c r="N37" s="529"/>
      <c r="O37" s="718">
        <f t="shared" si="0"/>
      </c>
      <c r="P37" s="719" t="str">
        <f t="shared" si="5"/>
        <v>--</v>
      </c>
      <c r="Q37" s="720" t="str">
        <f t="shared" si="6"/>
        <v>--</v>
      </c>
      <c r="R37" s="721" t="str">
        <f t="shared" si="7"/>
        <v>--</v>
      </c>
      <c r="S37" s="722" t="str">
        <f t="shared" si="8"/>
        <v>--</v>
      </c>
      <c r="T37" s="723" t="str">
        <f t="shared" si="1"/>
        <v>--</v>
      </c>
      <c r="U37" s="724" t="str">
        <f t="shared" si="9"/>
        <v>--</v>
      </c>
      <c r="V37" s="725" t="str">
        <f t="shared" si="10"/>
        <v>--</v>
      </c>
      <c r="W37" s="726" t="str">
        <f t="shared" si="11"/>
        <v>--</v>
      </c>
      <c r="X37" s="727" t="str">
        <f t="shared" si="12"/>
        <v>--</v>
      </c>
      <c r="Y37" s="728" t="str">
        <f t="shared" si="13"/>
        <v>--</v>
      </c>
      <c r="Z37" s="729">
        <f t="shared" si="14"/>
      </c>
      <c r="AA37" s="49">
        <f t="shared" si="15"/>
      </c>
      <c r="AB37" s="3"/>
    </row>
    <row r="38" spans="2:28" ht="16.5" customHeight="1">
      <c r="B38" s="50"/>
      <c r="C38" s="520"/>
      <c r="D38" s="520"/>
      <c r="E38" s="520"/>
      <c r="F38" s="521"/>
      <c r="G38" s="522"/>
      <c r="H38" s="523"/>
      <c r="I38" s="278">
        <f t="shared" si="2"/>
        <v>17.4305</v>
      </c>
      <c r="J38" s="528"/>
      <c r="K38" s="528"/>
      <c r="L38" s="13">
        <f t="shared" si="3"/>
      </c>
      <c r="M38" s="14">
        <f t="shared" si="4"/>
      </c>
      <c r="N38" s="529"/>
      <c r="O38" s="718">
        <f t="shared" si="0"/>
      </c>
      <c r="P38" s="719" t="str">
        <f t="shared" si="5"/>
        <v>--</v>
      </c>
      <c r="Q38" s="720" t="str">
        <f t="shared" si="6"/>
        <v>--</v>
      </c>
      <c r="R38" s="721" t="str">
        <f t="shared" si="7"/>
        <v>--</v>
      </c>
      <c r="S38" s="722" t="str">
        <f t="shared" si="8"/>
        <v>--</v>
      </c>
      <c r="T38" s="723" t="str">
        <f t="shared" si="1"/>
        <v>--</v>
      </c>
      <c r="U38" s="724" t="str">
        <f t="shared" si="9"/>
        <v>--</v>
      </c>
      <c r="V38" s="725" t="str">
        <f t="shared" si="10"/>
        <v>--</v>
      </c>
      <c r="W38" s="726" t="str">
        <f t="shared" si="11"/>
        <v>--</v>
      </c>
      <c r="X38" s="727" t="str">
        <f t="shared" si="12"/>
        <v>--</v>
      </c>
      <c r="Y38" s="728" t="str">
        <f t="shared" si="13"/>
        <v>--</v>
      </c>
      <c r="Z38" s="729">
        <f t="shared" si="14"/>
      </c>
      <c r="AA38" s="49">
        <f t="shared" si="15"/>
      </c>
      <c r="AB38" s="3"/>
    </row>
    <row r="39" spans="2:28" ht="16.5" customHeight="1">
      <c r="B39" s="50"/>
      <c r="C39" s="520"/>
      <c r="D39" s="520"/>
      <c r="E39" s="520"/>
      <c r="F39" s="521"/>
      <c r="G39" s="522"/>
      <c r="H39" s="523"/>
      <c r="I39" s="278">
        <f t="shared" si="2"/>
        <v>17.4305</v>
      </c>
      <c r="J39" s="528"/>
      <c r="K39" s="528"/>
      <c r="L39" s="13">
        <f t="shared" si="3"/>
      </c>
      <c r="M39" s="14">
        <f t="shared" si="4"/>
      </c>
      <c r="N39" s="529"/>
      <c r="O39" s="718">
        <f t="shared" si="0"/>
      </c>
      <c r="P39" s="719" t="str">
        <f t="shared" si="5"/>
        <v>--</v>
      </c>
      <c r="Q39" s="720" t="str">
        <f t="shared" si="6"/>
        <v>--</v>
      </c>
      <c r="R39" s="721" t="str">
        <f t="shared" si="7"/>
        <v>--</v>
      </c>
      <c r="S39" s="722" t="str">
        <f t="shared" si="8"/>
        <v>--</v>
      </c>
      <c r="T39" s="723" t="str">
        <f t="shared" si="1"/>
        <v>--</v>
      </c>
      <c r="U39" s="724" t="str">
        <f t="shared" si="9"/>
        <v>--</v>
      </c>
      <c r="V39" s="725" t="str">
        <f t="shared" si="10"/>
        <v>--</v>
      </c>
      <c r="W39" s="726" t="str">
        <f t="shared" si="11"/>
        <v>--</v>
      </c>
      <c r="X39" s="727" t="str">
        <f t="shared" si="12"/>
        <v>--</v>
      </c>
      <c r="Y39" s="728" t="str">
        <f t="shared" si="13"/>
        <v>--</v>
      </c>
      <c r="Z39" s="729">
        <f t="shared" si="14"/>
      </c>
      <c r="AA39" s="49">
        <f t="shared" si="15"/>
      </c>
      <c r="AB39" s="3"/>
    </row>
    <row r="40" spans="2:28" ht="16.5" customHeight="1">
      <c r="B40" s="50"/>
      <c r="C40" s="520"/>
      <c r="D40" s="520"/>
      <c r="E40" s="520"/>
      <c r="F40" s="521"/>
      <c r="G40" s="522"/>
      <c r="H40" s="523"/>
      <c r="I40" s="278">
        <f t="shared" si="2"/>
        <v>17.4305</v>
      </c>
      <c r="J40" s="528"/>
      <c r="K40" s="528"/>
      <c r="L40" s="13">
        <f t="shared" si="3"/>
      </c>
      <c r="M40" s="14">
        <f t="shared" si="4"/>
      </c>
      <c r="N40" s="529"/>
      <c r="O40" s="718">
        <f t="shared" si="0"/>
      </c>
      <c r="P40" s="719" t="str">
        <f t="shared" si="5"/>
        <v>--</v>
      </c>
      <c r="Q40" s="720" t="str">
        <f t="shared" si="6"/>
        <v>--</v>
      </c>
      <c r="R40" s="721" t="str">
        <f t="shared" si="7"/>
        <v>--</v>
      </c>
      <c r="S40" s="722" t="str">
        <f t="shared" si="8"/>
        <v>--</v>
      </c>
      <c r="T40" s="723" t="str">
        <f t="shared" si="1"/>
        <v>--</v>
      </c>
      <c r="U40" s="724" t="str">
        <f t="shared" si="9"/>
        <v>--</v>
      </c>
      <c r="V40" s="725" t="str">
        <f t="shared" si="10"/>
        <v>--</v>
      </c>
      <c r="W40" s="726" t="str">
        <f t="shared" si="11"/>
        <v>--</v>
      </c>
      <c r="X40" s="727" t="str">
        <f t="shared" si="12"/>
        <v>--</v>
      </c>
      <c r="Y40" s="728" t="str">
        <f t="shared" si="13"/>
        <v>--</v>
      </c>
      <c r="Z40" s="729">
        <f t="shared" si="14"/>
      </c>
      <c r="AA40" s="49">
        <f t="shared" si="15"/>
      </c>
      <c r="AB40" s="3"/>
    </row>
    <row r="41" spans="2:28" ht="16.5" customHeight="1">
      <c r="B41" s="50"/>
      <c r="C41" s="520"/>
      <c r="D41" s="520"/>
      <c r="E41" s="520"/>
      <c r="F41" s="521"/>
      <c r="G41" s="522"/>
      <c r="H41" s="523"/>
      <c r="I41" s="278">
        <f t="shared" si="2"/>
        <v>17.4305</v>
      </c>
      <c r="J41" s="528"/>
      <c r="K41" s="528"/>
      <c r="L41" s="13">
        <f t="shared" si="3"/>
      </c>
      <c r="M41" s="14">
        <f t="shared" si="4"/>
      </c>
      <c r="N41" s="529"/>
      <c r="O41" s="718">
        <f t="shared" si="0"/>
      </c>
      <c r="P41" s="719" t="str">
        <f t="shared" si="5"/>
        <v>--</v>
      </c>
      <c r="Q41" s="720" t="str">
        <f t="shared" si="6"/>
        <v>--</v>
      </c>
      <c r="R41" s="721" t="str">
        <f t="shared" si="7"/>
        <v>--</v>
      </c>
      <c r="S41" s="722" t="str">
        <f t="shared" si="8"/>
        <v>--</v>
      </c>
      <c r="T41" s="723" t="str">
        <f t="shared" si="1"/>
        <v>--</v>
      </c>
      <c r="U41" s="724" t="str">
        <f t="shared" si="9"/>
        <v>--</v>
      </c>
      <c r="V41" s="725" t="str">
        <f t="shared" si="10"/>
        <v>--</v>
      </c>
      <c r="W41" s="726" t="str">
        <f t="shared" si="11"/>
        <v>--</v>
      </c>
      <c r="X41" s="727" t="str">
        <f t="shared" si="12"/>
        <v>--</v>
      </c>
      <c r="Y41" s="728" t="str">
        <f t="shared" si="13"/>
        <v>--</v>
      </c>
      <c r="Z41" s="729">
        <f t="shared" si="14"/>
      </c>
      <c r="AA41" s="49">
        <f t="shared" si="15"/>
      </c>
      <c r="AB41" s="3"/>
    </row>
    <row r="42" spans="1:28" ht="16.5" customHeight="1" thickBot="1">
      <c r="A42" s="1"/>
      <c r="B42" s="2"/>
      <c r="C42" s="524"/>
      <c r="D42" s="524"/>
      <c r="E42" s="524"/>
      <c r="F42" s="525"/>
      <c r="G42" s="526"/>
      <c r="H42" s="527"/>
      <c r="I42" s="279"/>
      <c r="J42" s="527"/>
      <c r="K42" s="527"/>
      <c r="L42" s="15"/>
      <c r="M42" s="15"/>
      <c r="N42" s="527"/>
      <c r="O42" s="530"/>
      <c r="P42" s="531"/>
      <c r="Q42" s="532"/>
      <c r="R42" s="533"/>
      <c r="S42" s="534"/>
      <c r="T42" s="535"/>
      <c r="U42" s="536"/>
      <c r="V42" s="537"/>
      <c r="W42" s="538"/>
      <c r="X42" s="539"/>
      <c r="Y42" s="540"/>
      <c r="Z42" s="541"/>
      <c r="AA42" s="51"/>
      <c r="AB42" s="3"/>
    </row>
    <row r="43" spans="1:28" ht="16.5" customHeight="1" thickBot="1" thickTop="1">
      <c r="A43" s="1"/>
      <c r="B43" s="2"/>
      <c r="C43" s="249" t="s">
        <v>65</v>
      </c>
      <c r="D43" s="829" t="s">
        <v>179</v>
      </c>
      <c r="E43" s="713"/>
      <c r="F43" s="250"/>
      <c r="G43" s="16"/>
      <c r="H43" s="17"/>
      <c r="I43" s="52"/>
      <c r="J43" s="52"/>
      <c r="K43" s="52"/>
      <c r="L43" s="52"/>
      <c r="M43" s="52"/>
      <c r="N43" s="52"/>
      <c r="O43" s="53"/>
      <c r="P43" s="333">
        <f aca="true" t="shared" si="16" ref="P43:Y43">ROUND(SUM(P20:P42),2)</f>
        <v>0</v>
      </c>
      <c r="Q43" s="334">
        <f t="shared" si="16"/>
        <v>0</v>
      </c>
      <c r="R43" s="335">
        <f t="shared" si="16"/>
        <v>4340.19</v>
      </c>
      <c r="S43" s="335">
        <f t="shared" si="16"/>
        <v>13020.58</v>
      </c>
      <c r="T43" s="336">
        <f t="shared" si="16"/>
        <v>1519.07</v>
      </c>
      <c r="U43" s="337">
        <f t="shared" si="16"/>
        <v>0</v>
      </c>
      <c r="V43" s="337">
        <f t="shared" si="16"/>
        <v>0</v>
      </c>
      <c r="W43" s="338">
        <f t="shared" si="16"/>
        <v>0</v>
      </c>
      <c r="X43" s="339">
        <f t="shared" si="16"/>
        <v>0</v>
      </c>
      <c r="Y43" s="340">
        <f t="shared" si="16"/>
        <v>0</v>
      </c>
      <c r="Z43" s="54"/>
      <c r="AA43" s="717">
        <f>ROUND(SUM(AA20:AA42),2)</f>
        <v>18879.85</v>
      </c>
      <c r="AB43" s="55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workbookViewId="0" topLeftCell="A1">
      <selection activeCell="I42" sqref="I42"/>
    </sheetView>
  </sheetViews>
  <sheetFormatPr defaultColWidth="11.421875" defaultRowHeight="12.75"/>
  <cols>
    <col min="1" max="2" width="4.140625" style="653" customWidth="1"/>
    <col min="3" max="3" width="5.57421875" style="653" customWidth="1"/>
    <col min="4" max="5" width="13.7109375" style="653" customWidth="1"/>
    <col min="6" max="6" width="28.7109375" style="653" customWidth="1"/>
    <col min="7" max="7" width="27.140625" style="653" customWidth="1"/>
    <col min="8" max="8" width="7.7109375" style="653" customWidth="1"/>
    <col min="9" max="9" width="12.7109375" style="653" customWidth="1"/>
    <col min="10" max="10" width="11.8515625" style="653" hidden="1" customWidth="1"/>
    <col min="11" max="12" width="15.7109375" style="653" customWidth="1"/>
    <col min="13" max="15" width="9.7109375" style="653" customWidth="1"/>
    <col min="16" max="16" width="5.8515625" style="653" customWidth="1"/>
    <col min="17" max="18" width="7.00390625" style="653" customWidth="1"/>
    <col min="19" max="19" width="11.7109375" style="653" hidden="1" customWidth="1"/>
    <col min="20" max="21" width="14.00390625" style="653" hidden="1" customWidth="1"/>
    <col min="22" max="22" width="14.28125" style="653" hidden="1" customWidth="1"/>
    <col min="23" max="27" width="14.140625" style="653" hidden="1" customWidth="1"/>
    <col min="28" max="28" width="9.00390625" style="653" customWidth="1"/>
    <col min="29" max="29" width="15.7109375" style="653" customWidth="1"/>
    <col min="30" max="30" width="4.140625" style="653" customWidth="1"/>
    <col min="31" max="16384" width="11.421875" style="653" customWidth="1"/>
  </cols>
  <sheetData>
    <row r="1" spans="1:30" s="559" customFormat="1" ht="26.25">
      <c r="A1" s="113"/>
      <c r="B1" s="113"/>
      <c r="C1" s="113"/>
      <c r="D1" s="113"/>
      <c r="E1" s="113"/>
      <c r="F1" s="113"/>
      <c r="G1" s="113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8"/>
    </row>
    <row r="2" spans="1:30" s="559" customFormat="1" ht="26.25">
      <c r="A2" s="113"/>
      <c r="B2" s="114" t="str">
        <f>+'TOT-0611'!B2</f>
        <v>ANEXO VI al Memorandum D.T.E.E. N°482 / 2012 </v>
      </c>
      <c r="C2" s="115"/>
      <c r="D2" s="115"/>
      <c r="E2" s="115"/>
      <c r="F2" s="115"/>
      <c r="G2" s="115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</row>
    <row r="3" spans="1:30" s="562" customFormat="1" ht="12.75">
      <c r="A3" s="11"/>
      <c r="B3" s="11"/>
      <c r="C3" s="11"/>
      <c r="D3" s="11"/>
      <c r="E3" s="11"/>
      <c r="F3" s="11"/>
      <c r="G3" s="1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</row>
    <row r="4" spans="1:30" s="564" customFormat="1" ht="11.25">
      <c r="A4" s="716" t="s">
        <v>20</v>
      </c>
      <c r="B4" s="116"/>
      <c r="C4" s="715"/>
      <c r="D4" s="715"/>
      <c r="E4" s="715"/>
      <c r="F4" s="116"/>
      <c r="G4" s="116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</row>
    <row r="5" spans="1:30" s="564" customFormat="1" ht="11.25">
      <c r="A5" s="716" t="s">
        <v>139</v>
      </c>
      <c r="B5" s="116"/>
      <c r="C5" s="715"/>
      <c r="D5" s="715"/>
      <c r="E5" s="715"/>
      <c r="F5" s="116"/>
      <c r="G5" s="116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</row>
    <row r="6" spans="1:30" s="562" customFormat="1" ht="13.5" thickBot="1">
      <c r="A6" s="561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</row>
    <row r="7" spans="1:30" s="562" customFormat="1" ht="13.5" thickTop="1">
      <c r="A7" s="561"/>
      <c r="B7" s="565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7"/>
    </row>
    <row r="8" spans="1:30" s="571" customFormat="1" ht="20.25">
      <c r="A8" s="568"/>
      <c r="B8" s="569"/>
      <c r="C8" s="196"/>
      <c r="D8" s="196"/>
      <c r="E8" s="196"/>
      <c r="F8" s="570" t="s">
        <v>41</v>
      </c>
      <c r="H8" s="196"/>
      <c r="I8" s="568"/>
      <c r="J8" s="568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572"/>
    </row>
    <row r="9" spans="1:30" s="562" customFormat="1" ht="12.75">
      <c r="A9" s="561"/>
      <c r="B9" s="573"/>
      <c r="C9" s="183"/>
      <c r="D9" s="183"/>
      <c r="E9" s="183"/>
      <c r="F9" s="183"/>
      <c r="G9" s="183"/>
      <c r="H9" s="183"/>
      <c r="I9" s="561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574"/>
    </row>
    <row r="10" spans="1:30" s="571" customFormat="1" ht="20.25">
      <c r="A10" s="568"/>
      <c r="B10" s="569"/>
      <c r="C10" s="196"/>
      <c r="D10" s="196"/>
      <c r="E10" s="196"/>
      <c r="F10" s="570" t="s">
        <v>66</v>
      </c>
      <c r="G10" s="196"/>
      <c r="H10" s="196"/>
      <c r="I10" s="568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572"/>
    </row>
    <row r="11" spans="1:30" s="562" customFormat="1" ht="12.75">
      <c r="A11" s="561"/>
      <c r="B11" s="573"/>
      <c r="C11" s="183"/>
      <c r="D11" s="183"/>
      <c r="E11" s="183"/>
      <c r="F11" s="575"/>
      <c r="G11" s="183"/>
      <c r="H11" s="183"/>
      <c r="I11" s="561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574"/>
    </row>
    <row r="12" spans="1:30" s="571" customFormat="1" ht="20.25">
      <c r="A12" s="568"/>
      <c r="B12" s="569"/>
      <c r="C12" s="196"/>
      <c r="D12" s="196"/>
      <c r="E12" s="196"/>
      <c r="F12" s="570" t="s">
        <v>67</v>
      </c>
      <c r="G12" s="576"/>
      <c r="H12" s="568"/>
      <c r="I12" s="568"/>
      <c r="J12" s="196"/>
      <c r="K12" s="196"/>
      <c r="L12" s="568"/>
      <c r="M12" s="568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572"/>
    </row>
    <row r="13" spans="1:30" s="562" customFormat="1" ht="12.75">
      <c r="A13" s="561"/>
      <c r="B13" s="573"/>
      <c r="C13" s="183"/>
      <c r="D13" s="183"/>
      <c r="E13" s="183"/>
      <c r="F13" s="577"/>
      <c r="G13" s="578"/>
      <c r="H13" s="561"/>
      <c r="I13" s="561"/>
      <c r="J13" s="183"/>
      <c r="K13" s="183"/>
      <c r="L13" s="561"/>
      <c r="M13" s="561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574"/>
    </row>
    <row r="14" spans="1:30" s="571" customFormat="1" ht="20.25">
      <c r="A14" s="568"/>
      <c r="B14" s="569"/>
      <c r="C14" s="196"/>
      <c r="D14" s="196"/>
      <c r="E14" s="196"/>
      <c r="F14" s="570" t="s">
        <v>68</v>
      </c>
      <c r="G14" s="197"/>
      <c r="H14" s="197"/>
      <c r="I14" s="198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572"/>
    </row>
    <row r="15" spans="1:30" s="562" customFormat="1" ht="12.75">
      <c r="A15" s="561"/>
      <c r="B15" s="573"/>
      <c r="C15" s="183"/>
      <c r="D15" s="183"/>
      <c r="E15" s="183"/>
      <c r="F15" s="579"/>
      <c r="G15" s="184"/>
      <c r="H15" s="184"/>
      <c r="I15" s="185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574"/>
    </row>
    <row r="16" spans="1:30" s="585" customFormat="1" ht="19.5">
      <c r="A16" s="580"/>
      <c r="B16" s="93" t="str">
        <f>+'TOT-0611'!B14</f>
        <v>Desde el 01 al 30 de junio de 2011</v>
      </c>
      <c r="C16" s="581"/>
      <c r="D16" s="581"/>
      <c r="E16" s="581"/>
      <c r="F16" s="581"/>
      <c r="G16" s="581"/>
      <c r="H16" s="581"/>
      <c r="I16" s="582"/>
      <c r="J16" s="581"/>
      <c r="K16" s="583"/>
      <c r="L16" s="583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4"/>
    </row>
    <row r="17" spans="1:30" s="562" customFormat="1" ht="14.25" thickBot="1">
      <c r="A17" s="561"/>
      <c r="B17" s="573"/>
      <c r="C17" s="183"/>
      <c r="D17" s="183"/>
      <c r="E17" s="183"/>
      <c r="F17" s="183"/>
      <c r="G17" s="183"/>
      <c r="H17" s="183"/>
      <c r="I17" s="31"/>
      <c r="J17" s="183"/>
      <c r="K17" s="586"/>
      <c r="L17" s="587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574"/>
    </row>
    <row r="18" spans="1:30" s="562" customFormat="1" ht="16.5" customHeight="1" thickBot="1" thickTop="1">
      <c r="A18" s="561"/>
      <c r="B18" s="573"/>
      <c r="C18" s="183"/>
      <c r="D18" s="183"/>
      <c r="E18" s="183"/>
      <c r="F18" s="203" t="s">
        <v>69</v>
      </c>
      <c r="G18" s="204"/>
      <c r="H18" s="588"/>
      <c r="I18" s="589">
        <v>0.243</v>
      </c>
      <c r="J18" s="561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574"/>
    </row>
    <row r="19" spans="1:30" s="562" customFormat="1" ht="16.5" customHeight="1" thickBot="1" thickTop="1">
      <c r="A19" s="561"/>
      <c r="B19" s="573"/>
      <c r="C19" s="183"/>
      <c r="D19" s="183"/>
      <c r="E19" s="183"/>
      <c r="F19" s="207" t="s">
        <v>70</v>
      </c>
      <c r="G19" s="208"/>
      <c r="H19" s="208"/>
      <c r="I19" s="209">
        <v>30</v>
      </c>
      <c r="J19" s="183"/>
      <c r="K19" s="244" t="str">
        <f>IF(I19=30," ",IF(I19=60,"Coeficiente duplicado por tasa de falla &gt;4 Sal. x año/100 km.","REVISAR COEFICIENTE"))</f>
        <v> 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590"/>
      <c r="X19" s="590"/>
      <c r="Y19" s="590"/>
      <c r="Z19" s="590"/>
      <c r="AA19" s="590"/>
      <c r="AB19" s="590"/>
      <c r="AC19" s="590"/>
      <c r="AD19" s="574"/>
    </row>
    <row r="20" spans="1:30" s="747" customFormat="1" ht="16.5" customHeight="1" thickBot="1" thickTop="1">
      <c r="A20" s="743"/>
      <c r="B20" s="744"/>
      <c r="C20" s="745">
        <v>3</v>
      </c>
      <c r="D20" s="745">
        <v>4</v>
      </c>
      <c r="E20" s="745">
        <v>5</v>
      </c>
      <c r="F20" s="745">
        <v>6</v>
      </c>
      <c r="G20" s="745">
        <v>7</v>
      </c>
      <c r="H20" s="745">
        <v>8</v>
      </c>
      <c r="I20" s="745">
        <v>9</v>
      </c>
      <c r="J20" s="745">
        <v>10</v>
      </c>
      <c r="K20" s="745">
        <v>11</v>
      </c>
      <c r="L20" s="745">
        <v>12</v>
      </c>
      <c r="M20" s="745">
        <v>13</v>
      </c>
      <c r="N20" s="745">
        <v>14</v>
      </c>
      <c r="O20" s="745">
        <v>15</v>
      </c>
      <c r="P20" s="745">
        <v>16</v>
      </c>
      <c r="Q20" s="745">
        <v>17</v>
      </c>
      <c r="R20" s="745">
        <v>18</v>
      </c>
      <c r="S20" s="745">
        <v>19</v>
      </c>
      <c r="T20" s="745">
        <v>20</v>
      </c>
      <c r="U20" s="745">
        <v>21</v>
      </c>
      <c r="V20" s="745">
        <v>22</v>
      </c>
      <c r="W20" s="745">
        <v>23</v>
      </c>
      <c r="X20" s="745">
        <v>24</v>
      </c>
      <c r="Y20" s="745">
        <v>25</v>
      </c>
      <c r="Z20" s="745">
        <v>26</v>
      </c>
      <c r="AA20" s="745">
        <v>27</v>
      </c>
      <c r="AB20" s="745">
        <v>28</v>
      </c>
      <c r="AC20" s="745">
        <v>29</v>
      </c>
      <c r="AD20" s="746"/>
    </row>
    <row r="21" spans="1:30" s="600" customFormat="1" ht="33.75" customHeight="1" thickBot="1" thickTop="1">
      <c r="A21" s="591"/>
      <c r="B21" s="592"/>
      <c r="C21" s="219" t="s">
        <v>47</v>
      </c>
      <c r="D21" s="105" t="s">
        <v>138</v>
      </c>
      <c r="E21" s="105" t="s">
        <v>137</v>
      </c>
      <c r="F21" s="218" t="s">
        <v>71</v>
      </c>
      <c r="G21" s="214" t="s">
        <v>18</v>
      </c>
      <c r="H21" s="215" t="s">
        <v>72</v>
      </c>
      <c r="I21" s="218" t="s">
        <v>48</v>
      </c>
      <c r="J21" s="276" t="s">
        <v>50</v>
      </c>
      <c r="K21" s="217" t="s">
        <v>73</v>
      </c>
      <c r="L21" s="217" t="s">
        <v>74</v>
      </c>
      <c r="M21" s="218" t="s">
        <v>75</v>
      </c>
      <c r="N21" s="218" t="s">
        <v>76</v>
      </c>
      <c r="O21" s="109" t="s">
        <v>55</v>
      </c>
      <c r="P21" s="219" t="s">
        <v>77</v>
      </c>
      <c r="Q21" s="218" t="s">
        <v>78</v>
      </c>
      <c r="R21" s="214" t="s">
        <v>79</v>
      </c>
      <c r="S21" s="341" t="s">
        <v>80</v>
      </c>
      <c r="T21" s="593" t="s">
        <v>57</v>
      </c>
      <c r="U21" s="594" t="s">
        <v>58</v>
      </c>
      <c r="V21" s="356" t="s">
        <v>81</v>
      </c>
      <c r="W21" s="595"/>
      <c r="X21" s="365" t="s">
        <v>81</v>
      </c>
      <c r="Y21" s="596"/>
      <c r="Z21" s="597" t="s">
        <v>61</v>
      </c>
      <c r="AA21" s="598" t="s">
        <v>62</v>
      </c>
      <c r="AB21" s="218" t="s">
        <v>63</v>
      </c>
      <c r="AC21" s="218" t="s">
        <v>64</v>
      </c>
      <c r="AD21" s="599"/>
    </row>
    <row r="22" spans="1:30" s="562" customFormat="1" ht="16.5" customHeight="1" thickTop="1">
      <c r="A22" s="561"/>
      <c r="B22" s="573"/>
      <c r="C22" s="601"/>
      <c r="D22" s="601"/>
      <c r="E22" s="601"/>
      <c r="F22" s="602"/>
      <c r="G22" s="603"/>
      <c r="H22" s="603"/>
      <c r="I22" s="603"/>
      <c r="J22" s="604"/>
      <c r="K22" s="602"/>
      <c r="L22" s="603"/>
      <c r="M22" s="602"/>
      <c r="N22" s="602"/>
      <c r="O22" s="603"/>
      <c r="P22" s="603"/>
      <c r="Q22" s="603"/>
      <c r="R22" s="603"/>
      <c r="S22" s="605"/>
      <c r="T22" s="606"/>
      <c r="U22" s="607"/>
      <c r="V22" s="608"/>
      <c r="W22" s="609"/>
      <c r="X22" s="610"/>
      <c r="Y22" s="611"/>
      <c r="Z22" s="612"/>
      <c r="AA22" s="613"/>
      <c r="AB22" s="603"/>
      <c r="AC22" s="614"/>
      <c r="AD22" s="574"/>
    </row>
    <row r="23" spans="1:30" s="562" customFormat="1" ht="16.5" customHeight="1">
      <c r="A23" s="561"/>
      <c r="B23" s="573"/>
      <c r="C23" s="601"/>
      <c r="D23" s="601"/>
      <c r="E23" s="601"/>
      <c r="F23" s="615"/>
      <c r="G23" s="615"/>
      <c r="H23" s="615"/>
      <c r="I23" s="615"/>
      <c r="J23" s="616"/>
      <c r="K23" s="617"/>
      <c r="L23" s="615"/>
      <c r="M23" s="617"/>
      <c r="N23" s="617"/>
      <c r="O23" s="615"/>
      <c r="P23" s="615"/>
      <c r="Q23" s="615"/>
      <c r="R23" s="615"/>
      <c r="S23" s="618"/>
      <c r="T23" s="619"/>
      <c r="U23" s="620"/>
      <c r="V23" s="621"/>
      <c r="W23" s="622"/>
      <c r="X23" s="623"/>
      <c r="Y23" s="624"/>
      <c r="Z23" s="625"/>
      <c r="AA23" s="626"/>
      <c r="AB23" s="615"/>
      <c r="AC23" s="627"/>
      <c r="AD23" s="574"/>
    </row>
    <row r="24" spans="1:30" s="562" customFormat="1" ht="16.5" customHeight="1">
      <c r="A24" s="561"/>
      <c r="B24" s="573"/>
      <c r="C24" s="656">
        <v>4</v>
      </c>
      <c r="D24" s="656">
        <v>235810</v>
      </c>
      <c r="E24" s="656">
        <v>1809</v>
      </c>
      <c r="F24" s="521" t="s">
        <v>150</v>
      </c>
      <c r="G24" s="520" t="s">
        <v>151</v>
      </c>
      <c r="H24" s="657">
        <v>30</v>
      </c>
      <c r="I24" s="709" t="s">
        <v>152</v>
      </c>
      <c r="J24" s="278">
        <f aca="true" t="shared" si="0" ref="J24:J43">H24*$I$18</f>
        <v>7.29</v>
      </c>
      <c r="K24" s="660">
        <v>40708.402083333334</v>
      </c>
      <c r="L24" s="660">
        <v>40708.47083333333</v>
      </c>
      <c r="M24" s="25">
        <f aca="true" t="shared" si="1" ref="M24:M43">IF(F24="","",(L24-K24)*24)</f>
        <v>1.6499999999650754</v>
      </c>
      <c r="N24" s="26">
        <f aca="true" t="shared" si="2" ref="N24:N43">IF(F24="","",ROUND((L24-K24)*24*60,0))</f>
        <v>99</v>
      </c>
      <c r="O24" s="661" t="s">
        <v>145</v>
      </c>
      <c r="P24" s="24" t="str">
        <f aca="true" t="shared" si="3" ref="P24:P43">IF(F24="","",IF(OR(O24="P",O24="RP"),"--","NO"))</f>
        <v>--</v>
      </c>
      <c r="Q24" s="730" t="str">
        <f aca="true" t="shared" si="4" ref="Q24:Q43">IF(F24="","","--")</f>
        <v>--</v>
      </c>
      <c r="R24" s="24" t="str">
        <f aca="true" t="shared" si="5" ref="R24:R43">IF(F24="","","NO")</f>
        <v>NO</v>
      </c>
      <c r="S24" s="343">
        <f aca="true" t="shared" si="6" ref="S24:S43">$I$19*IF(OR(O24="P",O24="RP"),0.1,1)*IF(R24="SI",1,0.1)</f>
        <v>0.30000000000000004</v>
      </c>
      <c r="T24" s="731">
        <f aca="true" t="shared" si="7" ref="T24:T43">IF(O24="P",J24*S24*ROUND(N24/60,2),"--")</f>
        <v>3.60855</v>
      </c>
      <c r="U24" s="732" t="str">
        <f aca="true" t="shared" si="8" ref="U24:U43">IF(O24="RP",J24*S24*ROUND(N24/60,2)*Q24/100,"--")</f>
        <v>--</v>
      </c>
      <c r="V24" s="362" t="str">
        <f aca="true" t="shared" si="9" ref="V24:V43">IF(AND(O24="F",P24="NO"),J24*S24,"--")</f>
        <v>--</v>
      </c>
      <c r="W24" s="363" t="str">
        <f aca="true" t="shared" si="10" ref="W24:W43">IF(O24="F",J24*S24*ROUND(N24/60,2),"--")</f>
        <v>--</v>
      </c>
      <c r="X24" s="371" t="str">
        <f aca="true" t="shared" si="11" ref="X24:X43">IF(AND(O24="R",P24="NO"),J24*S24*Q24/100,"--")</f>
        <v>--</v>
      </c>
      <c r="Y24" s="372" t="str">
        <f aca="true" t="shared" si="12" ref="Y24:Y43">IF(O24="R",J24*S24*ROUND(N24/60,2)*Q24/100,"--")</f>
        <v>--</v>
      </c>
      <c r="Z24" s="377" t="str">
        <f aca="true" t="shared" si="13" ref="Z24:Z43">IF(O24="RF",J24*S24*ROUND(N24/60,2),"--")</f>
        <v>--</v>
      </c>
      <c r="AA24" s="383" t="str">
        <f aca="true" t="shared" si="14" ref="AA24:AA43">IF(O24="RR",J24*S24*ROUND(N24/60,2)*Q24/100,"--")</f>
        <v>--</v>
      </c>
      <c r="AB24" s="24" t="s">
        <v>146</v>
      </c>
      <c r="AC24" s="628">
        <f aca="true" t="shared" si="15" ref="AC24:AC43">IF(F24="","",SUM(T24:AA24)*IF(AB24="SI",1,2))</f>
        <v>3.60855</v>
      </c>
      <c r="AD24" s="629"/>
    </row>
    <row r="25" spans="1:30" s="562" customFormat="1" ht="16.5" customHeight="1">
      <c r="A25" s="561"/>
      <c r="B25" s="573"/>
      <c r="C25" s="656">
        <v>5</v>
      </c>
      <c r="D25" s="656">
        <v>236020</v>
      </c>
      <c r="E25" s="656">
        <v>1794</v>
      </c>
      <c r="F25" s="521" t="s">
        <v>153</v>
      </c>
      <c r="G25" s="520" t="s">
        <v>154</v>
      </c>
      <c r="H25" s="657">
        <v>20</v>
      </c>
      <c r="I25" s="709" t="s">
        <v>155</v>
      </c>
      <c r="J25" s="278">
        <f t="shared" si="0"/>
        <v>4.859999999999999</v>
      </c>
      <c r="K25" s="660">
        <v>40717.40902777778</v>
      </c>
      <c r="L25" s="660">
        <v>40717.58472222222</v>
      </c>
      <c r="M25" s="25">
        <f t="shared" si="1"/>
        <v>4.21666666661622</v>
      </c>
      <c r="N25" s="26">
        <f t="shared" si="2"/>
        <v>253</v>
      </c>
      <c r="O25" s="661" t="s">
        <v>145</v>
      </c>
      <c r="P25" s="24" t="str">
        <f t="shared" si="3"/>
        <v>--</v>
      </c>
      <c r="Q25" s="730" t="str">
        <f t="shared" si="4"/>
        <v>--</v>
      </c>
      <c r="R25" s="24" t="str">
        <f t="shared" si="5"/>
        <v>NO</v>
      </c>
      <c r="S25" s="343">
        <f t="shared" si="6"/>
        <v>0.30000000000000004</v>
      </c>
      <c r="T25" s="731">
        <f t="shared" si="7"/>
        <v>6.15276</v>
      </c>
      <c r="U25" s="732" t="str">
        <f t="shared" si="8"/>
        <v>--</v>
      </c>
      <c r="V25" s="362" t="str">
        <f t="shared" si="9"/>
        <v>--</v>
      </c>
      <c r="W25" s="363" t="str">
        <f t="shared" si="10"/>
        <v>--</v>
      </c>
      <c r="X25" s="371" t="str">
        <f t="shared" si="11"/>
        <v>--</v>
      </c>
      <c r="Y25" s="372" t="str">
        <f t="shared" si="12"/>
        <v>--</v>
      </c>
      <c r="Z25" s="377" t="str">
        <f t="shared" si="13"/>
        <v>--</v>
      </c>
      <c r="AA25" s="383" t="str">
        <f t="shared" si="14"/>
        <v>--</v>
      </c>
      <c r="AB25" s="24" t="s">
        <v>146</v>
      </c>
      <c r="AC25" s="628">
        <f t="shared" si="15"/>
        <v>6.15276</v>
      </c>
      <c r="AD25" s="629"/>
    </row>
    <row r="26" spans="1:30" s="562" customFormat="1" ht="16.5" customHeight="1">
      <c r="A26" s="561"/>
      <c r="B26" s="573"/>
      <c r="C26" s="656"/>
      <c r="D26" s="656"/>
      <c r="E26" s="656"/>
      <c r="F26" s="521"/>
      <c r="G26" s="520"/>
      <c r="H26" s="657"/>
      <c r="I26" s="658"/>
      <c r="J26" s="278">
        <f t="shared" si="0"/>
        <v>0</v>
      </c>
      <c r="K26" s="660"/>
      <c r="L26" s="660"/>
      <c r="M26" s="25">
        <f t="shared" si="1"/>
      </c>
      <c r="N26" s="26">
        <f t="shared" si="2"/>
      </c>
      <c r="O26" s="661"/>
      <c r="P26" s="24">
        <f t="shared" si="3"/>
      </c>
      <c r="Q26" s="730">
        <f t="shared" si="4"/>
      </c>
      <c r="R26" s="24">
        <f t="shared" si="5"/>
      </c>
      <c r="S26" s="343">
        <f t="shared" si="6"/>
        <v>3</v>
      </c>
      <c r="T26" s="731" t="str">
        <f t="shared" si="7"/>
        <v>--</v>
      </c>
      <c r="U26" s="732" t="str">
        <f t="shared" si="8"/>
        <v>--</v>
      </c>
      <c r="V26" s="362" t="str">
        <f t="shared" si="9"/>
        <v>--</v>
      </c>
      <c r="W26" s="363" t="str">
        <f t="shared" si="10"/>
        <v>--</v>
      </c>
      <c r="X26" s="371" t="str">
        <f t="shared" si="11"/>
        <v>--</v>
      </c>
      <c r="Y26" s="372" t="str">
        <f t="shared" si="12"/>
        <v>--</v>
      </c>
      <c r="Z26" s="377" t="str">
        <f t="shared" si="13"/>
        <v>--</v>
      </c>
      <c r="AA26" s="383" t="str">
        <f t="shared" si="14"/>
        <v>--</v>
      </c>
      <c r="AB26" s="24">
        <f aca="true" t="shared" si="16" ref="AB26:AB43">IF(F26="","","SI")</f>
      </c>
      <c r="AC26" s="628">
        <f t="shared" si="15"/>
      </c>
      <c r="AD26" s="629"/>
    </row>
    <row r="27" spans="1:30" s="562" customFormat="1" ht="16.5" customHeight="1">
      <c r="A27" s="561"/>
      <c r="B27" s="573"/>
      <c r="C27" s="656"/>
      <c r="D27" s="656"/>
      <c r="E27" s="656"/>
      <c r="F27" s="521"/>
      <c r="G27" s="520"/>
      <c r="H27" s="657"/>
      <c r="I27" s="658"/>
      <c r="J27" s="278">
        <f t="shared" si="0"/>
        <v>0</v>
      </c>
      <c r="K27" s="660"/>
      <c r="L27" s="660"/>
      <c r="M27" s="25">
        <f t="shared" si="1"/>
      </c>
      <c r="N27" s="26">
        <f t="shared" si="2"/>
      </c>
      <c r="O27" s="661"/>
      <c r="P27" s="24">
        <f t="shared" si="3"/>
      </c>
      <c r="Q27" s="730">
        <f t="shared" si="4"/>
      </c>
      <c r="R27" s="24">
        <f t="shared" si="5"/>
      </c>
      <c r="S27" s="343">
        <f t="shared" si="6"/>
        <v>3</v>
      </c>
      <c r="T27" s="731" t="str">
        <f t="shared" si="7"/>
        <v>--</v>
      </c>
      <c r="U27" s="732" t="str">
        <f t="shared" si="8"/>
        <v>--</v>
      </c>
      <c r="V27" s="362" t="str">
        <f t="shared" si="9"/>
        <v>--</v>
      </c>
      <c r="W27" s="363" t="str">
        <f t="shared" si="10"/>
        <v>--</v>
      </c>
      <c r="X27" s="371" t="str">
        <f t="shared" si="11"/>
        <v>--</v>
      </c>
      <c r="Y27" s="372" t="str">
        <f t="shared" si="12"/>
        <v>--</v>
      </c>
      <c r="Z27" s="377" t="str">
        <f t="shared" si="13"/>
        <v>--</v>
      </c>
      <c r="AA27" s="383" t="str">
        <f t="shared" si="14"/>
        <v>--</v>
      </c>
      <c r="AB27" s="24">
        <f t="shared" si="16"/>
      </c>
      <c r="AC27" s="628">
        <f t="shared" si="15"/>
      </c>
      <c r="AD27" s="629"/>
    </row>
    <row r="28" spans="1:30" s="562" customFormat="1" ht="16.5" customHeight="1">
      <c r="A28" s="561"/>
      <c r="B28" s="573"/>
      <c r="C28" s="656"/>
      <c r="D28" s="656"/>
      <c r="E28" s="656"/>
      <c r="F28" s="521"/>
      <c r="G28" s="520"/>
      <c r="H28" s="657"/>
      <c r="I28" s="658"/>
      <c r="J28" s="278">
        <f t="shared" si="0"/>
        <v>0</v>
      </c>
      <c r="K28" s="660"/>
      <c r="L28" s="660"/>
      <c r="M28" s="25">
        <f t="shared" si="1"/>
      </c>
      <c r="N28" s="26">
        <f t="shared" si="2"/>
      </c>
      <c r="O28" s="661"/>
      <c r="P28" s="24">
        <f t="shared" si="3"/>
      </c>
      <c r="Q28" s="730">
        <f t="shared" si="4"/>
      </c>
      <c r="R28" s="24">
        <f t="shared" si="5"/>
      </c>
      <c r="S28" s="343">
        <f t="shared" si="6"/>
        <v>3</v>
      </c>
      <c r="T28" s="731" t="str">
        <f t="shared" si="7"/>
        <v>--</v>
      </c>
      <c r="U28" s="732" t="str">
        <f t="shared" si="8"/>
        <v>--</v>
      </c>
      <c r="V28" s="362" t="str">
        <f t="shared" si="9"/>
        <v>--</v>
      </c>
      <c r="W28" s="363" t="str">
        <f t="shared" si="10"/>
        <v>--</v>
      </c>
      <c r="X28" s="371" t="str">
        <f t="shared" si="11"/>
        <v>--</v>
      </c>
      <c r="Y28" s="372" t="str">
        <f t="shared" si="12"/>
        <v>--</v>
      </c>
      <c r="Z28" s="377" t="str">
        <f t="shared" si="13"/>
        <v>--</v>
      </c>
      <c r="AA28" s="383" t="str">
        <f t="shared" si="14"/>
        <v>--</v>
      </c>
      <c r="AB28" s="24">
        <f t="shared" si="16"/>
      </c>
      <c r="AC28" s="628">
        <f t="shared" si="15"/>
      </c>
      <c r="AD28" s="629"/>
    </row>
    <row r="29" spans="1:30" s="562" customFormat="1" ht="16.5" customHeight="1">
      <c r="A29" s="561"/>
      <c r="B29" s="573"/>
      <c r="C29" s="656"/>
      <c r="D29" s="656"/>
      <c r="E29" s="656"/>
      <c r="F29" s="521"/>
      <c r="G29" s="520"/>
      <c r="H29" s="657"/>
      <c r="I29" s="658"/>
      <c r="J29" s="278">
        <f t="shared" si="0"/>
        <v>0</v>
      </c>
      <c r="K29" s="660"/>
      <c r="L29" s="660"/>
      <c r="M29" s="25">
        <f t="shared" si="1"/>
      </c>
      <c r="N29" s="26">
        <f t="shared" si="2"/>
      </c>
      <c r="O29" s="661"/>
      <c r="P29" s="24">
        <f t="shared" si="3"/>
      </c>
      <c r="Q29" s="730">
        <f t="shared" si="4"/>
      </c>
      <c r="R29" s="24">
        <f t="shared" si="5"/>
      </c>
      <c r="S29" s="343">
        <f t="shared" si="6"/>
        <v>3</v>
      </c>
      <c r="T29" s="731" t="str">
        <f t="shared" si="7"/>
        <v>--</v>
      </c>
      <c r="U29" s="732" t="str">
        <f t="shared" si="8"/>
        <v>--</v>
      </c>
      <c r="V29" s="362" t="str">
        <f t="shared" si="9"/>
        <v>--</v>
      </c>
      <c r="W29" s="363" t="str">
        <f t="shared" si="10"/>
        <v>--</v>
      </c>
      <c r="X29" s="371" t="str">
        <f t="shared" si="11"/>
        <v>--</v>
      </c>
      <c r="Y29" s="372" t="str">
        <f t="shared" si="12"/>
        <v>--</v>
      </c>
      <c r="Z29" s="377" t="str">
        <f t="shared" si="13"/>
        <v>--</v>
      </c>
      <c r="AA29" s="383" t="str">
        <f t="shared" si="14"/>
        <v>--</v>
      </c>
      <c r="AB29" s="24">
        <f t="shared" si="16"/>
      </c>
      <c r="AC29" s="628">
        <f t="shared" si="15"/>
      </c>
      <c r="AD29" s="629"/>
    </row>
    <row r="30" spans="1:30" s="562" customFormat="1" ht="16.5" customHeight="1">
      <c r="A30" s="561"/>
      <c r="B30" s="573"/>
      <c r="C30" s="656"/>
      <c r="D30" s="656"/>
      <c r="E30" s="656"/>
      <c r="F30" s="521"/>
      <c r="G30" s="520"/>
      <c r="H30" s="657"/>
      <c r="I30" s="709"/>
      <c r="J30" s="278">
        <f t="shared" si="0"/>
        <v>0</v>
      </c>
      <c r="K30" s="660"/>
      <c r="L30" s="660"/>
      <c r="M30" s="25">
        <f t="shared" si="1"/>
      </c>
      <c r="N30" s="26">
        <f t="shared" si="2"/>
      </c>
      <c r="O30" s="661"/>
      <c r="P30" s="24">
        <f t="shared" si="3"/>
      </c>
      <c r="Q30" s="730">
        <f t="shared" si="4"/>
      </c>
      <c r="R30" s="24">
        <f t="shared" si="5"/>
      </c>
      <c r="S30" s="343">
        <f t="shared" si="6"/>
        <v>3</v>
      </c>
      <c r="T30" s="731" t="str">
        <f t="shared" si="7"/>
        <v>--</v>
      </c>
      <c r="U30" s="732" t="str">
        <f t="shared" si="8"/>
        <v>--</v>
      </c>
      <c r="V30" s="362" t="str">
        <f t="shared" si="9"/>
        <v>--</v>
      </c>
      <c r="W30" s="363" t="str">
        <f t="shared" si="10"/>
        <v>--</v>
      </c>
      <c r="X30" s="371" t="str">
        <f t="shared" si="11"/>
        <v>--</v>
      </c>
      <c r="Y30" s="372" t="str">
        <f t="shared" si="12"/>
        <v>--</v>
      </c>
      <c r="Z30" s="377" t="str">
        <f t="shared" si="13"/>
        <v>--</v>
      </c>
      <c r="AA30" s="383" t="str">
        <f t="shared" si="14"/>
        <v>--</v>
      </c>
      <c r="AB30" s="24">
        <f t="shared" si="16"/>
      </c>
      <c r="AC30" s="628">
        <f t="shared" si="15"/>
      </c>
      <c r="AD30" s="629"/>
    </row>
    <row r="31" spans="1:30" s="562" customFormat="1" ht="16.5" customHeight="1">
      <c r="A31" s="561"/>
      <c r="B31" s="573"/>
      <c r="C31" s="656"/>
      <c r="D31" s="656"/>
      <c r="E31" s="656"/>
      <c r="F31" s="521"/>
      <c r="G31" s="520"/>
      <c r="H31" s="657"/>
      <c r="I31" s="658"/>
      <c r="J31" s="278">
        <f t="shared" si="0"/>
        <v>0</v>
      </c>
      <c r="K31" s="660"/>
      <c r="L31" s="660"/>
      <c r="M31" s="25">
        <f t="shared" si="1"/>
      </c>
      <c r="N31" s="26">
        <f t="shared" si="2"/>
      </c>
      <c r="O31" s="661"/>
      <c r="P31" s="24">
        <f t="shared" si="3"/>
      </c>
      <c r="Q31" s="730">
        <f t="shared" si="4"/>
      </c>
      <c r="R31" s="24">
        <f t="shared" si="5"/>
      </c>
      <c r="S31" s="343">
        <f t="shared" si="6"/>
        <v>3</v>
      </c>
      <c r="T31" s="731" t="str">
        <f t="shared" si="7"/>
        <v>--</v>
      </c>
      <c r="U31" s="732" t="str">
        <f t="shared" si="8"/>
        <v>--</v>
      </c>
      <c r="V31" s="362" t="str">
        <f t="shared" si="9"/>
        <v>--</v>
      </c>
      <c r="W31" s="363" t="str">
        <f t="shared" si="10"/>
        <v>--</v>
      </c>
      <c r="X31" s="371" t="str">
        <f t="shared" si="11"/>
        <v>--</v>
      </c>
      <c r="Y31" s="372" t="str">
        <f t="shared" si="12"/>
        <v>--</v>
      </c>
      <c r="Z31" s="377" t="str">
        <f t="shared" si="13"/>
        <v>--</v>
      </c>
      <c r="AA31" s="383" t="str">
        <f t="shared" si="14"/>
        <v>--</v>
      </c>
      <c r="AB31" s="24">
        <f t="shared" si="16"/>
      </c>
      <c r="AC31" s="628">
        <f t="shared" si="15"/>
      </c>
      <c r="AD31" s="629"/>
    </row>
    <row r="32" spans="1:30" s="562" customFormat="1" ht="16.5" customHeight="1">
      <c r="A32" s="561"/>
      <c r="B32" s="573"/>
      <c r="C32" s="656"/>
      <c r="D32" s="656"/>
      <c r="E32" s="656"/>
      <c r="F32" s="521"/>
      <c r="G32" s="520"/>
      <c r="H32" s="657"/>
      <c r="I32" s="658"/>
      <c r="J32" s="278">
        <f t="shared" si="0"/>
        <v>0</v>
      </c>
      <c r="K32" s="660"/>
      <c r="L32" s="660"/>
      <c r="M32" s="25">
        <f t="shared" si="1"/>
      </c>
      <c r="N32" s="26">
        <f t="shared" si="2"/>
      </c>
      <c r="O32" s="661"/>
      <c r="P32" s="24">
        <f t="shared" si="3"/>
      </c>
      <c r="Q32" s="730">
        <f t="shared" si="4"/>
      </c>
      <c r="R32" s="24">
        <f t="shared" si="5"/>
      </c>
      <c r="S32" s="343">
        <f t="shared" si="6"/>
        <v>3</v>
      </c>
      <c r="T32" s="731" t="str">
        <f t="shared" si="7"/>
        <v>--</v>
      </c>
      <c r="U32" s="732" t="str">
        <f t="shared" si="8"/>
        <v>--</v>
      </c>
      <c r="V32" s="362" t="str">
        <f t="shared" si="9"/>
        <v>--</v>
      </c>
      <c r="W32" s="363" t="str">
        <f t="shared" si="10"/>
        <v>--</v>
      </c>
      <c r="X32" s="371" t="str">
        <f t="shared" si="11"/>
        <v>--</v>
      </c>
      <c r="Y32" s="372" t="str">
        <f t="shared" si="12"/>
        <v>--</v>
      </c>
      <c r="Z32" s="377" t="str">
        <f t="shared" si="13"/>
        <v>--</v>
      </c>
      <c r="AA32" s="383" t="str">
        <f t="shared" si="14"/>
        <v>--</v>
      </c>
      <c r="AB32" s="24">
        <f t="shared" si="16"/>
      </c>
      <c r="AC32" s="628">
        <f t="shared" si="15"/>
      </c>
      <c r="AD32" s="574"/>
    </row>
    <row r="33" spans="1:30" s="562" customFormat="1" ht="16.5" customHeight="1">
      <c r="A33" s="561"/>
      <c r="B33" s="573"/>
      <c r="C33" s="656"/>
      <c r="D33" s="656"/>
      <c r="E33" s="656"/>
      <c r="F33" s="521"/>
      <c r="G33" s="520"/>
      <c r="H33" s="657"/>
      <c r="I33" s="658"/>
      <c r="J33" s="278">
        <f t="shared" si="0"/>
        <v>0</v>
      </c>
      <c r="K33" s="660"/>
      <c r="L33" s="660"/>
      <c r="M33" s="25">
        <f t="shared" si="1"/>
      </c>
      <c r="N33" s="26">
        <f t="shared" si="2"/>
      </c>
      <c r="O33" s="661"/>
      <c r="P33" s="24">
        <f t="shared" si="3"/>
      </c>
      <c r="Q33" s="730">
        <f t="shared" si="4"/>
      </c>
      <c r="R33" s="24">
        <f t="shared" si="5"/>
      </c>
      <c r="S33" s="343">
        <f t="shared" si="6"/>
        <v>3</v>
      </c>
      <c r="T33" s="731" t="str">
        <f t="shared" si="7"/>
        <v>--</v>
      </c>
      <c r="U33" s="732" t="str">
        <f t="shared" si="8"/>
        <v>--</v>
      </c>
      <c r="V33" s="362" t="str">
        <f t="shared" si="9"/>
        <v>--</v>
      </c>
      <c r="W33" s="363" t="str">
        <f t="shared" si="10"/>
        <v>--</v>
      </c>
      <c r="X33" s="371" t="str">
        <f t="shared" si="11"/>
        <v>--</v>
      </c>
      <c r="Y33" s="372" t="str">
        <f t="shared" si="12"/>
        <v>--</v>
      </c>
      <c r="Z33" s="377" t="str">
        <f t="shared" si="13"/>
        <v>--</v>
      </c>
      <c r="AA33" s="383" t="str">
        <f t="shared" si="14"/>
        <v>--</v>
      </c>
      <c r="AB33" s="24">
        <f t="shared" si="16"/>
      </c>
      <c r="AC33" s="628">
        <f t="shared" si="15"/>
      </c>
      <c r="AD33" s="574"/>
    </row>
    <row r="34" spans="1:30" s="562" customFormat="1" ht="16.5" customHeight="1">
      <c r="A34" s="561"/>
      <c r="B34" s="573"/>
      <c r="C34" s="656"/>
      <c r="D34" s="656"/>
      <c r="E34" s="656"/>
      <c r="F34" s="521"/>
      <c r="G34" s="520"/>
      <c r="H34" s="657"/>
      <c r="I34" s="658"/>
      <c r="J34" s="278">
        <f t="shared" si="0"/>
        <v>0</v>
      </c>
      <c r="K34" s="660"/>
      <c r="L34" s="660"/>
      <c r="M34" s="25">
        <f t="shared" si="1"/>
      </c>
      <c r="N34" s="26">
        <f t="shared" si="2"/>
      </c>
      <c r="O34" s="661"/>
      <c r="P34" s="24">
        <f t="shared" si="3"/>
      </c>
      <c r="Q34" s="730">
        <f t="shared" si="4"/>
      </c>
      <c r="R34" s="24">
        <f t="shared" si="5"/>
      </c>
      <c r="S34" s="343">
        <f t="shared" si="6"/>
        <v>3</v>
      </c>
      <c r="T34" s="731" t="str">
        <f t="shared" si="7"/>
        <v>--</v>
      </c>
      <c r="U34" s="732" t="str">
        <f t="shared" si="8"/>
        <v>--</v>
      </c>
      <c r="V34" s="362" t="str">
        <f t="shared" si="9"/>
        <v>--</v>
      </c>
      <c r="W34" s="363" t="str">
        <f t="shared" si="10"/>
        <v>--</v>
      </c>
      <c r="X34" s="371" t="str">
        <f t="shared" si="11"/>
        <v>--</v>
      </c>
      <c r="Y34" s="372" t="str">
        <f t="shared" si="12"/>
        <v>--</v>
      </c>
      <c r="Z34" s="377" t="str">
        <f t="shared" si="13"/>
        <v>--</v>
      </c>
      <c r="AA34" s="383" t="str">
        <f t="shared" si="14"/>
        <v>--</v>
      </c>
      <c r="AB34" s="24">
        <f t="shared" si="16"/>
      </c>
      <c r="AC34" s="628">
        <f t="shared" si="15"/>
      </c>
      <c r="AD34" s="574"/>
    </row>
    <row r="35" spans="1:30" s="562" customFormat="1" ht="16.5" customHeight="1">
      <c r="A35" s="561"/>
      <c r="B35" s="573"/>
      <c r="C35" s="656"/>
      <c r="D35" s="656"/>
      <c r="E35" s="656"/>
      <c r="F35" s="521"/>
      <c r="G35" s="520"/>
      <c r="H35" s="657"/>
      <c r="I35" s="658"/>
      <c r="J35" s="278">
        <f t="shared" si="0"/>
        <v>0</v>
      </c>
      <c r="K35" s="660"/>
      <c r="L35" s="660"/>
      <c r="M35" s="25">
        <f t="shared" si="1"/>
      </c>
      <c r="N35" s="26">
        <f t="shared" si="2"/>
      </c>
      <c r="O35" s="661"/>
      <c r="P35" s="24">
        <f t="shared" si="3"/>
      </c>
      <c r="Q35" s="730">
        <f t="shared" si="4"/>
      </c>
      <c r="R35" s="24">
        <f t="shared" si="5"/>
      </c>
      <c r="S35" s="343">
        <f t="shared" si="6"/>
        <v>3</v>
      </c>
      <c r="T35" s="731" t="str">
        <f t="shared" si="7"/>
        <v>--</v>
      </c>
      <c r="U35" s="732" t="str">
        <f t="shared" si="8"/>
        <v>--</v>
      </c>
      <c r="V35" s="362" t="str">
        <f t="shared" si="9"/>
        <v>--</v>
      </c>
      <c r="W35" s="363" t="str">
        <f t="shared" si="10"/>
        <v>--</v>
      </c>
      <c r="X35" s="371" t="str">
        <f t="shared" si="11"/>
        <v>--</v>
      </c>
      <c r="Y35" s="372" t="str">
        <f t="shared" si="12"/>
        <v>--</v>
      </c>
      <c r="Z35" s="377" t="str">
        <f t="shared" si="13"/>
        <v>--</v>
      </c>
      <c r="AA35" s="383" t="str">
        <f t="shared" si="14"/>
        <v>--</v>
      </c>
      <c r="AB35" s="24">
        <f t="shared" si="16"/>
      </c>
      <c r="AC35" s="628">
        <f t="shared" si="15"/>
      </c>
      <c r="AD35" s="574"/>
    </row>
    <row r="36" spans="1:30" s="562" customFormat="1" ht="16.5" customHeight="1">
      <c r="A36" s="561"/>
      <c r="B36" s="573"/>
      <c r="C36" s="656"/>
      <c r="D36" s="656"/>
      <c r="E36" s="656"/>
      <c r="F36" s="521"/>
      <c r="G36" s="520"/>
      <c r="H36" s="657"/>
      <c r="I36" s="658"/>
      <c r="J36" s="278">
        <f t="shared" si="0"/>
        <v>0</v>
      </c>
      <c r="K36" s="660"/>
      <c r="L36" s="660"/>
      <c r="M36" s="25">
        <f t="shared" si="1"/>
      </c>
      <c r="N36" s="26">
        <f t="shared" si="2"/>
      </c>
      <c r="O36" s="661"/>
      <c r="P36" s="24">
        <f t="shared" si="3"/>
      </c>
      <c r="Q36" s="730">
        <f t="shared" si="4"/>
      </c>
      <c r="R36" s="24">
        <f t="shared" si="5"/>
      </c>
      <c r="S36" s="343">
        <f t="shared" si="6"/>
        <v>3</v>
      </c>
      <c r="T36" s="731" t="str">
        <f t="shared" si="7"/>
        <v>--</v>
      </c>
      <c r="U36" s="732" t="str">
        <f t="shared" si="8"/>
        <v>--</v>
      </c>
      <c r="V36" s="362" t="str">
        <f t="shared" si="9"/>
        <v>--</v>
      </c>
      <c r="W36" s="363" t="str">
        <f t="shared" si="10"/>
        <v>--</v>
      </c>
      <c r="X36" s="371" t="str">
        <f t="shared" si="11"/>
        <v>--</v>
      </c>
      <c r="Y36" s="372" t="str">
        <f t="shared" si="12"/>
        <v>--</v>
      </c>
      <c r="Z36" s="377" t="str">
        <f t="shared" si="13"/>
        <v>--</v>
      </c>
      <c r="AA36" s="383" t="str">
        <f t="shared" si="14"/>
        <v>--</v>
      </c>
      <c r="AB36" s="24">
        <f t="shared" si="16"/>
      </c>
      <c r="AC36" s="628">
        <f t="shared" si="15"/>
      </c>
      <c r="AD36" s="574"/>
    </row>
    <row r="37" spans="1:30" s="562" customFormat="1" ht="16.5" customHeight="1">
      <c r="A37" s="561"/>
      <c r="B37" s="573"/>
      <c r="C37" s="656"/>
      <c r="D37" s="656"/>
      <c r="E37" s="656"/>
      <c r="F37" s="521"/>
      <c r="G37" s="520"/>
      <c r="H37" s="657"/>
      <c r="I37" s="658"/>
      <c r="J37" s="278">
        <f t="shared" si="0"/>
        <v>0</v>
      </c>
      <c r="K37" s="660"/>
      <c r="L37" s="660"/>
      <c r="M37" s="25">
        <f t="shared" si="1"/>
      </c>
      <c r="N37" s="26">
        <f t="shared" si="2"/>
      </c>
      <c r="O37" s="661"/>
      <c r="P37" s="24">
        <f t="shared" si="3"/>
      </c>
      <c r="Q37" s="730">
        <f t="shared" si="4"/>
      </c>
      <c r="R37" s="24">
        <f t="shared" si="5"/>
      </c>
      <c r="S37" s="343">
        <f t="shared" si="6"/>
        <v>3</v>
      </c>
      <c r="T37" s="731" t="str">
        <f t="shared" si="7"/>
        <v>--</v>
      </c>
      <c r="U37" s="732" t="str">
        <f t="shared" si="8"/>
        <v>--</v>
      </c>
      <c r="V37" s="362" t="str">
        <f t="shared" si="9"/>
        <v>--</v>
      </c>
      <c r="W37" s="363" t="str">
        <f t="shared" si="10"/>
        <v>--</v>
      </c>
      <c r="X37" s="371" t="str">
        <f t="shared" si="11"/>
        <v>--</v>
      </c>
      <c r="Y37" s="372" t="str">
        <f t="shared" si="12"/>
        <v>--</v>
      </c>
      <c r="Z37" s="377" t="str">
        <f t="shared" si="13"/>
        <v>--</v>
      </c>
      <c r="AA37" s="383" t="str">
        <f t="shared" si="14"/>
        <v>--</v>
      </c>
      <c r="AB37" s="24">
        <f t="shared" si="16"/>
      </c>
      <c r="AC37" s="628">
        <f t="shared" si="15"/>
      </c>
      <c r="AD37" s="574"/>
    </row>
    <row r="38" spans="1:30" s="562" customFormat="1" ht="16.5" customHeight="1">
      <c r="A38" s="561"/>
      <c r="B38" s="573"/>
      <c r="C38" s="656"/>
      <c r="D38" s="656"/>
      <c r="E38" s="656"/>
      <c r="F38" s="521"/>
      <c r="G38" s="520"/>
      <c r="H38" s="657"/>
      <c r="I38" s="658"/>
      <c r="J38" s="278">
        <f t="shared" si="0"/>
        <v>0</v>
      </c>
      <c r="K38" s="660"/>
      <c r="L38" s="660"/>
      <c r="M38" s="25">
        <f t="shared" si="1"/>
      </c>
      <c r="N38" s="26">
        <f t="shared" si="2"/>
      </c>
      <c r="O38" s="661"/>
      <c r="P38" s="24">
        <f t="shared" si="3"/>
      </c>
      <c r="Q38" s="730">
        <f t="shared" si="4"/>
      </c>
      <c r="R38" s="24">
        <f t="shared" si="5"/>
      </c>
      <c r="S38" s="343">
        <f t="shared" si="6"/>
        <v>3</v>
      </c>
      <c r="T38" s="731" t="str">
        <f t="shared" si="7"/>
        <v>--</v>
      </c>
      <c r="U38" s="732" t="str">
        <f t="shared" si="8"/>
        <v>--</v>
      </c>
      <c r="V38" s="362" t="str">
        <f t="shared" si="9"/>
        <v>--</v>
      </c>
      <c r="W38" s="363" t="str">
        <f t="shared" si="10"/>
        <v>--</v>
      </c>
      <c r="X38" s="371" t="str">
        <f t="shared" si="11"/>
        <v>--</v>
      </c>
      <c r="Y38" s="372" t="str">
        <f t="shared" si="12"/>
        <v>--</v>
      </c>
      <c r="Z38" s="377" t="str">
        <f t="shared" si="13"/>
        <v>--</v>
      </c>
      <c r="AA38" s="383" t="str">
        <f t="shared" si="14"/>
        <v>--</v>
      </c>
      <c r="AB38" s="24">
        <f t="shared" si="16"/>
      </c>
      <c r="AC38" s="628">
        <f t="shared" si="15"/>
      </c>
      <c r="AD38" s="574"/>
    </row>
    <row r="39" spans="1:30" s="562" customFormat="1" ht="16.5" customHeight="1">
      <c r="A39" s="561"/>
      <c r="B39" s="573"/>
      <c r="C39" s="656"/>
      <c r="D39" s="656"/>
      <c r="E39" s="656"/>
      <c r="F39" s="521"/>
      <c r="G39" s="520"/>
      <c r="H39" s="657"/>
      <c r="I39" s="658"/>
      <c r="J39" s="278">
        <f t="shared" si="0"/>
        <v>0</v>
      </c>
      <c r="K39" s="660"/>
      <c r="L39" s="660"/>
      <c r="M39" s="25">
        <f t="shared" si="1"/>
      </c>
      <c r="N39" s="26">
        <f t="shared" si="2"/>
      </c>
      <c r="O39" s="661"/>
      <c r="P39" s="24">
        <f t="shared" si="3"/>
      </c>
      <c r="Q39" s="730">
        <f t="shared" si="4"/>
      </c>
      <c r="R39" s="24">
        <f t="shared" si="5"/>
      </c>
      <c r="S39" s="343">
        <f t="shared" si="6"/>
        <v>3</v>
      </c>
      <c r="T39" s="731" t="str">
        <f t="shared" si="7"/>
        <v>--</v>
      </c>
      <c r="U39" s="732" t="str">
        <f t="shared" si="8"/>
        <v>--</v>
      </c>
      <c r="V39" s="362" t="str">
        <f t="shared" si="9"/>
        <v>--</v>
      </c>
      <c r="W39" s="363" t="str">
        <f t="shared" si="10"/>
        <v>--</v>
      </c>
      <c r="X39" s="371" t="str">
        <f t="shared" si="11"/>
        <v>--</v>
      </c>
      <c r="Y39" s="372" t="str">
        <f t="shared" si="12"/>
        <v>--</v>
      </c>
      <c r="Z39" s="377" t="str">
        <f t="shared" si="13"/>
        <v>--</v>
      </c>
      <c r="AA39" s="383" t="str">
        <f t="shared" si="14"/>
        <v>--</v>
      </c>
      <c r="AB39" s="24">
        <f t="shared" si="16"/>
      </c>
      <c r="AC39" s="628">
        <f t="shared" si="15"/>
      </c>
      <c r="AD39" s="574"/>
    </row>
    <row r="40" spans="1:30" s="562" customFormat="1" ht="16.5" customHeight="1">
      <c r="A40" s="561"/>
      <c r="B40" s="573"/>
      <c r="C40" s="656"/>
      <c r="D40" s="656"/>
      <c r="E40" s="656"/>
      <c r="F40" s="521"/>
      <c r="G40" s="520"/>
      <c r="H40" s="657"/>
      <c r="I40" s="658"/>
      <c r="J40" s="278">
        <f t="shared" si="0"/>
        <v>0</v>
      </c>
      <c r="K40" s="660"/>
      <c r="L40" s="660"/>
      <c r="M40" s="25">
        <f t="shared" si="1"/>
      </c>
      <c r="N40" s="26">
        <f t="shared" si="2"/>
      </c>
      <c r="O40" s="661"/>
      <c r="P40" s="24">
        <f t="shared" si="3"/>
      </c>
      <c r="Q40" s="730">
        <f t="shared" si="4"/>
      </c>
      <c r="R40" s="24">
        <f t="shared" si="5"/>
      </c>
      <c r="S40" s="343">
        <f t="shared" si="6"/>
        <v>3</v>
      </c>
      <c r="T40" s="731" t="str">
        <f t="shared" si="7"/>
        <v>--</v>
      </c>
      <c r="U40" s="732" t="str">
        <f t="shared" si="8"/>
        <v>--</v>
      </c>
      <c r="V40" s="362" t="str">
        <f t="shared" si="9"/>
        <v>--</v>
      </c>
      <c r="W40" s="363" t="str">
        <f t="shared" si="10"/>
        <v>--</v>
      </c>
      <c r="X40" s="371" t="str">
        <f t="shared" si="11"/>
        <v>--</v>
      </c>
      <c r="Y40" s="372" t="str">
        <f t="shared" si="12"/>
        <v>--</v>
      </c>
      <c r="Z40" s="377" t="str">
        <f t="shared" si="13"/>
        <v>--</v>
      </c>
      <c r="AA40" s="383" t="str">
        <f t="shared" si="14"/>
        <v>--</v>
      </c>
      <c r="AB40" s="24">
        <f t="shared" si="16"/>
      </c>
      <c r="AC40" s="628">
        <f t="shared" si="15"/>
      </c>
      <c r="AD40" s="574"/>
    </row>
    <row r="41" spans="1:30" s="562" customFormat="1" ht="16.5" customHeight="1">
      <c r="A41" s="561"/>
      <c r="B41" s="573"/>
      <c r="C41" s="656"/>
      <c r="D41" s="656"/>
      <c r="E41" s="656"/>
      <c r="F41" s="521"/>
      <c r="G41" s="520"/>
      <c r="H41" s="657"/>
      <c r="I41" s="658"/>
      <c r="J41" s="278">
        <f t="shared" si="0"/>
        <v>0</v>
      </c>
      <c r="K41" s="660"/>
      <c r="L41" s="660"/>
      <c r="M41" s="25">
        <f t="shared" si="1"/>
      </c>
      <c r="N41" s="26">
        <f t="shared" si="2"/>
      </c>
      <c r="O41" s="661"/>
      <c r="P41" s="24">
        <f t="shared" si="3"/>
      </c>
      <c r="Q41" s="730">
        <f t="shared" si="4"/>
      </c>
      <c r="R41" s="24">
        <f t="shared" si="5"/>
      </c>
      <c r="S41" s="343">
        <f t="shared" si="6"/>
        <v>3</v>
      </c>
      <c r="T41" s="731" t="str">
        <f t="shared" si="7"/>
        <v>--</v>
      </c>
      <c r="U41" s="732" t="str">
        <f t="shared" si="8"/>
        <v>--</v>
      </c>
      <c r="V41" s="362" t="str">
        <f t="shared" si="9"/>
        <v>--</v>
      </c>
      <c r="W41" s="363" t="str">
        <f t="shared" si="10"/>
        <v>--</v>
      </c>
      <c r="X41" s="371" t="str">
        <f t="shared" si="11"/>
        <v>--</v>
      </c>
      <c r="Y41" s="372" t="str">
        <f t="shared" si="12"/>
        <v>--</v>
      </c>
      <c r="Z41" s="377" t="str">
        <f t="shared" si="13"/>
        <v>--</v>
      </c>
      <c r="AA41" s="383" t="str">
        <f t="shared" si="14"/>
        <v>--</v>
      </c>
      <c r="AB41" s="24">
        <f t="shared" si="16"/>
      </c>
      <c r="AC41" s="628">
        <f t="shared" si="15"/>
      </c>
      <c r="AD41" s="574"/>
    </row>
    <row r="42" spans="1:30" s="562" customFormat="1" ht="16.5" customHeight="1">
      <c r="A42" s="561"/>
      <c r="B42" s="573"/>
      <c r="C42" s="656"/>
      <c r="D42" s="656"/>
      <c r="E42" s="656"/>
      <c r="F42" s="521"/>
      <c r="G42" s="520"/>
      <c r="H42" s="657"/>
      <c r="I42" s="658"/>
      <c r="J42" s="278">
        <f t="shared" si="0"/>
        <v>0</v>
      </c>
      <c r="K42" s="660"/>
      <c r="L42" s="660"/>
      <c r="M42" s="25">
        <f t="shared" si="1"/>
      </c>
      <c r="N42" s="26">
        <f t="shared" si="2"/>
      </c>
      <c r="O42" s="661"/>
      <c r="P42" s="24">
        <f t="shared" si="3"/>
      </c>
      <c r="Q42" s="730">
        <f t="shared" si="4"/>
      </c>
      <c r="R42" s="24">
        <f t="shared" si="5"/>
      </c>
      <c r="S42" s="343">
        <f t="shared" si="6"/>
        <v>3</v>
      </c>
      <c r="T42" s="731" t="str">
        <f t="shared" si="7"/>
        <v>--</v>
      </c>
      <c r="U42" s="732" t="str">
        <f t="shared" si="8"/>
        <v>--</v>
      </c>
      <c r="V42" s="362" t="str">
        <f t="shared" si="9"/>
        <v>--</v>
      </c>
      <c r="W42" s="363" t="str">
        <f t="shared" si="10"/>
        <v>--</v>
      </c>
      <c r="X42" s="371" t="str">
        <f t="shared" si="11"/>
        <v>--</v>
      </c>
      <c r="Y42" s="372" t="str">
        <f t="shared" si="12"/>
        <v>--</v>
      </c>
      <c r="Z42" s="377" t="str">
        <f t="shared" si="13"/>
        <v>--</v>
      </c>
      <c r="AA42" s="383" t="str">
        <f t="shared" si="14"/>
        <v>--</v>
      </c>
      <c r="AB42" s="24">
        <f t="shared" si="16"/>
      </c>
      <c r="AC42" s="628">
        <f t="shared" si="15"/>
      </c>
      <c r="AD42" s="574"/>
    </row>
    <row r="43" spans="1:30" s="562" customFormat="1" ht="16.5" customHeight="1">
      <c r="A43" s="561"/>
      <c r="B43" s="573"/>
      <c r="C43" s="656"/>
      <c r="D43" s="656"/>
      <c r="E43" s="656"/>
      <c r="F43" s="521"/>
      <c r="G43" s="520"/>
      <c r="H43" s="657"/>
      <c r="I43" s="658"/>
      <c r="J43" s="278">
        <f t="shared" si="0"/>
        <v>0</v>
      </c>
      <c r="K43" s="660"/>
      <c r="L43" s="660"/>
      <c r="M43" s="25">
        <f t="shared" si="1"/>
      </c>
      <c r="N43" s="26">
        <f t="shared" si="2"/>
      </c>
      <c r="O43" s="661"/>
      <c r="P43" s="24">
        <f t="shared" si="3"/>
      </c>
      <c r="Q43" s="730">
        <f t="shared" si="4"/>
      </c>
      <c r="R43" s="24">
        <f t="shared" si="5"/>
      </c>
      <c r="S43" s="343">
        <f t="shared" si="6"/>
        <v>3</v>
      </c>
      <c r="T43" s="731" t="str">
        <f t="shared" si="7"/>
        <v>--</v>
      </c>
      <c r="U43" s="732" t="str">
        <f t="shared" si="8"/>
        <v>--</v>
      </c>
      <c r="V43" s="362" t="str">
        <f t="shared" si="9"/>
        <v>--</v>
      </c>
      <c r="W43" s="363" t="str">
        <f t="shared" si="10"/>
        <v>--</v>
      </c>
      <c r="X43" s="371" t="str">
        <f t="shared" si="11"/>
        <v>--</v>
      </c>
      <c r="Y43" s="372" t="str">
        <f t="shared" si="12"/>
        <v>--</v>
      </c>
      <c r="Z43" s="377" t="str">
        <f t="shared" si="13"/>
        <v>--</v>
      </c>
      <c r="AA43" s="383" t="str">
        <f t="shared" si="14"/>
        <v>--</v>
      </c>
      <c r="AB43" s="24">
        <f t="shared" si="16"/>
      </c>
      <c r="AC43" s="628">
        <f t="shared" si="15"/>
      </c>
      <c r="AD43" s="574"/>
    </row>
    <row r="44" spans="1:30" s="562" customFormat="1" ht="16.5" customHeight="1" thickBot="1">
      <c r="A44" s="561"/>
      <c r="B44" s="573"/>
      <c r="C44" s="659"/>
      <c r="D44" s="659"/>
      <c r="E44" s="659"/>
      <c r="F44" s="659"/>
      <c r="G44" s="659"/>
      <c r="H44" s="659"/>
      <c r="I44" s="659"/>
      <c r="J44" s="631"/>
      <c r="K44" s="659"/>
      <c r="L44" s="659"/>
      <c r="M44" s="630"/>
      <c r="N44" s="630"/>
      <c r="O44" s="659"/>
      <c r="P44" s="659"/>
      <c r="Q44" s="659"/>
      <c r="R44" s="659"/>
      <c r="S44" s="662"/>
      <c r="T44" s="663"/>
      <c r="U44" s="664"/>
      <c r="V44" s="665"/>
      <c r="W44" s="666"/>
      <c r="X44" s="667"/>
      <c r="Y44" s="668"/>
      <c r="Z44" s="669"/>
      <c r="AA44" s="670"/>
      <c r="AB44" s="659"/>
      <c r="AC44" s="632"/>
      <c r="AD44" s="574"/>
    </row>
    <row r="45" spans="1:30" s="562" customFormat="1" ht="16.5" customHeight="1" thickBot="1" thickTop="1">
      <c r="A45" s="561"/>
      <c r="B45" s="573"/>
      <c r="C45" s="633" t="s">
        <v>65</v>
      </c>
      <c r="D45" s="830" t="s">
        <v>180</v>
      </c>
      <c r="E45" s="255"/>
      <c r="F45" s="250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634">
        <f aca="true" t="shared" si="17" ref="T45:AA45">SUM(T22:T44)</f>
        <v>9.76131</v>
      </c>
      <c r="U45" s="635">
        <f t="shared" si="17"/>
        <v>0</v>
      </c>
      <c r="V45" s="636">
        <f t="shared" si="17"/>
        <v>0</v>
      </c>
      <c r="W45" s="636">
        <f t="shared" si="17"/>
        <v>0</v>
      </c>
      <c r="X45" s="637">
        <f t="shared" si="17"/>
        <v>0</v>
      </c>
      <c r="Y45" s="637">
        <f t="shared" si="17"/>
        <v>0</v>
      </c>
      <c r="Z45" s="638">
        <f t="shared" si="17"/>
        <v>0</v>
      </c>
      <c r="AA45" s="639">
        <f t="shared" si="17"/>
        <v>0</v>
      </c>
      <c r="AB45" s="640"/>
      <c r="AC45" s="641">
        <f>ROUND(SUM(AC22:AC44),2)</f>
        <v>9.76</v>
      </c>
      <c r="AD45" s="574"/>
    </row>
    <row r="46" spans="1:30" s="649" customFormat="1" ht="9.75" thickTop="1">
      <c r="A46" s="642"/>
      <c r="B46" s="643"/>
      <c r="C46" s="644"/>
      <c r="D46" s="644"/>
      <c r="E46" s="644"/>
      <c r="F46" s="252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6"/>
      <c r="U46" s="646"/>
      <c r="V46" s="646"/>
      <c r="W46" s="646"/>
      <c r="X46" s="646"/>
      <c r="Y46" s="646"/>
      <c r="Z46" s="646"/>
      <c r="AA46" s="646"/>
      <c r="AB46" s="645"/>
      <c r="AC46" s="647"/>
      <c r="AD46" s="648"/>
    </row>
    <row r="47" spans="1:30" s="562" customFormat="1" ht="16.5" customHeight="1" thickBot="1">
      <c r="A47" s="561"/>
      <c r="B47" s="650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2"/>
    </row>
    <row r="48" spans="2:30" ht="16.5" customHeight="1" thickTop="1"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70" zoomScaleNormal="70" workbookViewId="0" topLeftCell="A1">
      <selection activeCell="I42" sqref="I42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4" width="12.28125" style="0" customWidth="1"/>
    <col min="5" max="5" width="12.7109375" style="0" customWidth="1"/>
    <col min="6" max="6" width="25.7109375" style="0" customWidth="1"/>
    <col min="7" max="7" width="24.574218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4.28125" style="0" customWidth="1"/>
    <col min="30" max="30" width="4.00390625" style="0" customWidth="1"/>
  </cols>
  <sheetData>
    <row r="1" spans="5:30" s="113" customFormat="1" ht="26.25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515"/>
    </row>
    <row r="2" spans="2:30" s="113" customFormat="1" ht="26.25">
      <c r="B2" s="114" t="str">
        <f>+'TOT-0611'!B2</f>
        <v>ANEXO VI al Memorandum D.T.E.E. N°482 / 2012 </v>
      </c>
      <c r="C2" s="115"/>
      <c r="D2" s="115"/>
      <c r="E2" s="176"/>
      <c r="F2" s="176"/>
      <c r="G2" s="114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</row>
    <row r="3" spans="5:30" s="11" customFormat="1" ht="12.75"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s="116" customFormat="1" ht="11.25">
      <c r="A4" s="716" t="s">
        <v>20</v>
      </c>
      <c r="C4" s="715"/>
      <c r="D4" s="715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0" s="116" customFormat="1" ht="11.25">
      <c r="A5" s="716" t="s">
        <v>139</v>
      </c>
      <c r="C5" s="715"/>
      <c r="D5" s="715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</row>
    <row r="6" spans="1:30" s="11" customFormat="1" ht="13.5" thickBo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</row>
    <row r="7" spans="1:30" s="11" customFormat="1" ht="13.5" thickTop="1">
      <c r="A7" s="174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</row>
    <row r="8" spans="1:30" s="118" customFormat="1" ht="20.25">
      <c r="A8" s="193"/>
      <c r="B8" s="194"/>
      <c r="C8" s="182"/>
      <c r="D8" s="182"/>
      <c r="E8" s="182"/>
      <c r="F8" s="20" t="s">
        <v>41</v>
      </c>
      <c r="H8" s="182"/>
      <c r="I8" s="193"/>
      <c r="J8" s="193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95"/>
    </row>
    <row r="9" spans="1:30" s="118" customFormat="1" ht="7.5" customHeight="1">
      <c r="A9" s="193"/>
      <c r="B9" s="194"/>
      <c r="C9" s="182"/>
      <c r="D9" s="182"/>
      <c r="E9" s="182"/>
      <c r="F9" s="20"/>
      <c r="H9" s="182"/>
      <c r="I9" s="193"/>
      <c r="J9" s="193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95"/>
    </row>
    <row r="10" spans="1:30" s="11" customFormat="1" ht="7.5" customHeight="1">
      <c r="A10" s="174"/>
      <c r="B10" s="180"/>
      <c r="C10" s="28"/>
      <c r="D10" s="28"/>
      <c r="E10" s="28"/>
      <c r="F10" s="28"/>
      <c r="G10" s="28"/>
      <c r="H10" s="28"/>
      <c r="I10" s="174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2"/>
    </row>
    <row r="11" spans="1:30" s="118" customFormat="1" ht="20.25">
      <c r="A11" s="193"/>
      <c r="B11" s="194"/>
      <c r="C11" s="182"/>
      <c r="D11" s="182"/>
      <c r="E11" s="182"/>
      <c r="F11" s="221" t="s">
        <v>82</v>
      </c>
      <c r="G11" s="182"/>
      <c r="H11" s="182"/>
      <c r="I11" s="19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95"/>
    </row>
    <row r="12" spans="1:30" s="118" customFormat="1" ht="8.25" customHeight="1">
      <c r="A12" s="193"/>
      <c r="B12" s="194"/>
      <c r="C12" s="182"/>
      <c r="D12" s="182"/>
      <c r="E12" s="182"/>
      <c r="F12" s="221"/>
      <c r="G12" s="182"/>
      <c r="H12" s="182"/>
      <c r="I12" s="193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95"/>
    </row>
    <row r="13" spans="1:30" s="11" customFormat="1" ht="8.25" customHeight="1">
      <c r="A13" s="174"/>
      <c r="B13" s="180"/>
      <c r="C13" s="28"/>
      <c r="D13" s="28"/>
      <c r="E13" s="28"/>
      <c r="F13" s="127"/>
      <c r="G13" s="184"/>
      <c r="H13" s="184"/>
      <c r="I13" s="185"/>
      <c r="J13" s="183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32"/>
    </row>
    <row r="14" spans="1:30" s="125" customFormat="1" ht="19.5">
      <c r="A14" s="199"/>
      <c r="B14" s="93" t="str">
        <f>+'TOT-0611'!B14</f>
        <v>Desde el 01 al 30 de junio de 2011</v>
      </c>
      <c r="C14" s="200"/>
      <c r="D14" s="200"/>
      <c r="E14" s="200"/>
      <c r="F14" s="200"/>
      <c r="G14" s="200"/>
      <c r="H14" s="200"/>
      <c r="I14" s="201"/>
      <c r="J14" s="200"/>
      <c r="K14" s="122"/>
      <c r="L14" s="122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2"/>
    </row>
    <row r="15" spans="1:30" s="99" customFormat="1" ht="8.25" customHeight="1">
      <c r="A15" s="96"/>
      <c r="B15" s="97"/>
      <c r="C15" s="96"/>
      <c r="D15" s="96"/>
      <c r="E15" s="96"/>
      <c r="F15" s="706"/>
      <c r="G15" s="707"/>
      <c r="H15" s="708"/>
      <c r="I15" s="96"/>
      <c r="K15" s="101"/>
      <c r="L15" s="102"/>
      <c r="M15" s="244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8"/>
    </row>
    <row r="16" spans="1:30" s="11" customFormat="1" ht="8.25" customHeight="1" thickBot="1">
      <c r="A16" s="174"/>
      <c r="B16" s="180"/>
      <c r="C16" s="28"/>
      <c r="D16" s="28"/>
      <c r="E16" s="28"/>
      <c r="F16" s="28"/>
      <c r="G16" s="28"/>
      <c r="H16" s="28"/>
      <c r="I16" s="67"/>
      <c r="J16" s="28"/>
      <c r="K16" s="190"/>
      <c r="L16" s="19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2"/>
    </row>
    <row r="17" spans="1:30" s="11" customFormat="1" ht="16.5" customHeight="1" thickBot="1" thickTop="1">
      <c r="A17" s="174"/>
      <c r="B17" s="180"/>
      <c r="C17" s="28"/>
      <c r="D17" s="28"/>
      <c r="E17" s="28"/>
      <c r="F17" s="203" t="s">
        <v>69</v>
      </c>
      <c r="G17" s="204"/>
      <c r="H17" s="205"/>
      <c r="I17" s="206">
        <v>0.243</v>
      </c>
      <c r="J17" s="17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2"/>
    </row>
    <row r="18" spans="1:30" s="11" customFormat="1" ht="16.5" customHeight="1" thickBot="1" thickTop="1">
      <c r="A18" s="174"/>
      <c r="B18" s="180"/>
      <c r="C18" s="28"/>
      <c r="D18" s="28"/>
      <c r="E18" s="28"/>
      <c r="F18" s="207" t="s">
        <v>70</v>
      </c>
      <c r="G18" s="208"/>
      <c r="H18" s="208"/>
      <c r="I18" s="209">
        <f>30*'TOT-0611'!B13</f>
        <v>30</v>
      </c>
      <c r="J18" s="28"/>
      <c r="K18" s="244" t="str">
        <f>IF(I18=30," ",IF(I18=60,"Coeficiente duplicado por tasa de falla &gt;4 Sal. x año/100 km.","REVISAR COEFICIENTE"))</f>
        <v> 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86"/>
      <c r="X18" s="186"/>
      <c r="Y18" s="186"/>
      <c r="Z18" s="186"/>
      <c r="AA18" s="186"/>
      <c r="AB18" s="186"/>
      <c r="AC18" s="186"/>
      <c r="AD18" s="32"/>
    </row>
    <row r="19" spans="1:30" s="99" customFormat="1" ht="8.25" customHeight="1" thickTop="1">
      <c r="A19" s="96"/>
      <c r="B19" s="97"/>
      <c r="C19" s="96"/>
      <c r="D19" s="96"/>
      <c r="E19" s="96"/>
      <c r="F19" s="706"/>
      <c r="G19" s="707"/>
      <c r="H19" s="708"/>
      <c r="I19" s="96"/>
      <c r="K19" s="101"/>
      <c r="L19" s="102"/>
      <c r="M19" s="244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8"/>
    </row>
    <row r="20" spans="1:30" s="742" customFormat="1" ht="15" customHeight="1" thickBot="1">
      <c r="A20" s="748"/>
      <c r="B20" s="749"/>
      <c r="C20" s="750">
        <v>3</v>
      </c>
      <c r="D20" s="750">
        <v>4</v>
      </c>
      <c r="E20" s="750">
        <v>5</v>
      </c>
      <c r="F20" s="750">
        <v>6</v>
      </c>
      <c r="G20" s="750">
        <v>7</v>
      </c>
      <c r="H20" s="750">
        <v>8</v>
      </c>
      <c r="I20" s="750">
        <v>9</v>
      </c>
      <c r="J20" s="750">
        <v>10</v>
      </c>
      <c r="K20" s="750">
        <v>11</v>
      </c>
      <c r="L20" s="750">
        <v>12</v>
      </c>
      <c r="M20" s="750">
        <v>13</v>
      </c>
      <c r="N20" s="750">
        <v>14</v>
      </c>
      <c r="O20" s="750">
        <v>15</v>
      </c>
      <c r="P20" s="750">
        <v>16</v>
      </c>
      <c r="Q20" s="750">
        <v>17</v>
      </c>
      <c r="R20" s="750">
        <v>18</v>
      </c>
      <c r="S20" s="750">
        <v>19</v>
      </c>
      <c r="T20" s="750">
        <v>20</v>
      </c>
      <c r="U20" s="750">
        <v>21</v>
      </c>
      <c r="V20" s="750">
        <v>22</v>
      </c>
      <c r="W20" s="750">
        <v>23</v>
      </c>
      <c r="X20" s="750">
        <v>24</v>
      </c>
      <c r="Y20" s="750">
        <v>25</v>
      </c>
      <c r="Z20" s="750">
        <v>26</v>
      </c>
      <c r="AA20" s="750">
        <v>27</v>
      </c>
      <c r="AB20" s="750">
        <v>28</v>
      </c>
      <c r="AC20" s="750">
        <v>29</v>
      </c>
      <c r="AD20" s="751"/>
    </row>
    <row r="21" spans="1:30" s="112" customFormat="1" ht="33.75" customHeight="1" thickBot="1" thickTop="1">
      <c r="A21" s="210"/>
      <c r="B21" s="211"/>
      <c r="C21" s="213" t="s">
        <v>47</v>
      </c>
      <c r="D21" s="105" t="s">
        <v>138</v>
      </c>
      <c r="E21" s="105" t="s">
        <v>137</v>
      </c>
      <c r="F21" s="218" t="s">
        <v>71</v>
      </c>
      <c r="G21" s="214" t="s">
        <v>18</v>
      </c>
      <c r="H21" s="215" t="s">
        <v>72</v>
      </c>
      <c r="I21" s="216" t="s">
        <v>48</v>
      </c>
      <c r="J21" s="276" t="s">
        <v>50</v>
      </c>
      <c r="K21" s="217" t="s">
        <v>73</v>
      </c>
      <c r="L21" s="217" t="s">
        <v>74</v>
      </c>
      <c r="M21" s="218" t="s">
        <v>75</v>
      </c>
      <c r="N21" s="218" t="s">
        <v>76</v>
      </c>
      <c r="O21" s="109" t="s">
        <v>55</v>
      </c>
      <c r="P21" s="219" t="s">
        <v>77</v>
      </c>
      <c r="Q21" s="218" t="s">
        <v>78</v>
      </c>
      <c r="R21" s="214" t="s">
        <v>79</v>
      </c>
      <c r="S21" s="341" t="s">
        <v>80</v>
      </c>
      <c r="T21" s="327" t="s">
        <v>57</v>
      </c>
      <c r="U21" s="350" t="s">
        <v>58</v>
      </c>
      <c r="V21" s="356" t="s">
        <v>81</v>
      </c>
      <c r="W21" s="357"/>
      <c r="X21" s="365" t="s">
        <v>81</v>
      </c>
      <c r="Y21" s="366"/>
      <c r="Z21" s="374" t="s">
        <v>61</v>
      </c>
      <c r="AA21" s="380" t="s">
        <v>62</v>
      </c>
      <c r="AB21" s="216" t="s">
        <v>63</v>
      </c>
      <c r="AC21" s="216" t="s">
        <v>64</v>
      </c>
      <c r="AD21" s="212"/>
    </row>
    <row r="22" spans="1:30" s="11" customFormat="1" ht="16.5" customHeight="1" thickTop="1">
      <c r="A22" s="174"/>
      <c r="B22" s="180"/>
      <c r="C22" s="18"/>
      <c r="D22" s="18"/>
      <c r="E22" s="18"/>
      <c r="F22" s="22"/>
      <c r="G22" s="22"/>
      <c r="H22" s="22"/>
      <c r="I22" s="22"/>
      <c r="J22" s="280"/>
      <c r="K22" s="23"/>
      <c r="L22" s="22"/>
      <c r="M22" s="23"/>
      <c r="N22" s="23"/>
      <c r="O22" s="22"/>
      <c r="P22" s="22"/>
      <c r="Q22" s="22"/>
      <c r="R22" s="22"/>
      <c r="S22" s="342"/>
      <c r="T22" s="345"/>
      <c r="U22" s="351"/>
      <c r="V22" s="358"/>
      <c r="W22" s="359"/>
      <c r="X22" s="367"/>
      <c r="Y22" s="368"/>
      <c r="Z22" s="375"/>
      <c r="AA22" s="381"/>
      <c r="AB22" s="22"/>
      <c r="AC22" s="56"/>
      <c r="AD22" s="32"/>
    </row>
    <row r="23" spans="1:30" s="11" customFormat="1" ht="16.5" customHeight="1">
      <c r="A23" s="174"/>
      <c r="B23" s="180"/>
      <c r="C23" s="18">
        <v>6</v>
      </c>
      <c r="D23" s="18">
        <v>235811</v>
      </c>
      <c r="E23" s="18">
        <v>1808</v>
      </c>
      <c r="F23" s="19" t="s">
        <v>14</v>
      </c>
      <c r="G23" s="19" t="s">
        <v>9</v>
      </c>
      <c r="H23" s="19">
        <v>25</v>
      </c>
      <c r="I23" s="19" t="s">
        <v>159</v>
      </c>
      <c r="J23" s="758">
        <f>H23*$I$17</f>
        <v>6.075</v>
      </c>
      <c r="K23" s="757">
        <v>40710.43472222222</v>
      </c>
      <c r="L23" s="757">
        <v>40710.69513888889</v>
      </c>
      <c r="M23" s="19">
        <f>IF(F23="","",(L23-K23)*24)</f>
        <v>6.250000000116415</v>
      </c>
      <c r="N23" s="19">
        <f>IF(F23="","",ROUND((L23-K23)*24*60,0))</f>
        <v>375</v>
      </c>
      <c r="O23" s="19" t="s">
        <v>145</v>
      </c>
      <c r="P23" s="24" t="str">
        <f aca="true" t="shared" si="0" ref="P23:P43">IF(F23="","",IF(OR(O23="P",O23="RP"),"--","NO"))</f>
        <v>--</v>
      </c>
      <c r="Q23" s="730" t="str">
        <f aca="true" t="shared" si="1" ref="Q23:Q43">IF(F23="","","--")</f>
        <v>--</v>
      </c>
      <c r="R23" s="19" t="s">
        <v>160</v>
      </c>
      <c r="S23" s="759">
        <f>$I$18*IF(OR(O23="P",O23="RP"),0.1,1)*IF(R23="SI",1,0.1)</f>
        <v>0.30000000000000004</v>
      </c>
      <c r="T23" s="346">
        <f>IF(O23="P",J23*S23*ROUND(N23/60,2),"--")</f>
        <v>11.390625000000002</v>
      </c>
      <c r="U23" s="352"/>
      <c r="V23" s="360"/>
      <c r="W23" s="361"/>
      <c r="X23" s="369"/>
      <c r="Y23" s="370"/>
      <c r="Z23" s="376"/>
      <c r="AA23" s="382"/>
      <c r="AB23" s="19" t="s">
        <v>146</v>
      </c>
      <c r="AC23" s="760">
        <f>IF(F23="","",SUM(T23:AA23)*IF(AB23="SI",1,2))</f>
        <v>11.390625000000002</v>
      </c>
      <c r="AD23" s="32"/>
    </row>
    <row r="24" spans="1:30" s="11" customFormat="1" ht="16.5" customHeight="1">
      <c r="A24" s="174"/>
      <c r="B24" s="180"/>
      <c r="C24" s="656"/>
      <c r="D24" s="656"/>
      <c r="E24" s="656"/>
      <c r="F24" s="521"/>
      <c r="G24" s="520"/>
      <c r="H24" s="657"/>
      <c r="I24" s="658"/>
      <c r="J24" s="278">
        <f aca="true" t="shared" si="2" ref="J24:J43">H24*$I$17</f>
        <v>0</v>
      </c>
      <c r="K24" s="660"/>
      <c r="L24" s="660"/>
      <c r="M24" s="25">
        <f aca="true" t="shared" si="3" ref="M24:M43">IF(F24="","",(L24-K24)*24)</f>
      </c>
      <c r="N24" s="26">
        <f aca="true" t="shared" si="4" ref="N24:N43">IF(F24="","",ROUND((L24-K24)*24*60,0))</f>
      </c>
      <c r="O24" s="661"/>
      <c r="P24" s="24">
        <f t="shared" si="0"/>
      </c>
      <c r="Q24" s="730">
        <f t="shared" si="1"/>
      </c>
      <c r="R24" s="24">
        <f aca="true" t="shared" si="5" ref="R24:R43">IF(F24="","","NO")</f>
      </c>
      <c r="S24" s="343">
        <f aca="true" t="shared" si="6" ref="S24:S43">$I$18*IF(OR(O24="P",O24="RP"),0.1,1)*IF(R24="SI",1,0.1)</f>
        <v>3</v>
      </c>
      <c r="T24" s="347" t="str">
        <f aca="true" t="shared" si="7" ref="T24:T43">IF(O24="P",J24*S24*ROUND(N24/60,2),"--")</f>
        <v>--</v>
      </c>
      <c r="U24" s="353" t="str">
        <f aca="true" t="shared" si="8" ref="U24:U43">IF(O24="RP",J24*S24*ROUND(N24/60,2)*Q24/100,"--")</f>
        <v>--</v>
      </c>
      <c r="V24" s="362" t="str">
        <f aca="true" t="shared" si="9" ref="V24:V43">IF(AND(O24="F",P24="NO"),J24*S24,"--")</f>
        <v>--</v>
      </c>
      <c r="W24" s="363" t="str">
        <f aca="true" t="shared" si="10" ref="W24:W43">IF(O24="F",J24*S24*ROUND(N24/60,2),"--")</f>
        <v>--</v>
      </c>
      <c r="X24" s="371" t="str">
        <f aca="true" t="shared" si="11" ref="X24:X43">IF(AND(O24="R",P24="NO"),J24*S24*Q24/100,"--")</f>
        <v>--</v>
      </c>
      <c r="Y24" s="372" t="str">
        <f aca="true" t="shared" si="12" ref="Y24:Y43">IF(O24="R",J24*S24*ROUND(N24/60,2)*Q24/100,"--")</f>
        <v>--</v>
      </c>
      <c r="Z24" s="377" t="str">
        <f aca="true" t="shared" si="13" ref="Z24:Z43">IF(O24="RF",J24*S24*ROUND(N24/60,2),"--")</f>
        <v>--</v>
      </c>
      <c r="AA24" s="383" t="str">
        <f aca="true" t="shared" si="14" ref="AA24:AA43">IF(O24="RR",J24*S24*ROUND(N24/60,2)*Q24/100,"--")</f>
        <v>--</v>
      </c>
      <c r="AB24" s="24">
        <f aca="true" t="shared" si="15" ref="AB24:AB43">IF(F24="","","SI")</f>
      </c>
      <c r="AC24" s="57">
        <f aca="true" t="shared" si="16" ref="AC24:AC43">IF(F24="","",SUM(T24:AA24)*IF(AB24="SI",1,2))</f>
      </c>
      <c r="AD24" s="413"/>
    </row>
    <row r="25" spans="1:30" s="11" customFormat="1" ht="16.5" customHeight="1">
      <c r="A25" s="174"/>
      <c r="B25" s="180"/>
      <c r="C25" s="656"/>
      <c r="D25" s="656"/>
      <c r="E25" s="656"/>
      <c r="F25" s="521"/>
      <c r="G25" s="520"/>
      <c r="H25" s="657"/>
      <c r="I25" s="658"/>
      <c r="J25" s="278">
        <f t="shared" si="2"/>
        <v>0</v>
      </c>
      <c r="K25" s="660"/>
      <c r="L25" s="660"/>
      <c r="M25" s="25">
        <f t="shared" si="3"/>
      </c>
      <c r="N25" s="26">
        <f t="shared" si="4"/>
      </c>
      <c r="O25" s="661"/>
      <c r="P25" s="24">
        <f t="shared" si="0"/>
      </c>
      <c r="Q25" s="730">
        <f t="shared" si="1"/>
      </c>
      <c r="R25" s="24">
        <f t="shared" si="5"/>
      </c>
      <c r="S25" s="343">
        <f t="shared" si="6"/>
        <v>3</v>
      </c>
      <c r="T25" s="347" t="str">
        <f t="shared" si="7"/>
        <v>--</v>
      </c>
      <c r="U25" s="353" t="str">
        <f t="shared" si="8"/>
        <v>--</v>
      </c>
      <c r="V25" s="362" t="str">
        <f t="shared" si="9"/>
        <v>--</v>
      </c>
      <c r="W25" s="363" t="str">
        <f t="shared" si="10"/>
        <v>--</v>
      </c>
      <c r="X25" s="371" t="str">
        <f t="shared" si="11"/>
        <v>--</v>
      </c>
      <c r="Y25" s="372" t="str">
        <f t="shared" si="12"/>
        <v>--</v>
      </c>
      <c r="Z25" s="377" t="str">
        <f t="shared" si="13"/>
        <v>--</v>
      </c>
      <c r="AA25" s="383" t="str">
        <f t="shared" si="14"/>
        <v>--</v>
      </c>
      <c r="AB25" s="24">
        <f t="shared" si="15"/>
      </c>
      <c r="AC25" s="57">
        <f t="shared" si="16"/>
      </c>
      <c r="AD25" s="413"/>
    </row>
    <row r="26" spans="1:30" s="11" customFormat="1" ht="16.5" customHeight="1">
      <c r="A26" s="174"/>
      <c r="B26" s="180"/>
      <c r="C26" s="656"/>
      <c r="D26" s="656"/>
      <c r="E26" s="656"/>
      <c r="F26" s="521"/>
      <c r="G26" s="520"/>
      <c r="H26" s="657"/>
      <c r="I26" s="658"/>
      <c r="J26" s="278">
        <f t="shared" si="2"/>
        <v>0</v>
      </c>
      <c r="K26" s="660"/>
      <c r="L26" s="660"/>
      <c r="M26" s="25">
        <f t="shared" si="3"/>
      </c>
      <c r="N26" s="26">
        <f t="shared" si="4"/>
      </c>
      <c r="O26" s="661"/>
      <c r="P26" s="24">
        <f t="shared" si="0"/>
      </c>
      <c r="Q26" s="730">
        <f t="shared" si="1"/>
      </c>
      <c r="R26" s="24">
        <f t="shared" si="5"/>
      </c>
      <c r="S26" s="343">
        <f t="shared" si="6"/>
        <v>3</v>
      </c>
      <c r="T26" s="347" t="str">
        <f t="shared" si="7"/>
        <v>--</v>
      </c>
      <c r="U26" s="353" t="str">
        <f t="shared" si="8"/>
        <v>--</v>
      </c>
      <c r="V26" s="362" t="str">
        <f t="shared" si="9"/>
        <v>--</v>
      </c>
      <c r="W26" s="363" t="str">
        <f t="shared" si="10"/>
        <v>--</v>
      </c>
      <c r="X26" s="371" t="str">
        <f t="shared" si="11"/>
        <v>--</v>
      </c>
      <c r="Y26" s="372" t="str">
        <f t="shared" si="12"/>
        <v>--</v>
      </c>
      <c r="Z26" s="377" t="str">
        <f t="shared" si="13"/>
        <v>--</v>
      </c>
      <c r="AA26" s="383" t="str">
        <f t="shared" si="14"/>
        <v>--</v>
      </c>
      <c r="AB26" s="24">
        <f t="shared" si="15"/>
      </c>
      <c r="AC26" s="57">
        <f t="shared" si="16"/>
      </c>
      <c r="AD26" s="413"/>
    </row>
    <row r="27" spans="1:30" s="11" customFormat="1" ht="16.5" customHeight="1">
      <c r="A27" s="174"/>
      <c r="B27" s="180"/>
      <c r="C27" s="656"/>
      <c r="D27" s="656"/>
      <c r="E27" s="656"/>
      <c r="F27" s="521"/>
      <c r="G27" s="520"/>
      <c r="H27" s="657"/>
      <c r="I27" s="658"/>
      <c r="J27" s="278">
        <f t="shared" si="2"/>
        <v>0</v>
      </c>
      <c r="K27" s="660"/>
      <c r="L27" s="660"/>
      <c r="M27" s="25">
        <f t="shared" si="3"/>
      </c>
      <c r="N27" s="26">
        <f t="shared" si="4"/>
      </c>
      <c r="O27" s="661"/>
      <c r="P27" s="24">
        <f t="shared" si="0"/>
      </c>
      <c r="Q27" s="730">
        <f t="shared" si="1"/>
      </c>
      <c r="R27" s="24">
        <f t="shared" si="5"/>
      </c>
      <c r="S27" s="343">
        <f t="shared" si="6"/>
        <v>3</v>
      </c>
      <c r="T27" s="347" t="str">
        <f t="shared" si="7"/>
        <v>--</v>
      </c>
      <c r="U27" s="353" t="str">
        <f t="shared" si="8"/>
        <v>--</v>
      </c>
      <c r="V27" s="362" t="str">
        <f t="shared" si="9"/>
        <v>--</v>
      </c>
      <c r="W27" s="363" t="str">
        <f t="shared" si="10"/>
        <v>--</v>
      </c>
      <c r="X27" s="371" t="str">
        <f t="shared" si="11"/>
        <v>--</v>
      </c>
      <c r="Y27" s="372" t="str">
        <f t="shared" si="12"/>
        <v>--</v>
      </c>
      <c r="Z27" s="377" t="str">
        <f t="shared" si="13"/>
        <v>--</v>
      </c>
      <c r="AA27" s="383" t="str">
        <f t="shared" si="14"/>
        <v>--</v>
      </c>
      <c r="AB27" s="24">
        <f t="shared" si="15"/>
      </c>
      <c r="AC27" s="57">
        <f t="shared" si="16"/>
      </c>
      <c r="AD27" s="413"/>
    </row>
    <row r="28" spans="1:30" s="11" customFormat="1" ht="16.5" customHeight="1">
      <c r="A28" s="174"/>
      <c r="B28" s="180"/>
      <c r="C28" s="656"/>
      <c r="D28" s="656"/>
      <c r="E28" s="656"/>
      <c r="F28" s="521"/>
      <c r="G28" s="520"/>
      <c r="H28" s="657"/>
      <c r="I28" s="658"/>
      <c r="J28" s="278">
        <f t="shared" si="2"/>
        <v>0</v>
      </c>
      <c r="K28" s="660"/>
      <c r="L28" s="660"/>
      <c r="M28" s="25">
        <f t="shared" si="3"/>
      </c>
      <c r="N28" s="26">
        <f t="shared" si="4"/>
      </c>
      <c r="O28" s="661"/>
      <c r="P28" s="24">
        <f t="shared" si="0"/>
      </c>
      <c r="Q28" s="730">
        <f t="shared" si="1"/>
      </c>
      <c r="R28" s="24">
        <f t="shared" si="5"/>
      </c>
      <c r="S28" s="343">
        <f t="shared" si="6"/>
        <v>3</v>
      </c>
      <c r="T28" s="347" t="str">
        <f t="shared" si="7"/>
        <v>--</v>
      </c>
      <c r="U28" s="353" t="str">
        <f t="shared" si="8"/>
        <v>--</v>
      </c>
      <c r="V28" s="362" t="str">
        <f t="shared" si="9"/>
        <v>--</v>
      </c>
      <c r="W28" s="363" t="str">
        <f t="shared" si="10"/>
        <v>--</v>
      </c>
      <c r="X28" s="371" t="str">
        <f t="shared" si="11"/>
        <v>--</v>
      </c>
      <c r="Y28" s="372" t="str">
        <f t="shared" si="12"/>
        <v>--</v>
      </c>
      <c r="Z28" s="377" t="str">
        <f t="shared" si="13"/>
        <v>--</v>
      </c>
      <c r="AA28" s="383" t="str">
        <f t="shared" si="14"/>
        <v>--</v>
      </c>
      <c r="AB28" s="24">
        <f t="shared" si="15"/>
      </c>
      <c r="AC28" s="57">
        <f t="shared" si="16"/>
      </c>
      <c r="AD28" s="413"/>
    </row>
    <row r="29" spans="1:30" s="11" customFormat="1" ht="16.5" customHeight="1">
      <c r="A29" s="174"/>
      <c r="B29" s="180"/>
      <c r="C29" s="656"/>
      <c r="D29" s="656"/>
      <c r="E29" s="656"/>
      <c r="F29" s="521"/>
      <c r="G29" s="520"/>
      <c r="H29" s="657"/>
      <c r="I29" s="658"/>
      <c r="J29" s="278">
        <f t="shared" si="2"/>
        <v>0</v>
      </c>
      <c r="K29" s="660"/>
      <c r="L29" s="660"/>
      <c r="M29" s="25">
        <f t="shared" si="3"/>
      </c>
      <c r="N29" s="26">
        <f t="shared" si="4"/>
      </c>
      <c r="O29" s="661"/>
      <c r="P29" s="24">
        <f t="shared" si="0"/>
      </c>
      <c r="Q29" s="730">
        <f t="shared" si="1"/>
      </c>
      <c r="R29" s="24">
        <f t="shared" si="5"/>
      </c>
      <c r="S29" s="343">
        <f t="shared" si="6"/>
        <v>3</v>
      </c>
      <c r="T29" s="347" t="str">
        <f t="shared" si="7"/>
        <v>--</v>
      </c>
      <c r="U29" s="353" t="str">
        <f t="shared" si="8"/>
        <v>--</v>
      </c>
      <c r="V29" s="362" t="str">
        <f t="shared" si="9"/>
        <v>--</v>
      </c>
      <c r="W29" s="363" t="str">
        <f t="shared" si="10"/>
        <v>--</v>
      </c>
      <c r="X29" s="371" t="str">
        <f t="shared" si="11"/>
        <v>--</v>
      </c>
      <c r="Y29" s="372" t="str">
        <f t="shared" si="12"/>
        <v>--</v>
      </c>
      <c r="Z29" s="377" t="str">
        <f t="shared" si="13"/>
        <v>--</v>
      </c>
      <c r="AA29" s="383" t="str">
        <f t="shared" si="14"/>
        <v>--</v>
      </c>
      <c r="AB29" s="24">
        <f t="shared" si="15"/>
      </c>
      <c r="AC29" s="57">
        <f t="shared" si="16"/>
      </c>
      <c r="AD29" s="413"/>
    </row>
    <row r="30" spans="1:30" s="11" customFormat="1" ht="16.5" customHeight="1">
      <c r="A30" s="174"/>
      <c r="B30" s="180"/>
      <c r="C30" s="656"/>
      <c r="D30" s="656"/>
      <c r="E30" s="656"/>
      <c r="F30" s="521"/>
      <c r="G30" s="520"/>
      <c r="H30" s="657"/>
      <c r="I30" s="658"/>
      <c r="J30" s="278">
        <f t="shared" si="2"/>
        <v>0</v>
      </c>
      <c r="K30" s="660"/>
      <c r="L30" s="660"/>
      <c r="M30" s="25">
        <f t="shared" si="3"/>
      </c>
      <c r="N30" s="26">
        <f t="shared" si="4"/>
      </c>
      <c r="O30" s="661"/>
      <c r="P30" s="24">
        <f t="shared" si="0"/>
      </c>
      <c r="Q30" s="730">
        <f t="shared" si="1"/>
      </c>
      <c r="R30" s="24">
        <f t="shared" si="5"/>
      </c>
      <c r="S30" s="343">
        <f t="shared" si="6"/>
        <v>3</v>
      </c>
      <c r="T30" s="347" t="str">
        <f t="shared" si="7"/>
        <v>--</v>
      </c>
      <c r="U30" s="353" t="str">
        <f t="shared" si="8"/>
        <v>--</v>
      </c>
      <c r="V30" s="362" t="str">
        <f t="shared" si="9"/>
        <v>--</v>
      </c>
      <c r="W30" s="363" t="str">
        <f t="shared" si="10"/>
        <v>--</v>
      </c>
      <c r="X30" s="371" t="str">
        <f t="shared" si="11"/>
        <v>--</v>
      </c>
      <c r="Y30" s="372" t="str">
        <f t="shared" si="12"/>
        <v>--</v>
      </c>
      <c r="Z30" s="377" t="str">
        <f t="shared" si="13"/>
        <v>--</v>
      </c>
      <c r="AA30" s="383" t="str">
        <f t="shared" si="14"/>
        <v>--</v>
      </c>
      <c r="AB30" s="24">
        <f t="shared" si="15"/>
      </c>
      <c r="AC30" s="57">
        <f t="shared" si="16"/>
      </c>
      <c r="AD30" s="32"/>
    </row>
    <row r="31" spans="1:30" s="11" customFormat="1" ht="16.5" customHeight="1">
      <c r="A31" s="174"/>
      <c r="B31" s="180"/>
      <c r="C31" s="656"/>
      <c r="D31" s="656"/>
      <c r="E31" s="656"/>
      <c r="F31" s="521"/>
      <c r="G31" s="520"/>
      <c r="H31" s="657"/>
      <c r="I31" s="658"/>
      <c r="J31" s="278">
        <f t="shared" si="2"/>
        <v>0</v>
      </c>
      <c r="K31" s="660"/>
      <c r="L31" s="660"/>
      <c r="M31" s="25">
        <f t="shared" si="3"/>
      </c>
      <c r="N31" s="26">
        <f t="shared" si="4"/>
      </c>
      <c r="O31" s="661"/>
      <c r="P31" s="24">
        <f t="shared" si="0"/>
      </c>
      <c r="Q31" s="730">
        <f t="shared" si="1"/>
      </c>
      <c r="R31" s="24">
        <f t="shared" si="5"/>
      </c>
      <c r="S31" s="343">
        <f t="shared" si="6"/>
        <v>3</v>
      </c>
      <c r="T31" s="347" t="str">
        <f t="shared" si="7"/>
        <v>--</v>
      </c>
      <c r="U31" s="353" t="str">
        <f t="shared" si="8"/>
        <v>--</v>
      </c>
      <c r="V31" s="362" t="str">
        <f t="shared" si="9"/>
        <v>--</v>
      </c>
      <c r="W31" s="363" t="str">
        <f t="shared" si="10"/>
        <v>--</v>
      </c>
      <c r="X31" s="371" t="str">
        <f t="shared" si="11"/>
        <v>--</v>
      </c>
      <c r="Y31" s="372" t="str">
        <f t="shared" si="12"/>
        <v>--</v>
      </c>
      <c r="Z31" s="377" t="str">
        <f t="shared" si="13"/>
        <v>--</v>
      </c>
      <c r="AA31" s="383" t="str">
        <f t="shared" si="14"/>
        <v>--</v>
      </c>
      <c r="AB31" s="24">
        <f t="shared" si="15"/>
      </c>
      <c r="AC31" s="57">
        <f t="shared" si="16"/>
      </c>
      <c r="AD31" s="32"/>
    </row>
    <row r="32" spans="1:30" s="11" customFormat="1" ht="16.5" customHeight="1">
      <c r="A32" s="174"/>
      <c r="B32" s="180"/>
      <c r="C32" s="656"/>
      <c r="D32" s="656"/>
      <c r="E32" s="656"/>
      <c r="F32" s="521"/>
      <c r="G32" s="520"/>
      <c r="H32" s="657"/>
      <c r="I32" s="658"/>
      <c r="J32" s="278">
        <f t="shared" si="2"/>
        <v>0</v>
      </c>
      <c r="K32" s="660"/>
      <c r="L32" s="660"/>
      <c r="M32" s="25">
        <f t="shared" si="3"/>
      </c>
      <c r="N32" s="26">
        <f t="shared" si="4"/>
      </c>
      <c r="O32" s="661"/>
      <c r="P32" s="24">
        <f t="shared" si="0"/>
      </c>
      <c r="Q32" s="730">
        <f t="shared" si="1"/>
      </c>
      <c r="R32" s="24">
        <f t="shared" si="5"/>
      </c>
      <c r="S32" s="343">
        <f t="shared" si="6"/>
        <v>3</v>
      </c>
      <c r="T32" s="347" t="str">
        <f t="shared" si="7"/>
        <v>--</v>
      </c>
      <c r="U32" s="353" t="str">
        <f t="shared" si="8"/>
        <v>--</v>
      </c>
      <c r="V32" s="362" t="str">
        <f t="shared" si="9"/>
        <v>--</v>
      </c>
      <c r="W32" s="363" t="str">
        <f t="shared" si="10"/>
        <v>--</v>
      </c>
      <c r="X32" s="371" t="str">
        <f t="shared" si="11"/>
        <v>--</v>
      </c>
      <c r="Y32" s="372" t="str">
        <f t="shared" si="12"/>
        <v>--</v>
      </c>
      <c r="Z32" s="377" t="str">
        <f t="shared" si="13"/>
        <v>--</v>
      </c>
      <c r="AA32" s="383" t="str">
        <f t="shared" si="14"/>
        <v>--</v>
      </c>
      <c r="AB32" s="24">
        <f t="shared" si="15"/>
      </c>
      <c r="AC32" s="57">
        <f t="shared" si="16"/>
      </c>
      <c r="AD32" s="32"/>
    </row>
    <row r="33" spans="1:30" s="11" customFormat="1" ht="16.5" customHeight="1">
      <c r="A33" s="174"/>
      <c r="B33" s="180"/>
      <c r="C33" s="656"/>
      <c r="D33" s="656"/>
      <c r="E33" s="656"/>
      <c r="F33" s="521"/>
      <c r="G33" s="520"/>
      <c r="H33" s="657"/>
      <c r="I33" s="658"/>
      <c r="J33" s="278">
        <f t="shared" si="2"/>
        <v>0</v>
      </c>
      <c r="K33" s="660"/>
      <c r="L33" s="660"/>
      <c r="M33" s="25">
        <f t="shared" si="3"/>
      </c>
      <c r="N33" s="26">
        <f t="shared" si="4"/>
      </c>
      <c r="O33" s="661"/>
      <c r="P33" s="24">
        <f t="shared" si="0"/>
      </c>
      <c r="Q33" s="730">
        <f t="shared" si="1"/>
      </c>
      <c r="R33" s="24">
        <f t="shared" si="5"/>
      </c>
      <c r="S33" s="343">
        <f t="shared" si="6"/>
        <v>3</v>
      </c>
      <c r="T33" s="347" t="str">
        <f t="shared" si="7"/>
        <v>--</v>
      </c>
      <c r="U33" s="353" t="str">
        <f t="shared" si="8"/>
        <v>--</v>
      </c>
      <c r="V33" s="362" t="str">
        <f t="shared" si="9"/>
        <v>--</v>
      </c>
      <c r="W33" s="363" t="str">
        <f t="shared" si="10"/>
        <v>--</v>
      </c>
      <c r="X33" s="371" t="str">
        <f t="shared" si="11"/>
        <v>--</v>
      </c>
      <c r="Y33" s="372" t="str">
        <f t="shared" si="12"/>
        <v>--</v>
      </c>
      <c r="Z33" s="377" t="str">
        <f t="shared" si="13"/>
        <v>--</v>
      </c>
      <c r="AA33" s="383" t="str">
        <f t="shared" si="14"/>
        <v>--</v>
      </c>
      <c r="AB33" s="24">
        <f t="shared" si="15"/>
      </c>
      <c r="AC33" s="57">
        <f t="shared" si="16"/>
      </c>
      <c r="AD33" s="32"/>
    </row>
    <row r="34" spans="1:30" s="11" customFormat="1" ht="16.5" customHeight="1">
      <c r="A34" s="174"/>
      <c r="B34" s="180"/>
      <c r="C34" s="656"/>
      <c r="D34" s="656"/>
      <c r="E34" s="656"/>
      <c r="F34" s="521"/>
      <c r="G34" s="520"/>
      <c r="H34" s="657"/>
      <c r="I34" s="658"/>
      <c r="J34" s="278">
        <f t="shared" si="2"/>
        <v>0</v>
      </c>
      <c r="K34" s="660"/>
      <c r="L34" s="660"/>
      <c r="M34" s="25">
        <f t="shared" si="3"/>
      </c>
      <c r="N34" s="26">
        <f t="shared" si="4"/>
      </c>
      <c r="O34" s="661"/>
      <c r="P34" s="24">
        <f t="shared" si="0"/>
      </c>
      <c r="Q34" s="730">
        <f t="shared" si="1"/>
      </c>
      <c r="R34" s="24">
        <f t="shared" si="5"/>
      </c>
      <c r="S34" s="343">
        <f t="shared" si="6"/>
        <v>3</v>
      </c>
      <c r="T34" s="347" t="str">
        <f t="shared" si="7"/>
        <v>--</v>
      </c>
      <c r="U34" s="353" t="str">
        <f t="shared" si="8"/>
        <v>--</v>
      </c>
      <c r="V34" s="362" t="str">
        <f t="shared" si="9"/>
        <v>--</v>
      </c>
      <c r="W34" s="363" t="str">
        <f t="shared" si="10"/>
        <v>--</v>
      </c>
      <c r="X34" s="371" t="str">
        <f t="shared" si="11"/>
        <v>--</v>
      </c>
      <c r="Y34" s="372" t="str">
        <f t="shared" si="12"/>
        <v>--</v>
      </c>
      <c r="Z34" s="377" t="str">
        <f t="shared" si="13"/>
        <v>--</v>
      </c>
      <c r="AA34" s="383" t="str">
        <f t="shared" si="14"/>
        <v>--</v>
      </c>
      <c r="AB34" s="24">
        <f t="shared" si="15"/>
      </c>
      <c r="AC34" s="57">
        <f t="shared" si="16"/>
      </c>
      <c r="AD34" s="32"/>
    </row>
    <row r="35" spans="1:30" s="11" customFormat="1" ht="16.5" customHeight="1">
      <c r="A35" s="174"/>
      <c r="B35" s="180"/>
      <c r="C35" s="656"/>
      <c r="D35" s="656"/>
      <c r="E35" s="656"/>
      <c r="F35" s="521"/>
      <c r="G35" s="520"/>
      <c r="H35" s="657"/>
      <c r="I35" s="658"/>
      <c r="J35" s="278">
        <f t="shared" si="2"/>
        <v>0</v>
      </c>
      <c r="K35" s="660"/>
      <c r="L35" s="660"/>
      <c r="M35" s="25">
        <f t="shared" si="3"/>
      </c>
      <c r="N35" s="26">
        <f t="shared" si="4"/>
      </c>
      <c r="O35" s="661"/>
      <c r="P35" s="24">
        <f t="shared" si="0"/>
      </c>
      <c r="Q35" s="730">
        <f t="shared" si="1"/>
      </c>
      <c r="R35" s="24">
        <f t="shared" si="5"/>
      </c>
      <c r="S35" s="343">
        <f t="shared" si="6"/>
        <v>3</v>
      </c>
      <c r="T35" s="347" t="str">
        <f t="shared" si="7"/>
        <v>--</v>
      </c>
      <c r="U35" s="353" t="str">
        <f t="shared" si="8"/>
        <v>--</v>
      </c>
      <c r="V35" s="362" t="str">
        <f t="shared" si="9"/>
        <v>--</v>
      </c>
      <c r="W35" s="363" t="str">
        <f t="shared" si="10"/>
        <v>--</v>
      </c>
      <c r="X35" s="371" t="str">
        <f t="shared" si="11"/>
        <v>--</v>
      </c>
      <c r="Y35" s="372" t="str">
        <f t="shared" si="12"/>
        <v>--</v>
      </c>
      <c r="Z35" s="377" t="str">
        <f t="shared" si="13"/>
        <v>--</v>
      </c>
      <c r="AA35" s="383" t="str">
        <f t="shared" si="14"/>
        <v>--</v>
      </c>
      <c r="AB35" s="24">
        <f t="shared" si="15"/>
      </c>
      <c r="AC35" s="57">
        <f t="shared" si="16"/>
      </c>
      <c r="AD35" s="32"/>
    </row>
    <row r="36" spans="1:30" s="11" customFormat="1" ht="16.5" customHeight="1">
      <c r="A36" s="174"/>
      <c r="B36" s="180"/>
      <c r="C36" s="656"/>
      <c r="D36" s="656"/>
      <c r="E36" s="656"/>
      <c r="F36" s="521"/>
      <c r="G36" s="520"/>
      <c r="H36" s="657"/>
      <c r="I36" s="658"/>
      <c r="J36" s="278">
        <f t="shared" si="2"/>
        <v>0</v>
      </c>
      <c r="K36" s="660"/>
      <c r="L36" s="660"/>
      <c r="M36" s="25">
        <f t="shared" si="3"/>
      </c>
      <c r="N36" s="26">
        <f t="shared" si="4"/>
      </c>
      <c r="O36" s="661"/>
      <c r="P36" s="24">
        <f t="shared" si="0"/>
      </c>
      <c r="Q36" s="730">
        <f t="shared" si="1"/>
      </c>
      <c r="R36" s="24">
        <f t="shared" si="5"/>
      </c>
      <c r="S36" s="343">
        <f t="shared" si="6"/>
        <v>3</v>
      </c>
      <c r="T36" s="347" t="str">
        <f t="shared" si="7"/>
        <v>--</v>
      </c>
      <c r="U36" s="353" t="str">
        <f t="shared" si="8"/>
        <v>--</v>
      </c>
      <c r="V36" s="362" t="str">
        <f t="shared" si="9"/>
        <v>--</v>
      </c>
      <c r="W36" s="363" t="str">
        <f t="shared" si="10"/>
        <v>--</v>
      </c>
      <c r="X36" s="371" t="str">
        <f t="shared" si="11"/>
        <v>--</v>
      </c>
      <c r="Y36" s="372" t="str">
        <f t="shared" si="12"/>
        <v>--</v>
      </c>
      <c r="Z36" s="377" t="str">
        <f t="shared" si="13"/>
        <v>--</v>
      </c>
      <c r="AA36" s="383" t="str">
        <f t="shared" si="14"/>
        <v>--</v>
      </c>
      <c r="AB36" s="24">
        <f t="shared" si="15"/>
      </c>
      <c r="AC36" s="57">
        <f t="shared" si="16"/>
      </c>
      <c r="AD36" s="32"/>
    </row>
    <row r="37" spans="1:30" s="11" customFormat="1" ht="16.5" customHeight="1">
      <c r="A37" s="174"/>
      <c r="B37" s="180"/>
      <c r="C37" s="656"/>
      <c r="D37" s="656"/>
      <c r="E37" s="656"/>
      <c r="F37" s="521"/>
      <c r="G37" s="520"/>
      <c r="H37" s="657"/>
      <c r="I37" s="658"/>
      <c r="J37" s="278">
        <f t="shared" si="2"/>
        <v>0</v>
      </c>
      <c r="K37" s="660"/>
      <c r="L37" s="660"/>
      <c r="M37" s="25">
        <f t="shared" si="3"/>
      </c>
      <c r="N37" s="26">
        <f t="shared" si="4"/>
      </c>
      <c r="O37" s="661"/>
      <c r="P37" s="24">
        <f t="shared" si="0"/>
      </c>
      <c r="Q37" s="730">
        <f t="shared" si="1"/>
      </c>
      <c r="R37" s="24">
        <f t="shared" si="5"/>
      </c>
      <c r="S37" s="343">
        <f t="shared" si="6"/>
        <v>3</v>
      </c>
      <c r="T37" s="347" t="str">
        <f t="shared" si="7"/>
        <v>--</v>
      </c>
      <c r="U37" s="353" t="str">
        <f t="shared" si="8"/>
        <v>--</v>
      </c>
      <c r="V37" s="362" t="str">
        <f t="shared" si="9"/>
        <v>--</v>
      </c>
      <c r="W37" s="363" t="str">
        <f t="shared" si="10"/>
        <v>--</v>
      </c>
      <c r="X37" s="371" t="str">
        <f t="shared" si="11"/>
        <v>--</v>
      </c>
      <c r="Y37" s="372" t="str">
        <f t="shared" si="12"/>
        <v>--</v>
      </c>
      <c r="Z37" s="377" t="str">
        <f t="shared" si="13"/>
        <v>--</v>
      </c>
      <c r="AA37" s="383" t="str">
        <f t="shared" si="14"/>
        <v>--</v>
      </c>
      <c r="AB37" s="24">
        <f t="shared" si="15"/>
      </c>
      <c r="AC37" s="57">
        <f t="shared" si="16"/>
      </c>
      <c r="AD37" s="32"/>
    </row>
    <row r="38" spans="1:30" s="11" customFormat="1" ht="16.5" customHeight="1">
      <c r="A38" s="174"/>
      <c r="B38" s="180"/>
      <c r="C38" s="656"/>
      <c r="D38" s="656"/>
      <c r="E38" s="656"/>
      <c r="F38" s="521"/>
      <c r="G38" s="520"/>
      <c r="H38" s="657"/>
      <c r="I38" s="658"/>
      <c r="J38" s="278">
        <f t="shared" si="2"/>
        <v>0</v>
      </c>
      <c r="K38" s="660"/>
      <c r="L38" s="660"/>
      <c r="M38" s="25">
        <f t="shared" si="3"/>
      </c>
      <c r="N38" s="26">
        <f t="shared" si="4"/>
      </c>
      <c r="O38" s="661"/>
      <c r="P38" s="24">
        <f t="shared" si="0"/>
      </c>
      <c r="Q38" s="730">
        <f t="shared" si="1"/>
      </c>
      <c r="R38" s="24">
        <f t="shared" si="5"/>
      </c>
      <c r="S38" s="343">
        <f t="shared" si="6"/>
        <v>3</v>
      </c>
      <c r="T38" s="347" t="str">
        <f t="shared" si="7"/>
        <v>--</v>
      </c>
      <c r="U38" s="353" t="str">
        <f t="shared" si="8"/>
        <v>--</v>
      </c>
      <c r="V38" s="362" t="str">
        <f t="shared" si="9"/>
        <v>--</v>
      </c>
      <c r="W38" s="363" t="str">
        <f t="shared" si="10"/>
        <v>--</v>
      </c>
      <c r="X38" s="371" t="str">
        <f t="shared" si="11"/>
        <v>--</v>
      </c>
      <c r="Y38" s="372" t="str">
        <f t="shared" si="12"/>
        <v>--</v>
      </c>
      <c r="Z38" s="377" t="str">
        <f t="shared" si="13"/>
        <v>--</v>
      </c>
      <c r="AA38" s="383" t="str">
        <f t="shared" si="14"/>
        <v>--</v>
      </c>
      <c r="AB38" s="24">
        <f t="shared" si="15"/>
      </c>
      <c r="AC38" s="57">
        <f t="shared" si="16"/>
      </c>
      <c r="AD38" s="32"/>
    </row>
    <row r="39" spans="1:30" s="11" customFormat="1" ht="16.5" customHeight="1">
      <c r="A39" s="174"/>
      <c r="B39" s="180"/>
      <c r="C39" s="656"/>
      <c r="D39" s="656"/>
      <c r="E39" s="656"/>
      <c r="F39" s="521"/>
      <c r="G39" s="520"/>
      <c r="H39" s="657"/>
      <c r="I39" s="658"/>
      <c r="J39" s="278">
        <f t="shared" si="2"/>
        <v>0</v>
      </c>
      <c r="K39" s="660"/>
      <c r="L39" s="660"/>
      <c r="M39" s="25">
        <f t="shared" si="3"/>
      </c>
      <c r="N39" s="26">
        <f t="shared" si="4"/>
      </c>
      <c r="O39" s="661"/>
      <c r="P39" s="24">
        <f t="shared" si="0"/>
      </c>
      <c r="Q39" s="730">
        <f t="shared" si="1"/>
      </c>
      <c r="R39" s="24">
        <f t="shared" si="5"/>
      </c>
      <c r="S39" s="343">
        <f t="shared" si="6"/>
        <v>3</v>
      </c>
      <c r="T39" s="347" t="str">
        <f t="shared" si="7"/>
        <v>--</v>
      </c>
      <c r="U39" s="353" t="str">
        <f t="shared" si="8"/>
        <v>--</v>
      </c>
      <c r="V39" s="362" t="str">
        <f t="shared" si="9"/>
        <v>--</v>
      </c>
      <c r="W39" s="363" t="str">
        <f t="shared" si="10"/>
        <v>--</v>
      </c>
      <c r="X39" s="371" t="str">
        <f t="shared" si="11"/>
        <v>--</v>
      </c>
      <c r="Y39" s="372" t="str">
        <f t="shared" si="12"/>
        <v>--</v>
      </c>
      <c r="Z39" s="377" t="str">
        <f t="shared" si="13"/>
        <v>--</v>
      </c>
      <c r="AA39" s="383" t="str">
        <f t="shared" si="14"/>
        <v>--</v>
      </c>
      <c r="AB39" s="24">
        <f t="shared" si="15"/>
      </c>
      <c r="AC39" s="57">
        <f t="shared" si="16"/>
      </c>
      <c r="AD39" s="32"/>
    </row>
    <row r="40" spans="1:30" s="11" customFormat="1" ht="16.5" customHeight="1">
      <c r="A40" s="174"/>
      <c r="B40" s="180"/>
      <c r="C40" s="656"/>
      <c r="D40" s="656"/>
      <c r="E40" s="656"/>
      <c r="F40" s="521"/>
      <c r="G40" s="520"/>
      <c r="H40" s="657"/>
      <c r="I40" s="658"/>
      <c r="J40" s="278">
        <f t="shared" si="2"/>
        <v>0</v>
      </c>
      <c r="K40" s="660"/>
      <c r="L40" s="660"/>
      <c r="M40" s="25">
        <f t="shared" si="3"/>
      </c>
      <c r="N40" s="26">
        <f t="shared" si="4"/>
      </c>
      <c r="O40" s="661"/>
      <c r="P40" s="24">
        <f t="shared" si="0"/>
      </c>
      <c r="Q40" s="730">
        <f t="shared" si="1"/>
      </c>
      <c r="R40" s="24">
        <f t="shared" si="5"/>
      </c>
      <c r="S40" s="343">
        <f t="shared" si="6"/>
        <v>3</v>
      </c>
      <c r="T40" s="347" t="str">
        <f t="shared" si="7"/>
        <v>--</v>
      </c>
      <c r="U40" s="353" t="str">
        <f t="shared" si="8"/>
        <v>--</v>
      </c>
      <c r="V40" s="362" t="str">
        <f t="shared" si="9"/>
        <v>--</v>
      </c>
      <c r="W40" s="363" t="str">
        <f t="shared" si="10"/>
        <v>--</v>
      </c>
      <c r="X40" s="371" t="str">
        <f t="shared" si="11"/>
        <v>--</v>
      </c>
      <c r="Y40" s="372" t="str">
        <f t="shared" si="12"/>
        <v>--</v>
      </c>
      <c r="Z40" s="377" t="str">
        <f t="shared" si="13"/>
        <v>--</v>
      </c>
      <c r="AA40" s="383" t="str">
        <f t="shared" si="14"/>
        <v>--</v>
      </c>
      <c r="AB40" s="24">
        <f t="shared" si="15"/>
      </c>
      <c r="AC40" s="57">
        <f t="shared" si="16"/>
      </c>
      <c r="AD40" s="32"/>
    </row>
    <row r="41" spans="1:30" s="11" customFormat="1" ht="16.5" customHeight="1">
      <c r="A41" s="174"/>
      <c r="B41" s="180"/>
      <c r="C41" s="656"/>
      <c r="D41" s="656"/>
      <c r="E41" s="656"/>
      <c r="F41" s="521"/>
      <c r="G41" s="520"/>
      <c r="H41" s="657"/>
      <c r="I41" s="658"/>
      <c r="J41" s="278">
        <f t="shared" si="2"/>
        <v>0</v>
      </c>
      <c r="K41" s="660"/>
      <c r="L41" s="660"/>
      <c r="M41" s="25">
        <f t="shared" si="3"/>
      </c>
      <c r="N41" s="26">
        <f t="shared" si="4"/>
      </c>
      <c r="O41" s="661"/>
      <c r="P41" s="24">
        <f t="shared" si="0"/>
      </c>
      <c r="Q41" s="730">
        <f t="shared" si="1"/>
      </c>
      <c r="R41" s="24">
        <f t="shared" si="5"/>
      </c>
      <c r="S41" s="343">
        <f t="shared" si="6"/>
        <v>3</v>
      </c>
      <c r="T41" s="347" t="str">
        <f t="shared" si="7"/>
        <v>--</v>
      </c>
      <c r="U41" s="353" t="str">
        <f t="shared" si="8"/>
        <v>--</v>
      </c>
      <c r="V41" s="362" t="str">
        <f t="shared" si="9"/>
        <v>--</v>
      </c>
      <c r="W41" s="363" t="str">
        <f t="shared" si="10"/>
        <v>--</v>
      </c>
      <c r="X41" s="371" t="str">
        <f t="shared" si="11"/>
        <v>--</v>
      </c>
      <c r="Y41" s="372" t="str">
        <f t="shared" si="12"/>
        <v>--</v>
      </c>
      <c r="Z41" s="377" t="str">
        <f t="shared" si="13"/>
        <v>--</v>
      </c>
      <c r="AA41" s="383" t="str">
        <f t="shared" si="14"/>
        <v>--</v>
      </c>
      <c r="AB41" s="24">
        <f t="shared" si="15"/>
      </c>
      <c r="AC41" s="57">
        <f t="shared" si="16"/>
      </c>
      <c r="AD41" s="32"/>
    </row>
    <row r="42" spans="1:30" s="11" customFormat="1" ht="16.5" customHeight="1">
      <c r="A42" s="174"/>
      <c r="B42" s="180"/>
      <c r="C42" s="656"/>
      <c r="D42" s="656"/>
      <c r="E42" s="656"/>
      <c r="F42" s="521"/>
      <c r="G42" s="520"/>
      <c r="H42" s="657"/>
      <c r="I42" s="658"/>
      <c r="J42" s="278">
        <f t="shared" si="2"/>
        <v>0</v>
      </c>
      <c r="K42" s="660"/>
      <c r="L42" s="660"/>
      <c r="M42" s="25">
        <f t="shared" si="3"/>
      </c>
      <c r="N42" s="26">
        <f t="shared" si="4"/>
      </c>
      <c r="O42" s="661"/>
      <c r="P42" s="24">
        <f t="shared" si="0"/>
      </c>
      <c r="Q42" s="730">
        <f t="shared" si="1"/>
      </c>
      <c r="R42" s="24">
        <f t="shared" si="5"/>
      </c>
      <c r="S42" s="343">
        <f t="shared" si="6"/>
        <v>3</v>
      </c>
      <c r="T42" s="347" t="str">
        <f t="shared" si="7"/>
        <v>--</v>
      </c>
      <c r="U42" s="353" t="str">
        <f t="shared" si="8"/>
        <v>--</v>
      </c>
      <c r="V42" s="362" t="str">
        <f t="shared" si="9"/>
        <v>--</v>
      </c>
      <c r="W42" s="363" t="str">
        <f t="shared" si="10"/>
        <v>--</v>
      </c>
      <c r="X42" s="371" t="str">
        <f t="shared" si="11"/>
        <v>--</v>
      </c>
      <c r="Y42" s="372" t="str">
        <f t="shared" si="12"/>
        <v>--</v>
      </c>
      <c r="Z42" s="377" t="str">
        <f t="shared" si="13"/>
        <v>--</v>
      </c>
      <c r="AA42" s="383" t="str">
        <f t="shared" si="14"/>
        <v>--</v>
      </c>
      <c r="AB42" s="24">
        <f t="shared" si="15"/>
      </c>
      <c r="AC42" s="57">
        <f t="shared" si="16"/>
      </c>
      <c r="AD42" s="32"/>
    </row>
    <row r="43" spans="1:30" s="11" customFormat="1" ht="16.5" customHeight="1">
      <c r="A43" s="174"/>
      <c r="B43" s="180"/>
      <c r="C43" s="656"/>
      <c r="D43" s="656"/>
      <c r="E43" s="656"/>
      <c r="F43" s="521"/>
      <c r="G43" s="520"/>
      <c r="H43" s="657"/>
      <c r="I43" s="658"/>
      <c r="J43" s="278">
        <f t="shared" si="2"/>
        <v>0</v>
      </c>
      <c r="K43" s="660"/>
      <c r="L43" s="660"/>
      <c r="M43" s="25">
        <f t="shared" si="3"/>
      </c>
      <c r="N43" s="26">
        <f t="shared" si="4"/>
      </c>
      <c r="O43" s="661"/>
      <c r="P43" s="24">
        <f t="shared" si="0"/>
      </c>
      <c r="Q43" s="730">
        <f t="shared" si="1"/>
      </c>
      <c r="R43" s="24">
        <f t="shared" si="5"/>
      </c>
      <c r="S43" s="343">
        <f t="shared" si="6"/>
        <v>3</v>
      </c>
      <c r="T43" s="347" t="str">
        <f t="shared" si="7"/>
        <v>--</v>
      </c>
      <c r="U43" s="353" t="str">
        <f t="shared" si="8"/>
        <v>--</v>
      </c>
      <c r="V43" s="362" t="str">
        <f t="shared" si="9"/>
        <v>--</v>
      </c>
      <c r="W43" s="363" t="str">
        <f t="shared" si="10"/>
        <v>--</v>
      </c>
      <c r="X43" s="371" t="str">
        <f t="shared" si="11"/>
        <v>--</v>
      </c>
      <c r="Y43" s="372" t="str">
        <f t="shared" si="12"/>
        <v>--</v>
      </c>
      <c r="Z43" s="377" t="str">
        <f t="shared" si="13"/>
        <v>--</v>
      </c>
      <c r="AA43" s="383" t="str">
        <f t="shared" si="14"/>
        <v>--</v>
      </c>
      <c r="AB43" s="24">
        <f t="shared" si="15"/>
      </c>
      <c r="AC43" s="57">
        <f t="shared" si="16"/>
      </c>
      <c r="AD43" s="32"/>
    </row>
    <row r="44" spans="1:30" s="11" customFormat="1" ht="16.5" customHeight="1" thickBot="1">
      <c r="A44" s="174"/>
      <c r="B44" s="180"/>
      <c r="C44" s="659"/>
      <c r="D44" s="659"/>
      <c r="E44" s="659"/>
      <c r="F44" s="659"/>
      <c r="G44" s="659"/>
      <c r="H44" s="659"/>
      <c r="I44" s="659"/>
      <c r="J44" s="281"/>
      <c r="K44" s="659"/>
      <c r="L44" s="659"/>
      <c r="M44" s="27"/>
      <c r="N44" s="27"/>
      <c r="O44" s="659"/>
      <c r="P44" s="659"/>
      <c r="Q44" s="659"/>
      <c r="R44" s="659"/>
      <c r="S44" s="344"/>
      <c r="T44" s="348"/>
      <c r="U44" s="354"/>
      <c r="V44" s="386"/>
      <c r="W44" s="387"/>
      <c r="X44" s="388"/>
      <c r="Y44" s="389"/>
      <c r="Z44" s="378"/>
      <c r="AA44" s="384"/>
      <c r="AB44" s="27"/>
      <c r="AC44" s="220"/>
      <c r="AD44" s="32"/>
    </row>
    <row r="45" spans="1:30" s="11" customFormat="1" ht="16.5" customHeight="1" thickBot="1" thickTop="1">
      <c r="A45" s="174"/>
      <c r="B45" s="180"/>
      <c r="C45" s="249" t="s">
        <v>65</v>
      </c>
      <c r="D45" s="829" t="s">
        <v>180</v>
      </c>
      <c r="E45" s="713"/>
      <c r="F45" s="25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49">
        <f aca="true" t="shared" si="17" ref="T45:AA45">SUM(T22:T44)</f>
        <v>11.390625000000002</v>
      </c>
      <c r="U45" s="355">
        <f t="shared" si="17"/>
        <v>0</v>
      </c>
      <c r="V45" s="364">
        <f t="shared" si="17"/>
        <v>0</v>
      </c>
      <c r="W45" s="364">
        <f t="shared" si="17"/>
        <v>0</v>
      </c>
      <c r="X45" s="373">
        <f t="shared" si="17"/>
        <v>0</v>
      </c>
      <c r="Y45" s="373">
        <f t="shared" si="17"/>
        <v>0</v>
      </c>
      <c r="Z45" s="379">
        <f t="shared" si="17"/>
        <v>0</v>
      </c>
      <c r="AA45" s="385">
        <f t="shared" si="17"/>
        <v>0</v>
      </c>
      <c r="AB45" s="29"/>
      <c r="AC45" s="265">
        <f>ROUND(SUM(AC22:AC44),2)</f>
        <v>11.39</v>
      </c>
      <c r="AD45" s="32"/>
    </row>
    <row r="46" spans="1:30" s="268" customFormat="1" ht="9.75" thickTop="1">
      <c r="A46" s="269"/>
      <c r="B46" s="270"/>
      <c r="C46" s="251"/>
      <c r="D46" s="251"/>
      <c r="E46" s="251"/>
      <c r="F46" s="252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2"/>
      <c r="U46" s="272"/>
      <c r="V46" s="272"/>
      <c r="W46" s="272"/>
      <c r="X46" s="272"/>
      <c r="Y46" s="272"/>
      <c r="Z46" s="272"/>
      <c r="AA46" s="272"/>
      <c r="AB46" s="271"/>
      <c r="AC46" s="273"/>
      <c r="AD46" s="274"/>
    </row>
    <row r="47" spans="1:30" s="11" customFormat="1" ht="16.5" customHeight="1" thickBot="1">
      <c r="A47" s="174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9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8"/>
  <sheetViews>
    <sheetView zoomScale="70" zoomScaleNormal="70" workbookViewId="0" topLeftCell="A1">
      <selection activeCell="I42" sqref="I42"/>
    </sheetView>
  </sheetViews>
  <sheetFormatPr defaultColWidth="11.421875" defaultRowHeight="12.75"/>
  <cols>
    <col min="1" max="1" width="6.7109375" style="0" customWidth="1"/>
    <col min="2" max="2" width="4.140625" style="0" customWidth="1"/>
    <col min="3" max="3" width="4.7109375" style="0" customWidth="1"/>
    <col min="4" max="4" width="16.00390625" style="0" customWidth="1"/>
    <col min="5" max="5" width="16.57421875" style="0" customWidth="1"/>
    <col min="6" max="6" width="30.7109375" style="0" customWidth="1"/>
    <col min="7" max="7" width="30.4218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3" customFormat="1" ht="26.25">
      <c r="W1" s="422"/>
    </row>
    <row r="2" spans="2:23" s="113" customFormat="1" ht="26.25">
      <c r="B2" s="114" t="str">
        <f>+'TOT-0611'!B2</f>
        <v>ANEXO VI al Memorandum D.T.E.E. N°482 / 2012 </v>
      </c>
      <c r="C2" s="115"/>
      <c r="D2" s="115"/>
      <c r="E2" s="115"/>
      <c r="F2" s="115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="11" customFormat="1" ht="12.75"/>
    <row r="4" spans="1:4" s="116" customFormat="1" ht="11.25">
      <c r="A4" s="716" t="s">
        <v>20</v>
      </c>
      <c r="C4" s="715"/>
      <c r="D4" s="715"/>
    </row>
    <row r="5" spans="1:4" s="116" customFormat="1" ht="11.25">
      <c r="A5" s="716" t="s">
        <v>139</v>
      </c>
      <c r="C5" s="715"/>
      <c r="D5" s="715"/>
    </row>
    <row r="6" s="11" customFormat="1" ht="12.75"/>
    <row r="7" s="11" customFormat="1" ht="13.5" thickBot="1"/>
    <row r="8" spans="2:23" s="11" customFormat="1" ht="13.5" thickTop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</row>
    <row r="9" spans="2:23" s="118" customFormat="1" ht="20.25">
      <c r="B9" s="117"/>
      <c r="C9" s="20"/>
      <c r="D9" s="20"/>
      <c r="E9" s="20"/>
      <c r="F9" s="20" t="s">
        <v>41</v>
      </c>
      <c r="G9" s="78"/>
      <c r="H9" s="139"/>
      <c r="I9" s="138"/>
      <c r="J9" s="138"/>
      <c r="K9" s="138"/>
      <c r="L9" s="138"/>
      <c r="M9" s="138"/>
      <c r="N9" s="138"/>
      <c r="O9" s="139"/>
      <c r="P9" s="139"/>
      <c r="Q9" s="139"/>
      <c r="R9" s="139"/>
      <c r="S9" s="139"/>
      <c r="T9" s="139"/>
      <c r="U9" s="139"/>
      <c r="V9" s="139"/>
      <c r="W9" s="172"/>
    </row>
    <row r="10" spans="2:23" s="11" customFormat="1" ht="12.75">
      <c r="B10" s="3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18" customFormat="1" ht="20.25">
      <c r="B11" s="117"/>
      <c r="F11" s="20" t="s">
        <v>86</v>
      </c>
      <c r="H11" s="59"/>
      <c r="I11" s="120"/>
      <c r="J11" s="120"/>
      <c r="K11" s="120"/>
      <c r="L11" s="120"/>
      <c r="M11" s="120"/>
      <c r="N11" s="120"/>
      <c r="O11" s="120"/>
      <c r="P11" s="120"/>
      <c r="Q11" s="39"/>
      <c r="R11" s="39"/>
      <c r="S11" s="39"/>
      <c r="T11" s="39"/>
      <c r="U11" s="39"/>
      <c r="V11" s="39"/>
      <c r="W11" s="119"/>
    </row>
    <row r="12" spans="2:23" s="11" customFormat="1" ht="16.5" customHeight="1">
      <c r="B12" s="38"/>
      <c r="C12" s="9"/>
      <c r="D12" s="9"/>
      <c r="E12" s="9"/>
      <c r="F12" s="130"/>
      <c r="H12" s="140"/>
      <c r="I12" s="126"/>
      <c r="J12" s="126"/>
      <c r="K12" s="126"/>
      <c r="L12" s="126"/>
      <c r="M12" s="126"/>
      <c r="N12" s="126"/>
      <c r="O12" s="126"/>
      <c r="P12" s="126"/>
      <c r="Q12" s="9"/>
      <c r="R12" s="9"/>
      <c r="S12" s="9"/>
      <c r="T12" s="9"/>
      <c r="U12" s="9"/>
      <c r="V12" s="9"/>
      <c r="W12" s="12"/>
    </row>
    <row r="13" spans="2:23" s="125" customFormat="1" ht="16.5" customHeight="1">
      <c r="B13" s="93" t="str">
        <f>+'TOT-0611'!B14</f>
        <v>Desde el 01 al 30 de junio de 2011</v>
      </c>
      <c r="C13" s="121"/>
      <c r="D13" s="121"/>
      <c r="E13" s="121"/>
      <c r="F13" s="123"/>
      <c r="G13" s="123"/>
      <c r="H13" s="123"/>
      <c r="I13" s="123"/>
      <c r="J13" s="92"/>
      <c r="K13" s="123"/>
      <c r="L13" s="123"/>
      <c r="M13" s="123"/>
      <c r="N13" s="123"/>
      <c r="O13" s="123"/>
      <c r="P13" s="123"/>
      <c r="Q13" s="121"/>
      <c r="R13" s="121"/>
      <c r="S13" s="121"/>
      <c r="T13" s="121"/>
      <c r="U13" s="121"/>
      <c r="V13" s="121"/>
      <c r="W13" s="124"/>
    </row>
    <row r="14" spans="2:23" s="11" customFormat="1" ht="16.5" customHeight="1" thickBot="1">
      <c r="B14" s="3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38"/>
      <c r="C15" s="9"/>
      <c r="D15" s="9"/>
      <c r="E15" s="9"/>
      <c r="F15" s="223" t="s">
        <v>87</v>
      </c>
      <c r="G15" s="230"/>
      <c r="H15" s="231"/>
      <c r="I15" s="232"/>
      <c r="J15" s="417">
        <v>0.243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38"/>
      <c r="C16" s="9"/>
      <c r="D16" s="9"/>
      <c r="E16" s="9"/>
      <c r="F16" s="233" t="s">
        <v>70</v>
      </c>
      <c r="G16" s="234"/>
      <c r="H16" s="234"/>
      <c r="I16" s="232"/>
      <c r="J16" s="235">
        <f>6*'TOT-0611'!B13</f>
        <v>6</v>
      </c>
      <c r="K16" s="244"/>
      <c r="L16" s="9"/>
      <c r="M16" s="9"/>
      <c r="N16" s="9"/>
      <c r="P16" s="9"/>
      <c r="Q16" s="9"/>
      <c r="R16" s="9"/>
      <c r="S16" s="222"/>
      <c r="T16" s="222"/>
      <c r="U16" s="222"/>
      <c r="V16" s="222"/>
      <c r="W16" s="12"/>
    </row>
    <row r="17" spans="2:23" s="11" customFormat="1" ht="16.5" customHeight="1" thickTop="1">
      <c r="B17" s="3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742" customFormat="1" ht="16.5" customHeight="1" thickBot="1">
      <c r="B18" s="739"/>
      <c r="C18" s="740">
        <v>3</v>
      </c>
      <c r="D18" s="740">
        <v>4</v>
      </c>
      <c r="E18" s="740">
        <v>5</v>
      </c>
      <c r="F18" s="740">
        <v>6</v>
      </c>
      <c r="G18" s="740">
        <v>7</v>
      </c>
      <c r="H18" s="740">
        <v>8</v>
      </c>
      <c r="I18" s="740">
        <v>9</v>
      </c>
      <c r="J18" s="740">
        <v>10</v>
      </c>
      <c r="K18" s="740">
        <v>11</v>
      </c>
      <c r="L18" s="740">
        <v>12</v>
      </c>
      <c r="M18" s="740">
        <v>13</v>
      </c>
      <c r="N18" s="740">
        <v>14</v>
      </c>
      <c r="O18" s="740">
        <v>15</v>
      </c>
      <c r="P18" s="740">
        <v>16</v>
      </c>
      <c r="Q18" s="740">
        <v>17</v>
      </c>
      <c r="R18" s="740">
        <v>18</v>
      </c>
      <c r="S18" s="740">
        <v>19</v>
      </c>
      <c r="T18" s="740">
        <v>20</v>
      </c>
      <c r="U18" s="740">
        <v>21</v>
      </c>
      <c r="V18" s="740">
        <v>22</v>
      </c>
      <c r="W18" s="741"/>
    </row>
    <row r="19" spans="2:23" s="112" customFormat="1" ht="33.75" customHeight="1" thickBot="1" thickTop="1">
      <c r="B19" s="104"/>
      <c r="C19" s="105" t="s">
        <v>47</v>
      </c>
      <c r="D19" s="105" t="s">
        <v>138</v>
      </c>
      <c r="E19" s="105" t="s">
        <v>137</v>
      </c>
      <c r="F19" s="107" t="s">
        <v>71</v>
      </c>
      <c r="G19" s="106" t="s">
        <v>18</v>
      </c>
      <c r="H19" s="236" t="s">
        <v>88</v>
      </c>
      <c r="I19" s="276" t="s">
        <v>50</v>
      </c>
      <c r="J19" s="106" t="s">
        <v>51</v>
      </c>
      <c r="K19" s="106" t="s">
        <v>52</v>
      </c>
      <c r="L19" s="107" t="s">
        <v>75</v>
      </c>
      <c r="M19" s="107" t="s">
        <v>76</v>
      </c>
      <c r="N19" s="109" t="s">
        <v>55</v>
      </c>
      <c r="O19" s="106" t="s">
        <v>89</v>
      </c>
      <c r="P19" s="341" t="s">
        <v>90</v>
      </c>
      <c r="Q19" s="350" t="s">
        <v>57</v>
      </c>
      <c r="R19" s="405" t="s">
        <v>91</v>
      </c>
      <c r="S19" s="319"/>
      <c r="T19" s="326" t="s">
        <v>61</v>
      </c>
      <c r="U19" s="110" t="s">
        <v>63</v>
      </c>
      <c r="V19" s="237" t="s">
        <v>64</v>
      </c>
      <c r="W19" s="111"/>
    </row>
    <row r="20" spans="2:23" s="11" customFormat="1" ht="16.5" customHeight="1" thickTop="1">
      <c r="B20" s="38"/>
      <c r="C20" s="227"/>
      <c r="D20" s="711"/>
      <c r="E20" s="711"/>
      <c r="F20" s="711"/>
      <c r="G20" s="228"/>
      <c r="H20" s="228"/>
      <c r="I20" s="391"/>
      <c r="J20" s="229"/>
      <c r="K20" s="229"/>
      <c r="L20" s="227"/>
      <c r="M20" s="227"/>
      <c r="N20" s="228"/>
      <c r="O20" s="171"/>
      <c r="P20" s="398"/>
      <c r="Q20" s="399"/>
      <c r="R20" s="401"/>
      <c r="S20" s="406"/>
      <c r="T20" s="414"/>
      <c r="U20" s="408"/>
      <c r="V20" s="400"/>
      <c r="W20" s="12"/>
    </row>
    <row r="21" spans="2:23" s="11" customFormat="1" ht="16.5" customHeight="1">
      <c r="B21" s="38"/>
      <c r="C21" s="80"/>
      <c r="D21" s="80"/>
      <c r="E21" s="80"/>
      <c r="F21" s="82"/>
      <c r="G21" s="81"/>
      <c r="H21" s="82"/>
      <c r="I21" s="392"/>
      <c r="J21" s="84"/>
      <c r="K21" s="85"/>
      <c r="L21" s="86"/>
      <c r="M21" s="87"/>
      <c r="N21" s="88"/>
      <c r="O21" s="83"/>
      <c r="P21" s="395"/>
      <c r="Q21" s="396"/>
      <c r="R21" s="402"/>
      <c r="S21" s="407"/>
      <c r="T21" s="415"/>
      <c r="U21" s="83"/>
      <c r="V21" s="238"/>
      <c r="W21" s="12"/>
    </row>
    <row r="22" spans="2:23" s="11" customFormat="1" ht="16.5" customHeight="1">
      <c r="B22" s="38"/>
      <c r="C22" s="520">
        <v>7</v>
      </c>
      <c r="D22" s="520">
        <v>235382</v>
      </c>
      <c r="E22" s="520">
        <v>1865</v>
      </c>
      <c r="F22" s="520" t="s">
        <v>156</v>
      </c>
      <c r="G22" s="761" t="s">
        <v>157</v>
      </c>
      <c r="H22" s="520">
        <v>50</v>
      </c>
      <c r="I22" s="393">
        <f aca="true" t="shared" si="0" ref="I22:I41">H22*$J$15</f>
        <v>12.15</v>
      </c>
      <c r="J22" s="676">
        <v>40700.41180555556</v>
      </c>
      <c r="K22" s="677">
        <v>40700.54027777778</v>
      </c>
      <c r="L22" s="89">
        <f aca="true" t="shared" si="1" ref="L22:L41">IF(F22="","",(K22-J22)*24)</f>
        <v>3.083333333255723</v>
      </c>
      <c r="M22" s="58">
        <f aca="true" t="shared" si="2" ref="M22:M41">IF(F22="","",ROUND((K22-J22)*24*60,0))</f>
        <v>185</v>
      </c>
      <c r="N22" s="679" t="s">
        <v>145</v>
      </c>
      <c r="O22" s="733" t="str">
        <f aca="true" t="shared" si="3" ref="O22:O41">IF(F22="","",IF(N22="P","--","NO"))</f>
        <v>--</v>
      </c>
      <c r="P22" s="734">
        <f aca="true" t="shared" si="4" ref="P22:P41">IF(OR(N22="P",N22="RP"),$J$16*0.1,$J$16)</f>
        <v>0.6000000000000001</v>
      </c>
      <c r="Q22" s="735">
        <f aca="true" t="shared" si="5" ref="Q22:Q41">IF(N22="P",I22*P22*ROUND(M22/60,2),"--")</f>
        <v>22.453200000000002</v>
      </c>
      <c r="R22" s="724" t="str">
        <f aca="true" t="shared" si="6" ref="R22:R41">IF(AND(N22="F",O22="NO"),I22*P22,"--")</f>
        <v>--</v>
      </c>
      <c r="S22" s="736" t="str">
        <f aca="true" t="shared" si="7" ref="S22:S41">IF(N22="F",I22*P22*ROUND(M22/60,2),"--")</f>
        <v>--</v>
      </c>
      <c r="T22" s="737" t="str">
        <f aca="true" t="shared" si="8" ref="T22:T41">IF(N22="RF",I22*P22*ROUND(M22/60,2),"--")</f>
        <v>--</v>
      </c>
      <c r="U22" s="733" t="s">
        <v>146</v>
      </c>
      <c r="V22" s="90">
        <f aca="true" t="shared" si="9" ref="V22:V41">IF(F22="","",SUM(Q22:T22)*IF(U22="SI",1,2))</f>
        <v>22.453200000000002</v>
      </c>
      <c r="W22" s="12"/>
    </row>
    <row r="23" spans="2:23" s="11" customFormat="1" ht="16.5" customHeight="1">
      <c r="B23" s="38"/>
      <c r="C23" s="520"/>
      <c r="D23" s="520"/>
      <c r="E23" s="520"/>
      <c r="F23" s="672"/>
      <c r="G23" s="671"/>
      <c r="H23" s="672"/>
      <c r="I23" s="393">
        <f t="shared" si="0"/>
        <v>0</v>
      </c>
      <c r="J23" s="676"/>
      <c r="K23" s="677"/>
      <c r="L23" s="89">
        <f t="shared" si="1"/>
      </c>
      <c r="M23" s="58">
        <f t="shared" si="2"/>
      </c>
      <c r="N23" s="679"/>
      <c r="O23" s="733">
        <f t="shared" si="3"/>
      </c>
      <c r="P23" s="734">
        <f t="shared" si="4"/>
        <v>6</v>
      </c>
      <c r="Q23" s="735" t="str">
        <f t="shared" si="5"/>
        <v>--</v>
      </c>
      <c r="R23" s="724" t="str">
        <f t="shared" si="6"/>
        <v>--</v>
      </c>
      <c r="S23" s="736" t="str">
        <f t="shared" si="7"/>
        <v>--</v>
      </c>
      <c r="T23" s="737" t="str">
        <f t="shared" si="8"/>
        <v>--</v>
      </c>
      <c r="U23" s="733">
        <f aca="true" t="shared" si="10" ref="U23:U41">IF(F23="","","SI")</f>
      </c>
      <c r="V23" s="90">
        <f t="shared" si="9"/>
      </c>
      <c r="W23" s="12"/>
    </row>
    <row r="24" spans="2:23" s="11" customFormat="1" ht="16.5" customHeight="1">
      <c r="B24" s="38"/>
      <c r="C24" s="520"/>
      <c r="D24" s="520"/>
      <c r="E24" s="520"/>
      <c r="F24" s="672"/>
      <c r="G24" s="671"/>
      <c r="H24" s="672"/>
      <c r="I24" s="393">
        <f t="shared" si="0"/>
        <v>0</v>
      </c>
      <c r="J24" s="676"/>
      <c r="K24" s="677"/>
      <c r="L24" s="89">
        <f t="shared" si="1"/>
      </c>
      <c r="M24" s="58">
        <f t="shared" si="2"/>
      </c>
      <c r="N24" s="679"/>
      <c r="O24" s="733">
        <f t="shared" si="3"/>
      </c>
      <c r="P24" s="734">
        <f t="shared" si="4"/>
        <v>6</v>
      </c>
      <c r="Q24" s="735" t="str">
        <f t="shared" si="5"/>
        <v>--</v>
      </c>
      <c r="R24" s="724" t="str">
        <f t="shared" si="6"/>
        <v>--</v>
      </c>
      <c r="S24" s="736" t="str">
        <f t="shared" si="7"/>
        <v>--</v>
      </c>
      <c r="T24" s="737" t="str">
        <f t="shared" si="8"/>
        <v>--</v>
      </c>
      <c r="U24" s="733">
        <f t="shared" si="10"/>
      </c>
      <c r="V24" s="90">
        <f t="shared" si="9"/>
      </c>
      <c r="W24" s="12"/>
    </row>
    <row r="25" spans="2:23" s="11" customFormat="1" ht="16.5" customHeight="1">
      <c r="B25" s="38"/>
      <c r="C25" s="520"/>
      <c r="D25" s="520"/>
      <c r="E25" s="520"/>
      <c r="F25" s="672"/>
      <c r="G25" s="671"/>
      <c r="H25" s="672"/>
      <c r="I25" s="393">
        <f t="shared" si="0"/>
        <v>0</v>
      </c>
      <c r="J25" s="676"/>
      <c r="K25" s="677"/>
      <c r="L25" s="89">
        <f t="shared" si="1"/>
      </c>
      <c r="M25" s="58">
        <f t="shared" si="2"/>
      </c>
      <c r="N25" s="679"/>
      <c r="O25" s="733">
        <f t="shared" si="3"/>
      </c>
      <c r="P25" s="734">
        <f t="shared" si="4"/>
        <v>6</v>
      </c>
      <c r="Q25" s="735" t="str">
        <f t="shared" si="5"/>
        <v>--</v>
      </c>
      <c r="R25" s="724" t="str">
        <f t="shared" si="6"/>
        <v>--</v>
      </c>
      <c r="S25" s="736" t="str">
        <f t="shared" si="7"/>
        <v>--</v>
      </c>
      <c r="T25" s="737" t="str">
        <f t="shared" si="8"/>
        <v>--</v>
      </c>
      <c r="U25" s="733">
        <f t="shared" si="10"/>
      </c>
      <c r="V25" s="90">
        <f t="shared" si="9"/>
      </c>
      <c r="W25" s="225"/>
    </row>
    <row r="26" spans="2:23" s="11" customFormat="1" ht="16.5" customHeight="1">
      <c r="B26" s="38"/>
      <c r="C26" s="520"/>
      <c r="D26" s="520"/>
      <c r="E26" s="520"/>
      <c r="F26" s="672"/>
      <c r="G26" s="671"/>
      <c r="H26" s="672"/>
      <c r="I26" s="393">
        <f t="shared" si="0"/>
        <v>0</v>
      </c>
      <c r="J26" s="676"/>
      <c r="K26" s="677"/>
      <c r="L26" s="89">
        <f t="shared" si="1"/>
      </c>
      <c r="M26" s="58">
        <f t="shared" si="2"/>
      </c>
      <c r="N26" s="679"/>
      <c r="O26" s="733">
        <f t="shared" si="3"/>
      </c>
      <c r="P26" s="734">
        <f t="shared" si="4"/>
        <v>6</v>
      </c>
      <c r="Q26" s="735" t="str">
        <f t="shared" si="5"/>
        <v>--</v>
      </c>
      <c r="R26" s="724" t="str">
        <f t="shared" si="6"/>
        <v>--</v>
      </c>
      <c r="S26" s="736" t="str">
        <f t="shared" si="7"/>
        <v>--</v>
      </c>
      <c r="T26" s="737" t="str">
        <f t="shared" si="8"/>
        <v>--</v>
      </c>
      <c r="U26" s="733">
        <f t="shared" si="10"/>
      </c>
      <c r="V26" s="90">
        <f t="shared" si="9"/>
      </c>
      <c r="W26" s="225"/>
    </row>
    <row r="27" spans="2:23" s="11" customFormat="1" ht="16.5" customHeight="1">
      <c r="B27" s="38"/>
      <c r="C27" s="520"/>
      <c r="D27" s="520"/>
      <c r="E27" s="520"/>
      <c r="F27" s="672"/>
      <c r="G27" s="671"/>
      <c r="H27" s="672"/>
      <c r="I27" s="393">
        <f t="shared" si="0"/>
        <v>0</v>
      </c>
      <c r="J27" s="676"/>
      <c r="K27" s="677"/>
      <c r="L27" s="89">
        <f t="shared" si="1"/>
      </c>
      <c r="M27" s="58">
        <f t="shared" si="2"/>
      </c>
      <c r="N27" s="679"/>
      <c r="O27" s="733">
        <f t="shared" si="3"/>
      </c>
      <c r="P27" s="734">
        <f t="shared" si="4"/>
        <v>6</v>
      </c>
      <c r="Q27" s="735" t="str">
        <f t="shared" si="5"/>
        <v>--</v>
      </c>
      <c r="R27" s="724" t="str">
        <f t="shared" si="6"/>
        <v>--</v>
      </c>
      <c r="S27" s="736" t="str">
        <f t="shared" si="7"/>
        <v>--</v>
      </c>
      <c r="T27" s="737" t="str">
        <f t="shared" si="8"/>
        <v>--</v>
      </c>
      <c r="U27" s="733">
        <f t="shared" si="10"/>
      </c>
      <c r="V27" s="90">
        <f t="shared" si="9"/>
      </c>
      <c r="W27" s="225"/>
    </row>
    <row r="28" spans="2:23" s="11" customFormat="1" ht="16.5" customHeight="1">
      <c r="B28" s="38"/>
      <c r="C28" s="520"/>
      <c r="D28" s="520"/>
      <c r="E28" s="520"/>
      <c r="F28" s="672"/>
      <c r="G28" s="671"/>
      <c r="H28" s="672"/>
      <c r="I28" s="393">
        <f t="shared" si="0"/>
        <v>0</v>
      </c>
      <c r="J28" s="676"/>
      <c r="K28" s="677"/>
      <c r="L28" s="89">
        <f t="shared" si="1"/>
      </c>
      <c r="M28" s="58">
        <f t="shared" si="2"/>
      </c>
      <c r="N28" s="679"/>
      <c r="O28" s="733">
        <f t="shared" si="3"/>
      </c>
      <c r="P28" s="734">
        <f t="shared" si="4"/>
        <v>6</v>
      </c>
      <c r="Q28" s="735" t="str">
        <f t="shared" si="5"/>
        <v>--</v>
      </c>
      <c r="R28" s="724" t="str">
        <f t="shared" si="6"/>
        <v>--</v>
      </c>
      <c r="S28" s="736" t="str">
        <f t="shared" si="7"/>
        <v>--</v>
      </c>
      <c r="T28" s="737" t="str">
        <f t="shared" si="8"/>
        <v>--</v>
      </c>
      <c r="U28" s="733">
        <f t="shared" si="10"/>
      </c>
      <c r="V28" s="90">
        <f t="shared" si="9"/>
      </c>
      <c r="W28" s="225"/>
    </row>
    <row r="29" spans="2:23" s="11" customFormat="1" ht="16.5" customHeight="1">
      <c r="B29" s="38"/>
      <c r="C29" s="520"/>
      <c r="D29" s="520"/>
      <c r="E29" s="520"/>
      <c r="F29" s="672"/>
      <c r="G29" s="671"/>
      <c r="H29" s="672"/>
      <c r="I29" s="393">
        <f t="shared" si="0"/>
        <v>0</v>
      </c>
      <c r="J29" s="676"/>
      <c r="K29" s="677"/>
      <c r="L29" s="89">
        <f t="shared" si="1"/>
      </c>
      <c r="M29" s="58">
        <f t="shared" si="2"/>
      </c>
      <c r="N29" s="679"/>
      <c r="O29" s="733">
        <f t="shared" si="3"/>
      </c>
      <c r="P29" s="734">
        <f t="shared" si="4"/>
        <v>6</v>
      </c>
      <c r="Q29" s="735" t="str">
        <f t="shared" si="5"/>
        <v>--</v>
      </c>
      <c r="R29" s="724" t="str">
        <f t="shared" si="6"/>
        <v>--</v>
      </c>
      <c r="S29" s="736" t="str">
        <f t="shared" si="7"/>
        <v>--</v>
      </c>
      <c r="T29" s="737" t="str">
        <f t="shared" si="8"/>
        <v>--</v>
      </c>
      <c r="U29" s="733">
        <f t="shared" si="10"/>
      </c>
      <c r="V29" s="90">
        <f t="shared" si="9"/>
      </c>
      <c r="W29" s="225"/>
    </row>
    <row r="30" spans="2:23" s="11" customFormat="1" ht="16.5" customHeight="1">
      <c r="B30" s="38"/>
      <c r="C30" s="520"/>
      <c r="D30" s="520"/>
      <c r="E30" s="520"/>
      <c r="F30" s="672"/>
      <c r="G30" s="671"/>
      <c r="H30" s="672"/>
      <c r="I30" s="393">
        <f t="shared" si="0"/>
        <v>0</v>
      </c>
      <c r="J30" s="676"/>
      <c r="K30" s="677"/>
      <c r="L30" s="89">
        <f t="shared" si="1"/>
      </c>
      <c r="M30" s="58">
        <f t="shared" si="2"/>
      </c>
      <c r="N30" s="679"/>
      <c r="O30" s="733">
        <f t="shared" si="3"/>
      </c>
      <c r="P30" s="734">
        <f t="shared" si="4"/>
        <v>6</v>
      </c>
      <c r="Q30" s="735" t="str">
        <f t="shared" si="5"/>
        <v>--</v>
      </c>
      <c r="R30" s="724" t="str">
        <f t="shared" si="6"/>
        <v>--</v>
      </c>
      <c r="S30" s="736" t="str">
        <f t="shared" si="7"/>
        <v>--</v>
      </c>
      <c r="T30" s="737" t="str">
        <f t="shared" si="8"/>
        <v>--</v>
      </c>
      <c r="U30" s="733">
        <f t="shared" si="10"/>
      </c>
      <c r="V30" s="90">
        <f t="shared" si="9"/>
      </c>
      <c r="W30" s="225"/>
    </row>
    <row r="31" spans="2:23" s="11" customFormat="1" ht="16.5" customHeight="1">
      <c r="B31" s="38"/>
      <c r="C31" s="520"/>
      <c r="D31" s="520"/>
      <c r="E31" s="520"/>
      <c r="F31" s="672"/>
      <c r="G31" s="671"/>
      <c r="H31" s="672"/>
      <c r="I31" s="393">
        <f t="shared" si="0"/>
        <v>0</v>
      </c>
      <c r="J31" s="676"/>
      <c r="K31" s="677"/>
      <c r="L31" s="89">
        <f t="shared" si="1"/>
      </c>
      <c r="M31" s="58">
        <f t="shared" si="2"/>
      </c>
      <c r="N31" s="679"/>
      <c r="O31" s="733">
        <f t="shared" si="3"/>
      </c>
      <c r="P31" s="734">
        <f t="shared" si="4"/>
        <v>6</v>
      </c>
      <c r="Q31" s="735" t="str">
        <f t="shared" si="5"/>
        <v>--</v>
      </c>
      <c r="R31" s="724" t="str">
        <f t="shared" si="6"/>
        <v>--</v>
      </c>
      <c r="S31" s="736" t="str">
        <f t="shared" si="7"/>
        <v>--</v>
      </c>
      <c r="T31" s="737" t="str">
        <f t="shared" si="8"/>
        <v>--</v>
      </c>
      <c r="U31" s="733">
        <f t="shared" si="10"/>
      </c>
      <c r="V31" s="90">
        <f t="shared" si="9"/>
      </c>
      <c r="W31" s="12"/>
    </row>
    <row r="32" spans="2:23" s="11" customFormat="1" ht="16.5" customHeight="1">
      <c r="B32" s="38"/>
      <c r="C32" s="520"/>
      <c r="D32" s="520"/>
      <c r="E32" s="520"/>
      <c r="F32" s="672"/>
      <c r="G32" s="671"/>
      <c r="H32" s="672"/>
      <c r="I32" s="393">
        <f t="shared" si="0"/>
        <v>0</v>
      </c>
      <c r="J32" s="676"/>
      <c r="K32" s="677"/>
      <c r="L32" s="89">
        <f t="shared" si="1"/>
      </c>
      <c r="M32" s="58">
        <f t="shared" si="2"/>
      </c>
      <c r="N32" s="679"/>
      <c r="O32" s="733">
        <f t="shared" si="3"/>
      </c>
      <c r="P32" s="734">
        <f t="shared" si="4"/>
        <v>6</v>
      </c>
      <c r="Q32" s="735" t="str">
        <f t="shared" si="5"/>
        <v>--</v>
      </c>
      <c r="R32" s="724" t="str">
        <f t="shared" si="6"/>
        <v>--</v>
      </c>
      <c r="S32" s="736" t="str">
        <f t="shared" si="7"/>
        <v>--</v>
      </c>
      <c r="T32" s="737" t="str">
        <f t="shared" si="8"/>
        <v>--</v>
      </c>
      <c r="U32" s="733">
        <f t="shared" si="10"/>
      </c>
      <c r="V32" s="90">
        <f t="shared" si="9"/>
      </c>
      <c r="W32" s="12"/>
    </row>
    <row r="33" spans="2:23" s="11" customFormat="1" ht="16.5" customHeight="1">
      <c r="B33" s="38"/>
      <c r="C33" s="520"/>
      <c r="D33" s="520"/>
      <c r="E33" s="520"/>
      <c r="F33" s="672"/>
      <c r="G33" s="671"/>
      <c r="H33" s="672"/>
      <c r="I33" s="393">
        <f t="shared" si="0"/>
        <v>0</v>
      </c>
      <c r="J33" s="676"/>
      <c r="K33" s="677"/>
      <c r="L33" s="89">
        <f t="shared" si="1"/>
      </c>
      <c r="M33" s="58">
        <f t="shared" si="2"/>
      </c>
      <c r="N33" s="679"/>
      <c r="O33" s="733">
        <f t="shared" si="3"/>
      </c>
      <c r="P33" s="734">
        <f t="shared" si="4"/>
        <v>6</v>
      </c>
      <c r="Q33" s="735" t="str">
        <f t="shared" si="5"/>
        <v>--</v>
      </c>
      <c r="R33" s="724" t="str">
        <f t="shared" si="6"/>
        <v>--</v>
      </c>
      <c r="S33" s="736" t="str">
        <f t="shared" si="7"/>
        <v>--</v>
      </c>
      <c r="T33" s="737" t="str">
        <f t="shared" si="8"/>
        <v>--</v>
      </c>
      <c r="U33" s="733">
        <f t="shared" si="10"/>
      </c>
      <c r="V33" s="90">
        <f t="shared" si="9"/>
      </c>
      <c r="W33" s="12"/>
    </row>
    <row r="34" spans="2:23" s="11" customFormat="1" ht="16.5" customHeight="1">
      <c r="B34" s="38"/>
      <c r="C34" s="520"/>
      <c r="D34" s="520"/>
      <c r="E34" s="520"/>
      <c r="F34" s="672"/>
      <c r="G34" s="671"/>
      <c r="H34" s="672"/>
      <c r="I34" s="393">
        <f t="shared" si="0"/>
        <v>0</v>
      </c>
      <c r="J34" s="676"/>
      <c r="K34" s="677"/>
      <c r="L34" s="89">
        <f t="shared" si="1"/>
      </c>
      <c r="M34" s="58">
        <f t="shared" si="2"/>
      </c>
      <c r="N34" s="679"/>
      <c r="O34" s="733">
        <f t="shared" si="3"/>
      </c>
      <c r="P34" s="734">
        <f t="shared" si="4"/>
        <v>6</v>
      </c>
      <c r="Q34" s="735" t="str">
        <f t="shared" si="5"/>
        <v>--</v>
      </c>
      <c r="R34" s="724" t="str">
        <f t="shared" si="6"/>
        <v>--</v>
      </c>
      <c r="S34" s="736" t="str">
        <f t="shared" si="7"/>
        <v>--</v>
      </c>
      <c r="T34" s="737" t="str">
        <f t="shared" si="8"/>
        <v>--</v>
      </c>
      <c r="U34" s="733">
        <f t="shared" si="10"/>
      </c>
      <c r="V34" s="90">
        <f t="shared" si="9"/>
      </c>
      <c r="W34" s="12"/>
    </row>
    <row r="35" spans="2:23" s="11" customFormat="1" ht="16.5" customHeight="1">
      <c r="B35" s="38"/>
      <c r="C35" s="520"/>
      <c r="D35" s="520"/>
      <c r="E35" s="520"/>
      <c r="F35" s="672"/>
      <c r="G35" s="671"/>
      <c r="H35" s="672"/>
      <c r="I35" s="393">
        <f t="shared" si="0"/>
        <v>0</v>
      </c>
      <c r="J35" s="676"/>
      <c r="K35" s="677"/>
      <c r="L35" s="89">
        <f t="shared" si="1"/>
      </c>
      <c r="M35" s="58">
        <f t="shared" si="2"/>
      </c>
      <c r="N35" s="679"/>
      <c r="O35" s="733">
        <f t="shared" si="3"/>
      </c>
      <c r="P35" s="734">
        <f t="shared" si="4"/>
        <v>6</v>
      </c>
      <c r="Q35" s="735" t="str">
        <f t="shared" si="5"/>
        <v>--</v>
      </c>
      <c r="R35" s="724" t="str">
        <f t="shared" si="6"/>
        <v>--</v>
      </c>
      <c r="S35" s="736" t="str">
        <f t="shared" si="7"/>
        <v>--</v>
      </c>
      <c r="T35" s="737" t="str">
        <f t="shared" si="8"/>
        <v>--</v>
      </c>
      <c r="U35" s="733">
        <f t="shared" si="10"/>
      </c>
      <c r="V35" s="90">
        <f t="shared" si="9"/>
      </c>
      <c r="W35" s="12"/>
    </row>
    <row r="36" spans="2:23" s="11" customFormat="1" ht="16.5" customHeight="1">
      <c r="B36" s="38"/>
      <c r="C36" s="520"/>
      <c r="D36" s="520"/>
      <c r="E36" s="520"/>
      <c r="F36" s="672"/>
      <c r="G36" s="671"/>
      <c r="H36" s="672"/>
      <c r="I36" s="393">
        <f t="shared" si="0"/>
        <v>0</v>
      </c>
      <c r="J36" s="676"/>
      <c r="K36" s="677"/>
      <c r="L36" s="89">
        <f t="shared" si="1"/>
      </c>
      <c r="M36" s="58">
        <f t="shared" si="2"/>
      </c>
      <c r="N36" s="679"/>
      <c r="O36" s="733">
        <f t="shared" si="3"/>
      </c>
      <c r="P36" s="734">
        <f t="shared" si="4"/>
        <v>6</v>
      </c>
      <c r="Q36" s="735" t="str">
        <f t="shared" si="5"/>
        <v>--</v>
      </c>
      <c r="R36" s="724" t="str">
        <f t="shared" si="6"/>
        <v>--</v>
      </c>
      <c r="S36" s="736" t="str">
        <f t="shared" si="7"/>
        <v>--</v>
      </c>
      <c r="T36" s="737" t="str">
        <f t="shared" si="8"/>
        <v>--</v>
      </c>
      <c r="U36" s="733">
        <f t="shared" si="10"/>
      </c>
      <c r="V36" s="90">
        <f t="shared" si="9"/>
      </c>
      <c r="W36" s="12"/>
    </row>
    <row r="37" spans="2:23" s="11" customFormat="1" ht="16.5" customHeight="1">
      <c r="B37" s="38"/>
      <c r="C37" s="520"/>
      <c r="D37" s="520"/>
      <c r="E37" s="520"/>
      <c r="F37" s="672"/>
      <c r="G37" s="671"/>
      <c r="H37" s="672"/>
      <c r="I37" s="393">
        <f t="shared" si="0"/>
        <v>0</v>
      </c>
      <c r="J37" s="676"/>
      <c r="K37" s="677"/>
      <c r="L37" s="89">
        <f t="shared" si="1"/>
      </c>
      <c r="M37" s="58">
        <f t="shared" si="2"/>
      </c>
      <c r="N37" s="679"/>
      <c r="O37" s="733">
        <f t="shared" si="3"/>
      </c>
      <c r="P37" s="734">
        <f t="shared" si="4"/>
        <v>6</v>
      </c>
      <c r="Q37" s="735" t="str">
        <f t="shared" si="5"/>
        <v>--</v>
      </c>
      <c r="R37" s="724" t="str">
        <f t="shared" si="6"/>
        <v>--</v>
      </c>
      <c r="S37" s="736" t="str">
        <f t="shared" si="7"/>
        <v>--</v>
      </c>
      <c r="T37" s="737" t="str">
        <f t="shared" si="8"/>
        <v>--</v>
      </c>
      <c r="U37" s="733">
        <f t="shared" si="10"/>
      </c>
      <c r="V37" s="90">
        <f t="shared" si="9"/>
      </c>
      <c r="W37" s="12"/>
    </row>
    <row r="38" spans="2:23" s="11" customFormat="1" ht="16.5" customHeight="1">
      <c r="B38" s="38"/>
      <c r="C38" s="520"/>
      <c r="D38" s="520"/>
      <c r="E38" s="520"/>
      <c r="F38" s="672"/>
      <c r="G38" s="671"/>
      <c r="H38" s="672"/>
      <c r="I38" s="393">
        <f t="shared" si="0"/>
        <v>0</v>
      </c>
      <c r="J38" s="676"/>
      <c r="K38" s="677"/>
      <c r="L38" s="89">
        <f t="shared" si="1"/>
      </c>
      <c r="M38" s="58">
        <f t="shared" si="2"/>
      </c>
      <c r="N38" s="679"/>
      <c r="O38" s="733">
        <f t="shared" si="3"/>
      </c>
      <c r="P38" s="734">
        <f t="shared" si="4"/>
        <v>6</v>
      </c>
      <c r="Q38" s="735" t="str">
        <f t="shared" si="5"/>
        <v>--</v>
      </c>
      <c r="R38" s="724" t="str">
        <f t="shared" si="6"/>
        <v>--</v>
      </c>
      <c r="S38" s="736" t="str">
        <f t="shared" si="7"/>
        <v>--</v>
      </c>
      <c r="T38" s="737" t="str">
        <f t="shared" si="8"/>
        <v>--</v>
      </c>
      <c r="U38" s="733">
        <f t="shared" si="10"/>
      </c>
      <c r="V38" s="90">
        <f t="shared" si="9"/>
      </c>
      <c r="W38" s="12"/>
    </row>
    <row r="39" spans="2:23" s="11" customFormat="1" ht="16.5" customHeight="1">
      <c r="B39" s="38"/>
      <c r="C39" s="520"/>
      <c r="D39" s="520"/>
      <c r="E39" s="520"/>
      <c r="F39" s="672"/>
      <c r="G39" s="671"/>
      <c r="H39" s="672"/>
      <c r="I39" s="393">
        <f t="shared" si="0"/>
        <v>0</v>
      </c>
      <c r="J39" s="676"/>
      <c r="K39" s="677"/>
      <c r="L39" s="89">
        <f t="shared" si="1"/>
      </c>
      <c r="M39" s="58">
        <f t="shared" si="2"/>
      </c>
      <c r="N39" s="679"/>
      <c r="O39" s="733">
        <f t="shared" si="3"/>
      </c>
      <c r="P39" s="734">
        <f t="shared" si="4"/>
        <v>6</v>
      </c>
      <c r="Q39" s="735" t="str">
        <f t="shared" si="5"/>
        <v>--</v>
      </c>
      <c r="R39" s="724" t="str">
        <f t="shared" si="6"/>
        <v>--</v>
      </c>
      <c r="S39" s="736" t="str">
        <f t="shared" si="7"/>
        <v>--</v>
      </c>
      <c r="T39" s="737" t="str">
        <f t="shared" si="8"/>
        <v>--</v>
      </c>
      <c r="U39" s="733">
        <f t="shared" si="10"/>
      </c>
      <c r="V39" s="90">
        <f t="shared" si="9"/>
      </c>
      <c r="W39" s="12"/>
    </row>
    <row r="40" spans="2:23" s="11" customFormat="1" ht="16.5" customHeight="1">
      <c r="B40" s="38"/>
      <c r="C40" s="520"/>
      <c r="D40" s="520"/>
      <c r="E40" s="520"/>
      <c r="F40" s="672"/>
      <c r="G40" s="671"/>
      <c r="H40" s="672"/>
      <c r="I40" s="393">
        <f t="shared" si="0"/>
        <v>0</v>
      </c>
      <c r="J40" s="676"/>
      <c r="K40" s="677"/>
      <c r="L40" s="89">
        <f t="shared" si="1"/>
      </c>
      <c r="M40" s="58">
        <f t="shared" si="2"/>
      </c>
      <c r="N40" s="679"/>
      <c r="O40" s="733">
        <f t="shared" si="3"/>
      </c>
      <c r="P40" s="734">
        <f t="shared" si="4"/>
        <v>6</v>
      </c>
      <c r="Q40" s="735" t="str">
        <f t="shared" si="5"/>
        <v>--</v>
      </c>
      <c r="R40" s="724" t="str">
        <f t="shared" si="6"/>
        <v>--</v>
      </c>
      <c r="S40" s="736" t="str">
        <f t="shared" si="7"/>
        <v>--</v>
      </c>
      <c r="T40" s="737" t="str">
        <f t="shared" si="8"/>
        <v>--</v>
      </c>
      <c r="U40" s="733">
        <f t="shared" si="10"/>
      </c>
      <c r="V40" s="90">
        <f t="shared" si="9"/>
      </c>
      <c r="W40" s="12"/>
    </row>
    <row r="41" spans="2:23" s="11" customFormat="1" ht="16.5" customHeight="1">
      <c r="B41" s="38"/>
      <c r="C41" s="520"/>
      <c r="D41" s="520"/>
      <c r="E41" s="520"/>
      <c r="F41" s="672"/>
      <c r="G41" s="671"/>
      <c r="H41" s="672"/>
      <c r="I41" s="393">
        <f t="shared" si="0"/>
        <v>0</v>
      </c>
      <c r="J41" s="676"/>
      <c r="K41" s="677"/>
      <c r="L41" s="89">
        <f t="shared" si="1"/>
      </c>
      <c r="M41" s="58">
        <f t="shared" si="2"/>
      </c>
      <c r="N41" s="679"/>
      <c r="O41" s="733">
        <f t="shared" si="3"/>
      </c>
      <c r="P41" s="734">
        <f t="shared" si="4"/>
        <v>6</v>
      </c>
      <c r="Q41" s="735" t="str">
        <f t="shared" si="5"/>
        <v>--</v>
      </c>
      <c r="R41" s="724" t="str">
        <f t="shared" si="6"/>
        <v>--</v>
      </c>
      <c r="S41" s="736" t="str">
        <f t="shared" si="7"/>
        <v>--</v>
      </c>
      <c r="T41" s="737" t="str">
        <f t="shared" si="8"/>
        <v>--</v>
      </c>
      <c r="U41" s="733">
        <f t="shared" si="10"/>
      </c>
      <c r="V41" s="90">
        <f t="shared" si="9"/>
      </c>
      <c r="W41" s="12"/>
    </row>
    <row r="42" spans="2:23" s="11" customFormat="1" ht="16.5" customHeight="1" thickBot="1">
      <c r="B42" s="38"/>
      <c r="C42" s="673"/>
      <c r="D42" s="673"/>
      <c r="E42" s="673"/>
      <c r="F42" s="675"/>
      <c r="G42" s="674"/>
      <c r="H42" s="675"/>
      <c r="I42" s="394"/>
      <c r="J42" s="678"/>
      <c r="K42" s="678"/>
      <c r="L42" s="91"/>
      <c r="M42" s="91"/>
      <c r="N42" s="678"/>
      <c r="O42" s="527"/>
      <c r="P42" s="680"/>
      <c r="Q42" s="681"/>
      <c r="R42" s="536"/>
      <c r="S42" s="682"/>
      <c r="T42" s="683"/>
      <c r="U42" s="527"/>
      <c r="V42" s="239"/>
      <c r="W42" s="12"/>
    </row>
    <row r="43" spans="2:23" s="11" customFormat="1" ht="16.5" customHeight="1" thickBot="1" thickTop="1">
      <c r="B43" s="38"/>
      <c r="C43" s="249" t="s">
        <v>65</v>
      </c>
      <c r="D43" s="829" t="s">
        <v>180</v>
      </c>
      <c r="E43" s="713"/>
      <c r="F43" s="250"/>
      <c r="G43"/>
      <c r="I43" s="9"/>
      <c r="J43" s="9"/>
      <c r="K43" s="9"/>
      <c r="L43" s="9"/>
      <c r="M43" s="9"/>
      <c r="N43" s="9"/>
      <c r="O43" s="9"/>
      <c r="P43" s="9"/>
      <c r="Q43" s="397">
        <f>SUM(Q20:Q42)</f>
        <v>22.453200000000002</v>
      </c>
      <c r="R43" s="403">
        <f>SUM(R20:R42)</f>
        <v>0</v>
      </c>
      <c r="S43" s="404">
        <f>SUM(S20:S42)</f>
        <v>0</v>
      </c>
      <c r="T43" s="416">
        <f>SUM(T20:T42)</f>
        <v>0</v>
      </c>
      <c r="V43" s="265">
        <f>ROUND(SUM(V20:V42),2)</f>
        <v>22.45</v>
      </c>
      <c r="W43" s="226"/>
    </row>
    <row r="44" spans="2:23" s="268" customFormat="1" ht="9.75" thickTop="1">
      <c r="B44" s="267"/>
      <c r="C44" s="266"/>
      <c r="D44" s="266"/>
      <c r="E44" s="266"/>
      <c r="F44" s="252"/>
      <c r="G44" s="264"/>
      <c r="I44" s="266"/>
      <c r="J44" s="266"/>
      <c r="K44" s="266"/>
      <c r="L44" s="266"/>
      <c r="M44" s="266"/>
      <c r="N44" s="266"/>
      <c r="O44" s="266"/>
      <c r="P44" s="266"/>
      <c r="Q44" s="282"/>
      <c r="R44" s="282"/>
      <c r="S44" s="282"/>
      <c r="T44" s="282"/>
      <c r="V44" s="273"/>
      <c r="W44" s="275"/>
    </row>
    <row r="45" spans="2:23" s="11" customFormat="1" ht="16.5" customHeight="1" thickBo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workbookViewId="0" topLeftCell="A1">
      <selection activeCell="E17" sqref="E17"/>
    </sheetView>
  </sheetViews>
  <sheetFormatPr defaultColWidth="13.421875" defaultRowHeight="12.75"/>
  <cols>
    <col min="1" max="1" width="13.28125" style="0" customWidth="1"/>
    <col min="2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4.57421875" style="0" customWidth="1"/>
    <col min="11" max="11" width="10.7109375" style="0" customWidth="1"/>
    <col min="12" max="12" width="36.710937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3" customFormat="1" ht="39.75" customHeight="1">
      <c r="P1" s="422"/>
    </row>
    <row r="2" spans="1:16" s="113" customFormat="1" ht="26.25">
      <c r="A2" s="175"/>
      <c r="B2" s="710" t="str">
        <f>'TOT-0611'!B2</f>
        <v>ANEXO VI al Memorandum D.T.E.E. N°482 / 2012 </v>
      </c>
      <c r="C2" s="710"/>
      <c r="D2" s="710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4" s="116" customFormat="1" ht="12.75">
      <c r="A3" s="716" t="s">
        <v>141</v>
      </c>
      <c r="B3" s="11"/>
      <c r="C3" s="11"/>
      <c r="D3" s="11"/>
    </row>
    <row r="4" spans="1:4" s="116" customFormat="1" ht="11.25">
      <c r="A4" s="716" t="s">
        <v>140</v>
      </c>
      <c r="B4" s="224"/>
      <c r="C4" s="224"/>
      <c r="D4" s="224"/>
    </row>
    <row r="5" spans="1:4" s="11" customFormat="1" ht="13.5" thickBot="1">
      <c r="A5" s="716"/>
      <c r="B5" s="224"/>
      <c r="C5" s="224"/>
      <c r="D5" s="224"/>
    </row>
    <row r="6" spans="1:16" s="11" customFormat="1" ht="13.5" thickTop="1">
      <c r="A6" s="9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s="118" customFormat="1" ht="20.25">
      <c r="A7" s="39"/>
      <c r="B7" s="117"/>
      <c r="C7" s="39"/>
      <c r="D7" s="20" t="s">
        <v>41</v>
      </c>
      <c r="G7" s="39"/>
      <c r="H7" s="39"/>
      <c r="I7" s="39"/>
      <c r="J7" s="39"/>
      <c r="K7" s="39"/>
      <c r="L7" s="39"/>
      <c r="M7" s="39"/>
      <c r="N7" s="39"/>
      <c r="O7" s="39"/>
      <c r="P7" s="119"/>
    </row>
    <row r="8" spans="1:16" ht="15">
      <c r="A8" s="1"/>
      <c r="B8" s="283"/>
      <c r="C8" s="66"/>
      <c r="D8" s="423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87"/>
    </row>
    <row r="9" spans="1:19" s="118" customFormat="1" ht="20.25">
      <c r="A9" s="39"/>
      <c r="B9" s="424"/>
      <c r="C9"/>
      <c r="D9" s="21" t="s">
        <v>135</v>
      </c>
      <c r="E9" s="425"/>
      <c r="F9" s="425"/>
      <c r="G9" s="425"/>
      <c r="H9" s="426"/>
      <c r="I9" s="425"/>
      <c r="J9" s="425"/>
      <c r="K9" s="425"/>
      <c r="L9" s="425"/>
      <c r="M9" s="425"/>
      <c r="N9" s="425"/>
      <c r="O9" s="425"/>
      <c r="P9" s="427"/>
      <c r="Q9" s="240"/>
      <c r="R9" s="182"/>
      <c r="S9" s="182"/>
    </row>
    <row r="10" spans="1:19" s="11" customFormat="1" ht="12.75">
      <c r="A10" s="9"/>
      <c r="B10" s="38"/>
      <c r="C10" s="9"/>
      <c r="D10" s="60"/>
      <c r="E10" s="28"/>
      <c r="F10" s="28"/>
      <c r="G10" s="28"/>
      <c r="H10" s="174"/>
      <c r="I10" s="28"/>
      <c r="J10" s="28"/>
      <c r="K10" s="28"/>
      <c r="L10" s="28"/>
      <c r="M10" s="28"/>
      <c r="N10" s="28"/>
      <c r="O10" s="28"/>
      <c r="P10" s="32"/>
      <c r="Q10" s="28"/>
      <c r="R10" s="28"/>
      <c r="S10" s="181"/>
    </row>
    <row r="11" spans="1:19" s="125" customFormat="1" ht="19.5">
      <c r="A11" s="41"/>
      <c r="B11" s="243" t="str">
        <f>+'TOT-0611'!B14</f>
        <v>Desde el 01 al 30 de junio de 2011</v>
      </c>
      <c r="C11" s="147"/>
      <c r="D11" s="201"/>
      <c r="E11" s="201"/>
      <c r="F11" s="201"/>
      <c r="G11" s="201"/>
      <c r="H11" s="201"/>
      <c r="I11" s="147"/>
      <c r="J11" s="201"/>
      <c r="K11" s="201"/>
      <c r="L11" s="201"/>
      <c r="M11" s="201"/>
      <c r="N11" s="201"/>
      <c r="O11" s="201"/>
      <c r="P11" s="428"/>
      <c r="Q11" s="429"/>
      <c r="R11" s="429"/>
      <c r="S11" s="429"/>
    </row>
    <row r="12" spans="1:19" ht="15">
      <c r="A12" s="1"/>
      <c r="B12" s="283"/>
      <c r="C12" s="66"/>
      <c r="D12" s="62"/>
      <c r="E12" s="62"/>
      <c r="F12" s="62"/>
      <c r="G12" s="62"/>
      <c r="H12" s="430"/>
      <c r="I12" s="66"/>
      <c r="J12" s="62"/>
      <c r="K12" s="62"/>
      <c r="L12" s="62"/>
      <c r="M12" s="62"/>
      <c r="N12" s="62"/>
      <c r="O12" s="62"/>
      <c r="P12" s="63"/>
      <c r="Q12" s="6"/>
      <c r="R12" s="6"/>
      <c r="S12" s="431"/>
    </row>
    <row r="13" spans="1:19" ht="18" customHeight="1">
      <c r="A13" s="1"/>
      <c r="B13" s="283"/>
      <c r="C13" s="66"/>
      <c r="D13" s="62"/>
      <c r="E13" s="62"/>
      <c r="F13" s="62"/>
      <c r="G13" s="62"/>
      <c r="H13" s="74"/>
      <c r="I13" s="74"/>
      <c r="J13" s="62"/>
      <c r="K13" s="62"/>
      <c r="P13" s="63"/>
      <c r="Q13" s="6"/>
      <c r="R13" s="6"/>
      <c r="S13" s="431"/>
    </row>
    <row r="14" spans="1:19" ht="18" customHeight="1">
      <c r="A14" s="1"/>
      <c r="B14" s="283"/>
      <c r="C14" s="66"/>
      <c r="D14" s="61"/>
      <c r="E14" s="432"/>
      <c r="F14" s="62"/>
      <c r="G14" s="62"/>
      <c r="H14" s="74"/>
      <c r="I14" s="74"/>
      <c r="J14" s="62"/>
      <c r="K14" s="62"/>
      <c r="P14" s="63"/>
      <c r="Q14" s="6"/>
      <c r="R14" s="6"/>
      <c r="S14" s="431"/>
    </row>
    <row r="15" spans="1:16" ht="16.5" thickBot="1">
      <c r="A15" s="1"/>
      <c r="B15" s="283"/>
      <c r="C15" s="433" t="s">
        <v>92</v>
      </c>
      <c r="D15" s="64"/>
      <c r="E15" s="284"/>
      <c r="F15" s="285"/>
      <c r="G15" s="66"/>
      <c r="H15" s="66"/>
      <c r="I15" s="66"/>
      <c r="J15" s="65"/>
      <c r="K15" s="65"/>
      <c r="L15" s="286"/>
      <c r="M15" s="66"/>
      <c r="N15" s="66"/>
      <c r="O15" s="66"/>
      <c r="P15" s="287"/>
    </row>
    <row r="16" spans="1:16" ht="16.5" thickBot="1">
      <c r="A16" s="1"/>
      <c r="B16" s="283"/>
      <c r="C16" s="288"/>
      <c r="D16" s="64"/>
      <c r="E16" s="284"/>
      <c r="F16" s="285"/>
      <c r="G16" s="66"/>
      <c r="H16" s="66"/>
      <c r="L16" s="434" t="s">
        <v>83</v>
      </c>
      <c r="M16" s="435">
        <v>3.243</v>
      </c>
      <c r="N16" s="436"/>
      <c r="O16" s="66"/>
      <c r="P16" s="287"/>
    </row>
    <row r="17" spans="1:16" ht="15.75">
      <c r="A17" s="1"/>
      <c r="B17" s="283"/>
      <c r="C17" s="288"/>
      <c r="D17" s="65" t="s">
        <v>93</v>
      </c>
      <c r="E17" s="289">
        <v>720</v>
      </c>
      <c r="F17" s="66" t="s">
        <v>94</v>
      </c>
      <c r="G17" s="62"/>
      <c r="H17" s="437"/>
      <c r="I17" s="438" t="s">
        <v>95</v>
      </c>
      <c r="J17" s="439">
        <v>69.722</v>
      </c>
      <c r="K17" s="418"/>
      <c r="L17" s="440" t="s">
        <v>84</v>
      </c>
      <c r="M17" s="441">
        <v>2.433</v>
      </c>
      <c r="N17" s="442"/>
      <c r="O17" s="66"/>
      <c r="P17" s="287"/>
    </row>
    <row r="18" spans="1:16" ht="16.5" thickBot="1">
      <c r="A18" s="1"/>
      <c r="B18" s="283"/>
      <c r="C18" s="288"/>
      <c r="D18" s="65" t="s">
        <v>96</v>
      </c>
      <c r="E18" s="291">
        <v>0.025</v>
      </c>
      <c r="F18" s="62"/>
      <c r="G18" s="62"/>
      <c r="H18" s="443"/>
      <c r="I18" s="444" t="s">
        <v>97</v>
      </c>
      <c r="J18" s="445">
        <v>0.243</v>
      </c>
      <c r="K18" s="446"/>
      <c r="L18" s="447" t="s">
        <v>85</v>
      </c>
      <c r="M18" s="448">
        <v>2.433</v>
      </c>
      <c r="N18" s="449"/>
      <c r="O18" s="66"/>
      <c r="P18" s="287"/>
    </row>
    <row r="19" spans="1:16" ht="15.75">
      <c r="A19" s="1"/>
      <c r="B19" s="283"/>
      <c r="C19" s="288"/>
      <c r="D19" s="65"/>
      <c r="E19" s="291"/>
      <c r="F19" s="62"/>
      <c r="G19" s="62"/>
      <c r="H19" s="62"/>
      <c r="I19" s="62"/>
      <c r="L19" s="286"/>
      <c r="M19" s="66"/>
      <c r="N19" s="66"/>
      <c r="O19" s="66"/>
      <c r="P19" s="287"/>
    </row>
    <row r="20" spans="1:16" ht="15">
      <c r="A20" s="1"/>
      <c r="B20" s="283"/>
      <c r="C20" s="61" t="s">
        <v>98</v>
      </c>
      <c r="D20" s="69"/>
      <c r="E20" s="284"/>
      <c r="F20" s="285"/>
      <c r="G20" s="66"/>
      <c r="H20" s="66"/>
      <c r="I20" s="66"/>
      <c r="J20" s="65"/>
      <c r="K20" s="65"/>
      <c r="L20" s="286"/>
      <c r="M20" s="66"/>
      <c r="N20" s="66"/>
      <c r="O20" s="66"/>
      <c r="P20" s="287"/>
    </row>
    <row r="21" spans="1:16" ht="15">
      <c r="A21" s="1"/>
      <c r="B21" s="283"/>
      <c r="C21" s="66"/>
      <c r="D21" s="66"/>
      <c r="E21" s="66"/>
      <c r="F21" s="66"/>
      <c r="G21" s="66"/>
      <c r="H21" s="292"/>
      <c r="I21" s="66"/>
      <c r="J21" s="66"/>
      <c r="K21" s="66"/>
      <c r="L21" s="66"/>
      <c r="M21" s="66"/>
      <c r="N21" s="66"/>
      <c r="O21" s="66"/>
      <c r="P21" s="287"/>
    </row>
    <row r="22" spans="1:16" ht="15">
      <c r="A22" s="1"/>
      <c r="B22" s="283"/>
      <c r="C22" s="66"/>
      <c r="D22" s="65" t="s">
        <v>99</v>
      </c>
      <c r="E22" s="66"/>
      <c r="F22" s="292" t="s">
        <v>23</v>
      </c>
      <c r="G22" s="66"/>
      <c r="H22" s="64"/>
      <c r="I22" s="450">
        <v>0</v>
      </c>
      <c r="J22" s="66"/>
      <c r="K22" s="66"/>
      <c r="L22" s="451"/>
      <c r="M22" s="66"/>
      <c r="N22" s="66"/>
      <c r="O22" s="66"/>
      <c r="P22" s="287"/>
    </row>
    <row r="23" spans="1:16" ht="15">
      <c r="A23" s="1"/>
      <c r="B23" s="283"/>
      <c r="C23" s="66"/>
      <c r="D23" s="66"/>
      <c r="E23" s="66"/>
      <c r="F23" s="292" t="s">
        <v>101</v>
      </c>
      <c r="G23" s="66"/>
      <c r="H23" s="64"/>
      <c r="I23" s="450">
        <f>'TOT-0611'!I28</f>
        <v>11.39</v>
      </c>
      <c r="J23" s="66"/>
      <c r="K23" s="66"/>
      <c r="L23" s="451" t="s">
        <v>102</v>
      </c>
      <c r="M23" s="66"/>
      <c r="N23" s="66"/>
      <c r="O23" s="66"/>
      <c r="P23" s="287"/>
    </row>
    <row r="24" spans="1:16" ht="15">
      <c r="A24" s="1"/>
      <c r="B24" s="283"/>
      <c r="C24" s="66"/>
      <c r="D24" s="66"/>
      <c r="E24" s="66"/>
      <c r="F24" s="292" t="s">
        <v>3</v>
      </c>
      <c r="G24" s="66"/>
      <c r="H24" s="64"/>
      <c r="I24" s="452">
        <v>0</v>
      </c>
      <c r="J24" s="66"/>
      <c r="K24" s="66"/>
      <c r="L24" s="451"/>
      <c r="M24" s="66"/>
      <c r="N24" s="66"/>
      <c r="O24" s="66"/>
      <c r="P24" s="287"/>
    </row>
    <row r="25" spans="1:16" ht="15.75" thickBot="1">
      <c r="A25" s="1"/>
      <c r="B25" s="283"/>
      <c r="C25" s="66"/>
      <c r="D25" s="66"/>
      <c r="E25" s="66"/>
      <c r="F25" s="66"/>
      <c r="G25" s="66"/>
      <c r="H25" s="292"/>
      <c r="I25" s="66"/>
      <c r="J25" s="66"/>
      <c r="K25" s="66"/>
      <c r="L25" s="66"/>
      <c r="M25" s="66"/>
      <c r="N25" s="66"/>
      <c r="O25" s="66"/>
      <c r="P25" s="287"/>
    </row>
    <row r="26" spans="2:16" ht="20.25" thickBot="1" thickTop="1">
      <c r="B26" s="283"/>
      <c r="C26" s="73"/>
      <c r="H26" s="453" t="s">
        <v>103</v>
      </c>
      <c r="I26" s="160">
        <f>SUM(I22:I25)</f>
        <v>11.39</v>
      </c>
      <c r="L26" s="70"/>
      <c r="M26" s="70"/>
      <c r="N26" s="71"/>
      <c r="O26" s="72"/>
      <c r="P26" s="293"/>
    </row>
    <row r="27" spans="2:16" ht="15.75" thickTop="1">
      <c r="B27" s="283"/>
      <c r="C27" s="73"/>
      <c r="D27" s="69"/>
      <c r="E27" s="69"/>
      <c r="F27" s="75"/>
      <c r="G27" s="70"/>
      <c r="H27" s="70"/>
      <c r="I27" s="70"/>
      <c r="J27" s="70"/>
      <c r="K27" s="70"/>
      <c r="L27" s="70"/>
      <c r="M27" s="70"/>
      <c r="N27" s="71"/>
      <c r="O27" s="72"/>
      <c r="P27" s="293"/>
    </row>
    <row r="28" spans="2:16" ht="15">
      <c r="B28" s="283"/>
      <c r="C28" s="61" t="s">
        <v>104</v>
      </c>
      <c r="D28" s="69"/>
      <c r="E28" s="69"/>
      <c r="F28" s="75"/>
      <c r="G28" s="70"/>
      <c r="H28" s="70"/>
      <c r="I28" s="70"/>
      <c r="J28" s="70"/>
      <c r="K28" s="70"/>
      <c r="L28" s="70"/>
      <c r="M28" s="70"/>
      <c r="N28" s="71"/>
      <c r="O28" s="72"/>
      <c r="P28" s="293"/>
    </row>
    <row r="29" spans="2:16" ht="15">
      <c r="B29" s="283"/>
      <c r="C29" s="73"/>
      <c r="D29" s="69"/>
      <c r="E29" s="69"/>
      <c r="F29" s="75"/>
      <c r="G29" s="70"/>
      <c r="H29" s="70"/>
      <c r="I29" s="70"/>
      <c r="J29" s="70"/>
      <c r="K29" s="70"/>
      <c r="L29" s="70"/>
      <c r="M29" s="70"/>
      <c r="N29" s="71"/>
      <c r="O29" s="72"/>
      <c r="P29" s="293"/>
    </row>
    <row r="30" spans="2:16" ht="15.75">
      <c r="B30" s="283"/>
      <c r="C30" s="73"/>
      <c r="D30" s="454" t="s">
        <v>105</v>
      </c>
      <c r="E30" s="455" t="s">
        <v>19</v>
      </c>
      <c r="F30" s="456" t="s">
        <v>106</v>
      </c>
      <c r="G30" s="457"/>
      <c r="H30" s="691" t="s">
        <v>133</v>
      </c>
      <c r="I30" s="690" t="s">
        <v>132</v>
      </c>
      <c r="J30" s="686"/>
      <c r="K30" s="482"/>
      <c r="L30" s="460" t="s">
        <v>2</v>
      </c>
      <c r="N30" s="71"/>
      <c r="O30" s="72"/>
      <c r="P30" s="293"/>
    </row>
    <row r="31" spans="2:16" ht="15.75">
      <c r="B31" s="283"/>
      <c r="C31" s="73"/>
      <c r="D31" s="461" t="s">
        <v>4</v>
      </c>
      <c r="E31" s="462">
        <v>132</v>
      </c>
      <c r="F31" s="463">
        <v>31</v>
      </c>
      <c r="G31" s="464"/>
      <c r="H31" s="465">
        <f>F31*$J$17*$E$17/100</f>
        <v>15561.950399999998</v>
      </c>
      <c r="I31" s="466">
        <v>0</v>
      </c>
      <c r="J31" s="688" t="s">
        <v>142</v>
      </c>
      <c r="K31" s="468"/>
      <c r="L31" s="469">
        <f>SUM(H31:K31)</f>
        <v>15561.950399999998</v>
      </c>
      <c r="M31" s="70"/>
      <c r="N31" s="71"/>
      <c r="O31" s="72"/>
      <c r="P31" s="293"/>
    </row>
    <row r="32" spans="2:16" ht="15.75">
      <c r="B32" s="283"/>
      <c r="C32" s="73"/>
      <c r="D32" s="489" t="s">
        <v>5</v>
      </c>
      <c r="E32" s="69">
        <v>132</v>
      </c>
      <c r="F32" s="75">
        <v>110.3</v>
      </c>
      <c r="G32" s="70"/>
      <c r="H32" s="298">
        <f>F32*$J$17*$E$17/100</f>
        <v>55370.42351999999</v>
      </c>
      <c r="I32" s="506">
        <v>234</v>
      </c>
      <c r="J32" s="687" t="s">
        <v>142</v>
      </c>
      <c r="K32" s="290"/>
      <c r="L32" s="490">
        <f>SUM(H32:K32)</f>
        <v>55604.42351999999</v>
      </c>
      <c r="M32" s="70"/>
      <c r="N32" s="71"/>
      <c r="O32" s="72"/>
      <c r="P32" s="293"/>
    </row>
    <row r="33" spans="2:16" ht="15.75">
      <c r="B33" s="283"/>
      <c r="C33" s="73"/>
      <c r="D33" s="489" t="s">
        <v>6</v>
      </c>
      <c r="E33" s="69">
        <v>132</v>
      </c>
      <c r="F33" s="75">
        <v>185.6</v>
      </c>
      <c r="G33" s="70"/>
      <c r="H33" s="298">
        <f>F33*$J$17*$E$17/100</f>
        <v>93170.90303999999</v>
      </c>
      <c r="I33" s="506">
        <v>75</v>
      </c>
      <c r="J33" s="687" t="s">
        <v>142</v>
      </c>
      <c r="K33" s="290"/>
      <c r="L33" s="490">
        <f>SUM(H33:K33)</f>
        <v>93245.90303999999</v>
      </c>
      <c r="M33" s="70"/>
      <c r="N33" s="71"/>
      <c r="O33" s="72"/>
      <c r="P33" s="293"/>
    </row>
    <row r="34" spans="2:16" ht="15.75">
      <c r="B34" s="283"/>
      <c r="C34" s="73"/>
      <c r="D34" s="470" t="s">
        <v>7</v>
      </c>
      <c r="E34" s="471">
        <v>132</v>
      </c>
      <c r="F34" s="472">
        <v>7</v>
      </c>
      <c r="G34" s="473"/>
      <c r="H34" s="474">
        <f>F34*$J$17*$E$17/100</f>
        <v>3513.9888</v>
      </c>
      <c r="I34" s="475">
        <v>56</v>
      </c>
      <c r="J34" s="689" t="s">
        <v>142</v>
      </c>
      <c r="K34" s="477"/>
      <c r="L34" s="478">
        <f>SUM(H34:K34)</f>
        <v>3569.9888</v>
      </c>
      <c r="M34" s="70"/>
      <c r="N34" s="71"/>
      <c r="O34" s="72"/>
      <c r="P34" s="293"/>
    </row>
    <row r="35" spans="2:16" ht="15">
      <c r="B35" s="283"/>
      <c r="C35" s="73"/>
      <c r="D35" s="69"/>
      <c r="E35" s="69"/>
      <c r="F35" s="294"/>
      <c r="G35" s="70"/>
      <c r="I35" s="76"/>
      <c r="J35" s="290"/>
      <c r="K35" s="290"/>
      <c r="L35" s="479">
        <f>SUM(L31:L34)</f>
        <v>167982.26575999998</v>
      </c>
      <c r="M35" s="70"/>
      <c r="N35" s="71"/>
      <c r="O35" s="72"/>
      <c r="P35" s="293"/>
    </row>
    <row r="36" spans="2:16" ht="15">
      <c r="B36" s="283"/>
      <c r="C36" s="73"/>
      <c r="D36" s="69"/>
      <c r="E36" s="69"/>
      <c r="F36" s="294"/>
      <c r="G36" s="70"/>
      <c r="I36" s="76"/>
      <c r="J36" s="290"/>
      <c r="K36" s="290"/>
      <c r="L36" s="295"/>
      <c r="M36" s="70"/>
      <c r="N36" s="71"/>
      <c r="O36" s="72"/>
      <c r="P36" s="293"/>
    </row>
    <row r="37" spans="2:16" ht="15.75">
      <c r="B37" s="283"/>
      <c r="C37" s="73"/>
      <c r="D37" s="454" t="s">
        <v>107</v>
      </c>
      <c r="E37" s="455" t="s">
        <v>108</v>
      </c>
      <c r="F37" s="507" t="s">
        <v>120</v>
      </c>
      <c r="G37" s="508"/>
      <c r="H37" s="692" t="s">
        <v>134</v>
      </c>
      <c r="J37" s="480" t="s">
        <v>110</v>
      </c>
      <c r="K37" s="481"/>
      <c r="L37" s="482" t="s">
        <v>51</v>
      </c>
      <c r="M37" s="455" t="s">
        <v>19</v>
      </c>
      <c r="N37" s="483" t="s">
        <v>111</v>
      </c>
      <c r="O37" s="484"/>
      <c r="P37" s="293"/>
    </row>
    <row r="38" spans="2:16" ht="15">
      <c r="B38" s="283"/>
      <c r="C38" s="73"/>
      <c r="D38" s="461" t="s">
        <v>11</v>
      </c>
      <c r="E38" s="462" t="s">
        <v>121</v>
      </c>
      <c r="F38" s="509">
        <v>30</v>
      </c>
      <c r="G38" s="510"/>
      <c r="H38" s="469">
        <f>+F38*$J$18*$E$17</f>
        <v>5248.8</v>
      </c>
      <c r="J38" s="485" t="s">
        <v>122</v>
      </c>
      <c r="K38" s="467"/>
      <c r="L38" s="464" t="s">
        <v>123</v>
      </c>
      <c r="M38" s="486">
        <v>132</v>
      </c>
      <c r="N38" s="487">
        <f>M16*E17</f>
        <v>2334.96</v>
      </c>
      <c r="O38" s="488"/>
      <c r="P38" s="293"/>
    </row>
    <row r="39" spans="2:16" ht="15">
      <c r="B39" s="283"/>
      <c r="C39" s="73"/>
      <c r="D39" s="489" t="s">
        <v>14</v>
      </c>
      <c r="E39" s="69" t="s">
        <v>124</v>
      </c>
      <c r="F39" s="511">
        <v>88</v>
      </c>
      <c r="G39" s="512"/>
      <c r="H39" s="490">
        <f>+F39*$J$18*$E$17</f>
        <v>15396.48</v>
      </c>
      <c r="J39" s="491" t="s">
        <v>12</v>
      </c>
      <c r="K39" s="492"/>
      <c r="L39" s="70" t="s">
        <v>125</v>
      </c>
      <c r="M39" s="71">
        <v>33</v>
      </c>
      <c r="N39" s="493">
        <f>+M17*E17*2</f>
        <v>3503.5199999999995</v>
      </c>
      <c r="O39" s="494"/>
      <c r="P39" s="293"/>
    </row>
    <row r="40" spans="2:16" ht="15">
      <c r="B40" s="283"/>
      <c r="C40" s="73"/>
      <c r="D40" s="489" t="s">
        <v>12</v>
      </c>
      <c r="E40" s="69" t="s">
        <v>9</v>
      </c>
      <c r="F40" s="511">
        <v>7.5</v>
      </c>
      <c r="G40" s="512"/>
      <c r="H40" s="490">
        <f>+F40*$J$18*$E$17</f>
        <v>1312.2</v>
      </c>
      <c r="J40" s="491" t="s">
        <v>13</v>
      </c>
      <c r="K40" s="492"/>
      <c r="L40" s="70" t="s">
        <v>126</v>
      </c>
      <c r="M40" s="71">
        <v>33</v>
      </c>
      <c r="N40" s="493">
        <f>3*M17*E17</f>
        <v>5255.28</v>
      </c>
      <c r="O40" s="494"/>
      <c r="P40" s="293"/>
    </row>
    <row r="41" spans="2:16" ht="15">
      <c r="B41" s="283"/>
      <c r="C41" s="73"/>
      <c r="D41" s="489" t="s">
        <v>13</v>
      </c>
      <c r="E41" s="69" t="s">
        <v>9</v>
      </c>
      <c r="F41" s="511">
        <v>15</v>
      </c>
      <c r="G41" s="512"/>
      <c r="H41" s="490">
        <f>+F41*$J$18*$E$17</f>
        <v>2624.4</v>
      </c>
      <c r="J41" s="491" t="s">
        <v>15</v>
      </c>
      <c r="K41" s="492"/>
      <c r="L41" s="70" t="s">
        <v>127</v>
      </c>
      <c r="M41" s="71">
        <v>13.2</v>
      </c>
      <c r="N41" s="493">
        <f>+M18*E17*6</f>
        <v>10510.559999999998</v>
      </c>
      <c r="O41" s="494"/>
      <c r="P41" s="293"/>
    </row>
    <row r="42" spans="2:16" ht="15">
      <c r="B42" s="283"/>
      <c r="C42" s="73"/>
      <c r="D42" s="470" t="s">
        <v>15</v>
      </c>
      <c r="E42" s="471" t="s">
        <v>128</v>
      </c>
      <c r="F42" s="513">
        <v>30</v>
      </c>
      <c r="G42" s="514"/>
      <c r="H42" s="490">
        <f>+F42*$J$18*$E$17</f>
        <v>5248.8</v>
      </c>
      <c r="J42" s="491" t="s">
        <v>11</v>
      </c>
      <c r="K42" s="492"/>
      <c r="L42" s="70" t="s">
        <v>129</v>
      </c>
      <c r="M42" s="71"/>
      <c r="N42" s="493">
        <f>+M17*E17+M18*E17*2</f>
        <v>5255.279999999999</v>
      </c>
      <c r="O42" s="494"/>
      <c r="P42" s="293"/>
    </row>
    <row r="43" spans="2:16" ht="15">
      <c r="B43" s="283"/>
      <c r="C43" s="73"/>
      <c r="D43" s="69"/>
      <c r="E43" s="69"/>
      <c r="F43" s="294"/>
      <c r="G43" s="70"/>
      <c r="H43" s="479">
        <f>SUM(H38:H42)</f>
        <v>29830.68</v>
      </c>
      <c r="J43" s="495" t="s">
        <v>14</v>
      </c>
      <c r="K43" s="476"/>
      <c r="L43" s="473" t="s">
        <v>130</v>
      </c>
      <c r="M43" s="496"/>
      <c r="N43" s="497">
        <f>(M16+M17+M18*5)*E17</f>
        <v>12845.52</v>
      </c>
      <c r="O43" s="498"/>
      <c r="P43" s="293"/>
    </row>
    <row r="44" spans="2:16" ht="15">
      <c r="B44" s="283"/>
      <c r="C44" s="73"/>
      <c r="D44" s="69"/>
      <c r="E44" s="69"/>
      <c r="F44" s="294"/>
      <c r="G44" s="70"/>
      <c r="I44" s="76"/>
      <c r="J44" s="290"/>
      <c r="K44" s="290"/>
      <c r="L44" s="295"/>
      <c r="M44" s="70"/>
      <c r="N44" s="499">
        <f>SUM(N38:N43)</f>
        <v>39705.119999999995</v>
      </c>
      <c r="O44" s="484"/>
      <c r="P44" s="293"/>
    </row>
    <row r="45" spans="2:16" ht="12.75" customHeight="1" thickBot="1">
      <c r="B45" s="283"/>
      <c r="C45" s="73"/>
      <c r="D45" s="69"/>
      <c r="E45" s="69"/>
      <c r="F45" s="75"/>
      <c r="G45" s="70"/>
      <c r="H45" s="76"/>
      <c r="I45" s="69"/>
      <c r="J45" s="69"/>
      <c r="K45" s="69"/>
      <c r="L45" s="70"/>
      <c r="M45" s="70"/>
      <c r="N45" s="71"/>
      <c r="O45" s="72"/>
      <c r="P45" s="293"/>
    </row>
    <row r="46" spans="2:16" ht="20.25" thickBot="1" thickTop="1">
      <c r="B46" s="283"/>
      <c r="C46" s="73"/>
      <c r="D46" s="69"/>
      <c r="E46" s="69"/>
      <c r="F46" s="75"/>
      <c r="G46" s="70"/>
      <c r="H46" s="500" t="s">
        <v>112</v>
      </c>
      <c r="I46" s="501">
        <f>+H43+N44+L35</f>
        <v>237518.06575999997</v>
      </c>
      <c r="J46" s="69"/>
      <c r="K46" s="69"/>
      <c r="L46" s="70"/>
      <c r="M46" s="70"/>
      <c r="N46" s="71"/>
      <c r="O46" s="72"/>
      <c r="P46" s="293"/>
    </row>
    <row r="47" spans="2:16" ht="15.75" thickTop="1">
      <c r="B47" s="283"/>
      <c r="C47" s="73"/>
      <c r="D47" s="69"/>
      <c r="E47" s="69"/>
      <c r="F47" s="75"/>
      <c r="G47" s="70"/>
      <c r="H47" s="76"/>
      <c r="I47" s="69"/>
      <c r="J47" s="69"/>
      <c r="K47" s="69"/>
      <c r="L47" s="70"/>
      <c r="M47" s="70"/>
      <c r="N47" s="71"/>
      <c r="O47" s="72"/>
      <c r="P47" s="293"/>
    </row>
    <row r="48" spans="2:16" ht="15.75">
      <c r="B48" s="283"/>
      <c r="C48" s="502" t="s">
        <v>113</v>
      </c>
      <c r="D48" s="69"/>
      <c r="E48" s="69"/>
      <c r="F48" s="75"/>
      <c r="G48" s="70"/>
      <c r="H48" s="76"/>
      <c r="I48" s="69"/>
      <c r="J48" s="69"/>
      <c r="K48" s="69"/>
      <c r="L48" s="70"/>
      <c r="M48" s="70"/>
      <c r="N48" s="71"/>
      <c r="O48" s="72"/>
      <c r="P48" s="293"/>
    </row>
    <row r="49" spans="2:16" ht="15.75" thickBot="1">
      <c r="B49" s="283"/>
      <c r="C49" s="73"/>
      <c r="D49" s="69"/>
      <c r="E49" s="69"/>
      <c r="F49" s="75"/>
      <c r="G49" s="70"/>
      <c r="H49" s="76"/>
      <c r="I49" s="69"/>
      <c r="J49" s="69"/>
      <c r="K49" s="69"/>
      <c r="L49" s="70"/>
      <c r="M49" s="70"/>
      <c r="N49" s="71"/>
      <c r="O49" s="72"/>
      <c r="P49" s="293"/>
    </row>
    <row r="50" spans="2:16" ht="20.25" thickBot="1" thickTop="1">
      <c r="B50" s="283"/>
      <c r="C50" s="73"/>
      <c r="D50" s="241" t="s">
        <v>114</v>
      </c>
      <c r="F50" s="296"/>
      <c r="G50" s="66"/>
      <c r="H50" s="159" t="s">
        <v>115</v>
      </c>
      <c r="I50" s="503">
        <f>E18*I46</f>
        <v>5937.951644</v>
      </c>
      <c r="J50" s="62"/>
      <c r="K50" s="62"/>
      <c r="O50" s="62"/>
      <c r="P50" s="293"/>
    </row>
    <row r="51" spans="2:16" ht="21.75" thickTop="1">
      <c r="B51" s="283"/>
      <c r="C51" s="73"/>
      <c r="F51" s="297"/>
      <c r="G51" s="39"/>
      <c r="I51" s="62"/>
      <c r="J51" s="62"/>
      <c r="K51" s="62"/>
      <c r="O51" s="62"/>
      <c r="P51" s="293"/>
    </row>
    <row r="52" spans="2:16" ht="15">
      <c r="B52" s="283"/>
      <c r="C52" s="61" t="s">
        <v>116</v>
      </c>
      <c r="E52" s="62"/>
      <c r="F52" s="62"/>
      <c r="G52" s="62"/>
      <c r="H52" s="62"/>
      <c r="I52" s="70"/>
      <c r="J52" s="70"/>
      <c r="K52" s="70"/>
      <c r="L52" s="70"/>
      <c r="M52" s="70"/>
      <c r="N52" s="71"/>
      <c r="O52" s="72"/>
      <c r="P52" s="293"/>
    </row>
    <row r="53" spans="2:16" ht="15">
      <c r="B53" s="283"/>
      <c r="C53" s="73"/>
      <c r="D53" s="68" t="s">
        <v>117</v>
      </c>
      <c r="E53" s="298">
        <f>10*I26*I50/I46</f>
        <v>2.8475</v>
      </c>
      <c r="F53" s="504"/>
      <c r="H53" s="62"/>
      <c r="I53" s="70"/>
      <c r="J53" s="70"/>
      <c r="K53" s="70"/>
      <c r="L53" s="70"/>
      <c r="M53" s="70"/>
      <c r="N53" s="71"/>
      <c r="O53" s="72"/>
      <c r="P53" s="293"/>
    </row>
    <row r="54" spans="2:16" ht="15">
      <c r="B54" s="283"/>
      <c r="C54" s="73"/>
      <c r="D54" s="62"/>
      <c r="E54" s="62"/>
      <c r="J54" s="70"/>
      <c r="K54" s="70"/>
      <c r="L54" s="70"/>
      <c r="M54" s="70"/>
      <c r="N54" s="71"/>
      <c r="O54" s="72"/>
      <c r="P54" s="293"/>
    </row>
    <row r="55" spans="2:16" ht="15">
      <c r="B55" s="283"/>
      <c r="C55" s="73"/>
      <c r="D55" s="62" t="s">
        <v>131</v>
      </c>
      <c r="E55" s="62"/>
      <c r="F55" s="62"/>
      <c r="G55" s="62"/>
      <c r="H55" s="62"/>
      <c r="M55" s="70"/>
      <c r="N55" s="71"/>
      <c r="O55" s="72"/>
      <c r="P55" s="293"/>
    </row>
    <row r="56" spans="2:16" ht="15.75" thickBot="1">
      <c r="B56" s="283"/>
      <c r="C56" s="73"/>
      <c r="D56" s="62"/>
      <c r="E56" s="62"/>
      <c r="F56" s="62"/>
      <c r="G56" s="62"/>
      <c r="H56" s="62"/>
      <c r="M56" s="70"/>
      <c r="N56" s="71"/>
      <c r="O56" s="72"/>
      <c r="P56" s="293"/>
    </row>
    <row r="57" spans="2:16" ht="20.25" thickBot="1" thickTop="1">
      <c r="B57" s="283"/>
      <c r="C57" s="73"/>
      <c r="D57" s="69"/>
      <c r="E57" s="69"/>
      <c r="F57" s="75"/>
      <c r="G57" s="70"/>
      <c r="H57" s="242" t="s">
        <v>119</v>
      </c>
      <c r="I57" s="505">
        <f>IF($E$53&gt;3*I50,3*I50,$E$53)</f>
        <v>2.8475</v>
      </c>
      <c r="J57" s="70"/>
      <c r="K57" s="70"/>
      <c r="L57" s="70"/>
      <c r="M57" s="70"/>
      <c r="N57" s="71"/>
      <c r="O57" s="72"/>
      <c r="P57" s="293"/>
    </row>
    <row r="58" spans="2:16" ht="16.5" thickBot="1" thickTop="1">
      <c r="B58" s="299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1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/>
  <pageMargins left="0.31" right="0.1968503937007874" top="0.65" bottom="0.41" header="0.5118110236220472" footer="0.16"/>
  <pageSetup fitToHeight="1" fitToWidth="1" orientation="landscape" paperSize="9" scale="54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5"/>
  <sheetViews>
    <sheetView zoomScale="55" zoomScaleNormal="55" workbookViewId="0" topLeftCell="A1">
      <selection activeCell="E17" sqref="E17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2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5.0039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3" customFormat="1" ht="39.75" customHeight="1">
      <c r="P1" s="422"/>
    </row>
    <row r="2" spans="1:16" s="113" customFormat="1" ht="29.25" customHeight="1">
      <c r="A2" s="175"/>
      <c r="B2" s="710" t="str">
        <f>'TOT-0611'!B2</f>
        <v>ANEXO VI al Memorandum D.T.E.E. N°482 / 2012 </v>
      </c>
      <c r="C2" s="710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3" s="116" customFormat="1" ht="12.75">
      <c r="A3" s="716" t="s">
        <v>141</v>
      </c>
      <c r="B3" s="11"/>
      <c r="C3" s="11"/>
    </row>
    <row r="4" spans="1:3" s="116" customFormat="1" ht="11.25">
      <c r="A4" s="716" t="s">
        <v>140</v>
      </c>
      <c r="B4" s="224"/>
      <c r="C4" s="224"/>
    </row>
    <row r="5" s="11" customFormat="1" ht="13.5" thickBot="1"/>
    <row r="6" spans="1:16" s="11" customFormat="1" ht="13.5" thickTop="1">
      <c r="A6" s="9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s="118" customFormat="1" ht="20.25">
      <c r="A7" s="39"/>
      <c r="B7" s="117"/>
      <c r="C7" s="39"/>
      <c r="D7" s="20" t="s">
        <v>41</v>
      </c>
      <c r="G7" s="39"/>
      <c r="H7" s="39"/>
      <c r="I7" s="39"/>
      <c r="J7" s="39"/>
      <c r="K7" s="39"/>
      <c r="L7" s="39"/>
      <c r="M7" s="39"/>
      <c r="N7" s="39"/>
      <c r="O7" s="39"/>
      <c r="P7" s="119"/>
    </row>
    <row r="8" spans="1:16" ht="15">
      <c r="A8" s="1"/>
      <c r="B8" s="283"/>
      <c r="C8" s="66"/>
      <c r="D8" s="423"/>
      <c r="E8" s="66"/>
      <c r="F8" s="64"/>
      <c r="G8" s="66"/>
      <c r="H8" s="66"/>
      <c r="I8" s="66"/>
      <c r="J8" s="66"/>
      <c r="K8" s="66"/>
      <c r="L8" s="66"/>
      <c r="M8" s="66"/>
      <c r="N8" s="66"/>
      <c r="O8" s="66"/>
      <c r="P8" s="287"/>
    </row>
    <row r="9" spans="1:19" s="118" customFormat="1" ht="20.25">
      <c r="A9" s="39"/>
      <c r="B9" s="424"/>
      <c r="C9"/>
      <c r="D9" s="21" t="s">
        <v>136</v>
      </c>
      <c r="E9" s="425"/>
      <c r="F9" s="425"/>
      <c r="G9" s="425"/>
      <c r="H9" s="426"/>
      <c r="I9" s="425"/>
      <c r="J9" s="425"/>
      <c r="K9" s="425"/>
      <c r="L9" s="425"/>
      <c r="M9" s="425"/>
      <c r="N9" s="425"/>
      <c r="O9" s="425"/>
      <c r="P9" s="427"/>
      <c r="Q9" s="240"/>
      <c r="R9" s="182"/>
      <c r="S9" s="182"/>
    </row>
    <row r="10" spans="1:19" s="11" customFormat="1" ht="12.75">
      <c r="A10" s="9"/>
      <c r="B10" s="38"/>
      <c r="C10" s="9"/>
      <c r="D10" s="60"/>
      <c r="E10" s="28"/>
      <c r="F10" s="28"/>
      <c r="G10" s="28"/>
      <c r="H10" s="174"/>
      <c r="I10" s="28"/>
      <c r="J10" s="28"/>
      <c r="K10" s="28"/>
      <c r="L10" s="28"/>
      <c r="M10" s="28"/>
      <c r="N10" s="28"/>
      <c r="O10" s="28"/>
      <c r="P10" s="32"/>
      <c r="Q10" s="28"/>
      <c r="R10" s="28"/>
      <c r="S10" s="181"/>
    </row>
    <row r="11" spans="1:19" s="125" customFormat="1" ht="19.5">
      <c r="A11" s="41"/>
      <c r="B11" s="243" t="str">
        <f>+'TOT-0611'!B14</f>
        <v>Desde el 01 al 30 de junio de 2011</v>
      </c>
      <c r="C11" s="147"/>
      <c r="D11" s="201"/>
      <c r="E11" s="201"/>
      <c r="F11" s="201"/>
      <c r="G11" s="201"/>
      <c r="H11" s="201"/>
      <c r="I11" s="147"/>
      <c r="J11" s="201"/>
      <c r="K11" s="201"/>
      <c r="L11" s="201"/>
      <c r="M11" s="201"/>
      <c r="N11" s="201"/>
      <c r="O11" s="201"/>
      <c r="P11" s="428"/>
      <c r="Q11" s="429"/>
      <c r="R11" s="429"/>
      <c r="S11" s="429"/>
    </row>
    <row r="12" spans="1:19" ht="15">
      <c r="A12" s="1"/>
      <c r="B12" s="283"/>
      <c r="C12" s="66"/>
      <c r="D12" s="62"/>
      <c r="E12" s="62"/>
      <c r="F12" s="62"/>
      <c r="G12" s="62"/>
      <c r="H12" s="430"/>
      <c r="I12" s="66"/>
      <c r="J12" s="62"/>
      <c r="K12" s="62"/>
      <c r="L12" s="62"/>
      <c r="M12" s="62"/>
      <c r="N12" s="62"/>
      <c r="O12" s="62"/>
      <c r="P12" s="63"/>
      <c r="Q12" s="6"/>
      <c r="R12" s="6"/>
      <c r="S12" s="431"/>
    </row>
    <row r="13" spans="1:19" ht="18" customHeight="1">
      <c r="A13" s="1"/>
      <c r="B13" s="283"/>
      <c r="C13" s="66"/>
      <c r="D13" s="62"/>
      <c r="E13" s="62"/>
      <c r="F13" s="62"/>
      <c r="G13" s="62"/>
      <c r="H13" s="74"/>
      <c r="I13" s="74"/>
      <c r="J13" s="62"/>
      <c r="K13" s="62"/>
      <c r="P13" s="63"/>
      <c r="Q13" s="6"/>
      <c r="R13" s="6"/>
      <c r="S13" s="431"/>
    </row>
    <row r="14" spans="1:19" ht="18" customHeight="1">
      <c r="A14" s="1"/>
      <c r="B14" s="283"/>
      <c r="C14" s="66"/>
      <c r="D14" s="61"/>
      <c r="E14" s="432"/>
      <c r="F14" s="62"/>
      <c r="G14" s="62"/>
      <c r="H14" s="74"/>
      <c r="I14" s="74"/>
      <c r="J14" s="62"/>
      <c r="K14" s="62"/>
      <c r="P14" s="63"/>
      <c r="Q14" s="6"/>
      <c r="R14" s="6"/>
      <c r="S14" s="431"/>
    </row>
    <row r="15" spans="1:16" ht="16.5" thickBot="1">
      <c r="A15" s="1"/>
      <c r="B15" s="283"/>
      <c r="C15" s="433" t="s">
        <v>92</v>
      </c>
      <c r="D15" s="64"/>
      <c r="E15" s="284"/>
      <c r="F15" s="285"/>
      <c r="G15" s="66"/>
      <c r="H15" s="66"/>
      <c r="I15" s="66"/>
      <c r="J15" s="65"/>
      <c r="K15" s="65"/>
      <c r="L15" s="286"/>
      <c r="M15" s="66"/>
      <c r="N15" s="66"/>
      <c r="O15" s="66"/>
      <c r="P15" s="287"/>
    </row>
    <row r="16" spans="1:16" ht="16.5" thickBot="1">
      <c r="A16" s="1"/>
      <c r="B16" s="283"/>
      <c r="C16" s="288"/>
      <c r="D16" s="64"/>
      <c r="E16" s="284"/>
      <c r="F16" s="285"/>
      <c r="G16" s="66"/>
      <c r="H16" s="66"/>
      <c r="L16" s="434" t="s">
        <v>83</v>
      </c>
      <c r="M16" s="435">
        <v>3.243</v>
      </c>
      <c r="N16" s="436"/>
      <c r="O16" s="66"/>
      <c r="P16" s="287"/>
    </row>
    <row r="17" spans="1:16" ht="15.75">
      <c r="A17" s="1"/>
      <c r="B17" s="283"/>
      <c r="C17" s="288"/>
      <c r="D17" s="65" t="s">
        <v>93</v>
      </c>
      <c r="E17" s="289">
        <v>720</v>
      </c>
      <c r="F17" s="66" t="s">
        <v>94</v>
      </c>
      <c r="G17" s="62"/>
      <c r="H17" s="437"/>
      <c r="I17" s="438" t="s">
        <v>95</v>
      </c>
      <c r="J17" s="439">
        <v>69.722</v>
      </c>
      <c r="K17" s="418"/>
      <c r="L17" s="440" t="s">
        <v>84</v>
      </c>
      <c r="M17" s="441">
        <v>2.433</v>
      </c>
      <c r="N17" s="442"/>
      <c r="O17" s="66"/>
      <c r="P17" s="287"/>
    </row>
    <row r="18" spans="1:16" ht="16.5" thickBot="1">
      <c r="A18" s="1"/>
      <c r="B18" s="283"/>
      <c r="C18" s="288"/>
      <c r="D18" s="65" t="s">
        <v>96</v>
      </c>
      <c r="E18" s="291">
        <v>0.025</v>
      </c>
      <c r="F18" s="62"/>
      <c r="G18" s="62"/>
      <c r="H18" s="443"/>
      <c r="I18" s="444" t="s">
        <v>97</v>
      </c>
      <c r="J18" s="445">
        <v>0.243</v>
      </c>
      <c r="K18" s="446"/>
      <c r="L18" s="447" t="s">
        <v>85</v>
      </c>
      <c r="M18" s="448">
        <v>2.433</v>
      </c>
      <c r="N18" s="449"/>
      <c r="O18" s="66"/>
      <c r="P18" s="287"/>
    </row>
    <row r="19" spans="1:16" ht="15.75">
      <c r="A19" s="1"/>
      <c r="B19" s="283"/>
      <c r="C19" s="288"/>
      <c r="D19" s="65"/>
      <c r="E19" s="291"/>
      <c r="F19" s="62"/>
      <c r="G19" s="62"/>
      <c r="H19" s="62"/>
      <c r="I19" s="62"/>
      <c r="L19" s="286"/>
      <c r="M19" s="66"/>
      <c r="N19" s="66"/>
      <c r="O19" s="66"/>
      <c r="P19" s="287"/>
    </row>
    <row r="20" spans="1:16" ht="15">
      <c r="A20" s="1"/>
      <c r="B20" s="283"/>
      <c r="C20" s="61" t="s">
        <v>98</v>
      </c>
      <c r="D20" s="69"/>
      <c r="E20" s="284"/>
      <c r="F20" s="285"/>
      <c r="G20" s="66"/>
      <c r="H20" s="66"/>
      <c r="I20" s="66"/>
      <c r="J20" s="65"/>
      <c r="K20" s="65"/>
      <c r="L20" s="286"/>
      <c r="M20" s="66"/>
      <c r="N20" s="66"/>
      <c r="O20" s="66"/>
      <c r="P20" s="287"/>
    </row>
    <row r="21" spans="1:16" ht="15">
      <c r="A21" s="1"/>
      <c r="B21" s="283"/>
      <c r="C21" s="66"/>
      <c r="D21" s="66"/>
      <c r="E21" s="66"/>
      <c r="F21" s="66"/>
      <c r="G21" s="66"/>
      <c r="H21" s="292"/>
      <c r="I21" s="66"/>
      <c r="J21" s="66"/>
      <c r="K21" s="66"/>
      <c r="L21" s="66"/>
      <c r="M21" s="66"/>
      <c r="N21" s="66"/>
      <c r="O21" s="66"/>
      <c r="P21" s="287"/>
    </row>
    <row r="22" spans="1:16" ht="15">
      <c r="A22" s="1"/>
      <c r="B22" s="283"/>
      <c r="C22" s="66"/>
      <c r="D22" s="65" t="s">
        <v>99</v>
      </c>
      <c r="E22" s="66"/>
      <c r="F22" s="292" t="s">
        <v>23</v>
      </c>
      <c r="G22" s="66"/>
      <c r="H22" s="64"/>
      <c r="I22" s="450">
        <f>'TOT-0611'!I20</f>
        <v>18879.85</v>
      </c>
      <c r="J22" s="66"/>
      <c r="K22" s="66"/>
      <c r="L22" s="451" t="s">
        <v>100</v>
      </c>
      <c r="M22" s="66"/>
      <c r="N22" s="66"/>
      <c r="O22" s="66"/>
      <c r="P22" s="287"/>
    </row>
    <row r="23" spans="1:16" ht="15">
      <c r="A23" s="1"/>
      <c r="B23" s="283"/>
      <c r="C23" s="66"/>
      <c r="D23" s="66"/>
      <c r="E23" s="66"/>
      <c r="F23" s="292" t="s">
        <v>101</v>
      </c>
      <c r="G23" s="66"/>
      <c r="H23" s="64"/>
      <c r="I23" s="450">
        <f>'TOT-0611'!I29</f>
        <v>0</v>
      </c>
      <c r="J23" s="66"/>
      <c r="K23" s="66"/>
      <c r="L23" s="451"/>
      <c r="M23" s="66"/>
      <c r="N23" s="66"/>
      <c r="O23" s="66"/>
      <c r="P23" s="287"/>
    </row>
    <row r="24" spans="1:16" ht="15">
      <c r="A24" s="1"/>
      <c r="B24" s="283"/>
      <c r="C24" s="66"/>
      <c r="D24" s="66"/>
      <c r="E24" s="66"/>
      <c r="F24" s="292" t="s">
        <v>3</v>
      </c>
      <c r="G24" s="66"/>
      <c r="H24" s="64"/>
      <c r="I24" s="452">
        <v>0</v>
      </c>
      <c r="J24" s="66"/>
      <c r="K24" s="66"/>
      <c r="L24" s="451"/>
      <c r="M24" s="66"/>
      <c r="N24" s="66"/>
      <c r="O24" s="66"/>
      <c r="P24" s="287"/>
    </row>
    <row r="25" spans="1:16" ht="15.75" thickBot="1">
      <c r="A25" s="1"/>
      <c r="B25" s="283"/>
      <c r="C25" s="66"/>
      <c r="D25" s="66"/>
      <c r="E25" s="66"/>
      <c r="F25" s="66"/>
      <c r="G25" s="66"/>
      <c r="H25" s="292"/>
      <c r="I25" s="66"/>
      <c r="J25" s="66"/>
      <c r="K25" s="66"/>
      <c r="L25" s="66"/>
      <c r="M25" s="66"/>
      <c r="N25" s="66"/>
      <c r="O25" s="66"/>
      <c r="P25" s="287"/>
    </row>
    <row r="26" spans="2:16" ht="20.25" thickBot="1" thickTop="1">
      <c r="B26" s="283"/>
      <c r="C26" s="73"/>
      <c r="H26" s="453" t="s">
        <v>103</v>
      </c>
      <c r="I26" s="160">
        <f>SUM(I22:I25)</f>
        <v>18879.85</v>
      </c>
      <c r="L26" s="70"/>
      <c r="M26" s="70"/>
      <c r="N26" s="71"/>
      <c r="O26" s="72"/>
      <c r="P26" s="293"/>
    </row>
    <row r="27" spans="2:16" ht="15.75" thickTop="1">
      <c r="B27" s="283"/>
      <c r="C27" s="73"/>
      <c r="D27" s="69"/>
      <c r="E27" s="69"/>
      <c r="F27" s="75"/>
      <c r="G27" s="70"/>
      <c r="H27" s="70"/>
      <c r="I27" s="70"/>
      <c r="J27" s="70"/>
      <c r="K27" s="70"/>
      <c r="L27" s="70"/>
      <c r="M27" s="70"/>
      <c r="N27" s="71"/>
      <c r="O27" s="72"/>
      <c r="P27" s="293"/>
    </row>
    <row r="28" spans="2:16" ht="15">
      <c r="B28" s="283"/>
      <c r="C28" s="61" t="s">
        <v>104</v>
      </c>
      <c r="D28" s="69"/>
      <c r="E28" s="69"/>
      <c r="F28" s="75"/>
      <c r="G28" s="70"/>
      <c r="H28" s="70"/>
      <c r="I28" s="70"/>
      <c r="J28" s="70"/>
      <c r="K28" s="70"/>
      <c r="L28" s="70"/>
      <c r="M28" s="70"/>
      <c r="N28" s="71"/>
      <c r="O28" s="72"/>
      <c r="P28" s="293"/>
    </row>
    <row r="29" spans="2:16" ht="15">
      <c r="B29" s="283"/>
      <c r="C29" s="73"/>
      <c r="D29" s="69"/>
      <c r="E29" s="69"/>
      <c r="F29" s="75"/>
      <c r="G29" s="70"/>
      <c r="H29" s="70"/>
      <c r="I29" s="70"/>
      <c r="J29" s="70"/>
      <c r="K29" s="70"/>
      <c r="L29" s="70"/>
      <c r="M29" s="70"/>
      <c r="N29" s="71"/>
      <c r="O29" s="72"/>
      <c r="P29" s="293"/>
    </row>
    <row r="30" spans="2:16" ht="15.75">
      <c r="B30" s="283"/>
      <c r="C30" s="73"/>
      <c r="D30" s="454" t="s">
        <v>105</v>
      </c>
      <c r="E30" s="455" t="s">
        <v>19</v>
      </c>
      <c r="F30" s="456" t="s">
        <v>106</v>
      </c>
      <c r="G30" s="457"/>
      <c r="H30" s="691" t="s">
        <v>133</v>
      </c>
      <c r="I30" s="690" t="s">
        <v>132</v>
      </c>
      <c r="J30" s="458"/>
      <c r="K30" s="459"/>
      <c r="L30" s="460" t="s">
        <v>2</v>
      </c>
      <c r="N30" s="71"/>
      <c r="O30" s="72"/>
      <c r="P30" s="293"/>
    </row>
    <row r="31" spans="2:16" ht="15">
      <c r="B31" s="283"/>
      <c r="C31" s="73"/>
      <c r="D31" s="461" t="s">
        <v>163</v>
      </c>
      <c r="E31" s="462">
        <v>132</v>
      </c>
      <c r="F31" s="463">
        <v>1.5</v>
      </c>
      <c r="G31" s="464"/>
      <c r="H31" s="465">
        <f>F31*$J$17*$E$17/100</f>
        <v>752.9975999999999</v>
      </c>
      <c r="I31" s="466">
        <v>365</v>
      </c>
      <c r="J31" s="467" t="s">
        <v>142</v>
      </c>
      <c r="K31" s="468"/>
      <c r="L31" s="469">
        <f>SUM(H31:K31)</f>
        <v>1117.9976</v>
      </c>
      <c r="M31" s="70"/>
      <c r="N31" s="71"/>
      <c r="O31" s="72"/>
      <c r="P31" s="293"/>
    </row>
    <row r="32" spans="2:16" ht="15">
      <c r="B32" s="283"/>
      <c r="C32" s="73"/>
      <c r="D32" s="470" t="s">
        <v>164</v>
      </c>
      <c r="E32" s="471">
        <v>132</v>
      </c>
      <c r="F32" s="472">
        <v>207.5</v>
      </c>
      <c r="G32" s="473"/>
      <c r="H32" s="474">
        <f>F32*$J$17*$E$17/100</f>
        <v>104164.66799999999</v>
      </c>
      <c r="I32" s="475">
        <v>5628</v>
      </c>
      <c r="J32" s="476" t="s">
        <v>142</v>
      </c>
      <c r="K32" s="477"/>
      <c r="L32" s="469">
        <f>SUM(H32:K32)</f>
        <v>109792.66799999999</v>
      </c>
      <c r="M32" s="70"/>
      <c r="N32" s="71"/>
      <c r="O32" s="72"/>
      <c r="P32" s="293"/>
    </row>
    <row r="33" spans="2:16" ht="15">
      <c r="B33" s="283"/>
      <c r="C33" s="73"/>
      <c r="D33" s="69"/>
      <c r="E33" s="69"/>
      <c r="F33" s="294"/>
      <c r="G33" s="70"/>
      <c r="I33" s="76"/>
      <c r="J33" s="290"/>
      <c r="K33" s="290"/>
      <c r="L33" s="479">
        <f>SUM(L31:L32)</f>
        <v>110910.6656</v>
      </c>
      <c r="M33" s="70"/>
      <c r="N33" s="71"/>
      <c r="O33" s="72"/>
      <c r="P33" s="293"/>
    </row>
    <row r="34" spans="2:16" ht="15">
      <c r="B34" s="283"/>
      <c r="C34" s="73"/>
      <c r="D34" s="69"/>
      <c r="E34" s="69"/>
      <c r="F34" s="294"/>
      <c r="G34" s="70"/>
      <c r="I34" s="76"/>
      <c r="J34" s="290"/>
      <c r="K34" s="290"/>
      <c r="L34" s="295"/>
      <c r="M34" s="70"/>
      <c r="N34" s="71"/>
      <c r="O34" s="72"/>
      <c r="P34" s="293"/>
    </row>
    <row r="35" spans="2:16" ht="15.75">
      <c r="B35" s="283"/>
      <c r="C35" s="73"/>
      <c r="D35" s="454" t="s">
        <v>107</v>
      </c>
      <c r="E35" s="455" t="s">
        <v>108</v>
      </c>
      <c r="F35" s="456" t="s">
        <v>109</v>
      </c>
      <c r="G35" s="705" t="s">
        <v>133</v>
      </c>
      <c r="H35" s="699"/>
      <c r="J35" s="480" t="s">
        <v>110</v>
      </c>
      <c r="K35" s="481"/>
      <c r="L35" s="482" t="s">
        <v>51</v>
      </c>
      <c r="M35" s="455" t="s">
        <v>19</v>
      </c>
      <c r="N35" s="483" t="s">
        <v>111</v>
      </c>
      <c r="O35" s="484"/>
      <c r="P35" s="293"/>
    </row>
    <row r="36" spans="2:16" ht="15">
      <c r="B36" s="283"/>
      <c r="C36" s="73"/>
      <c r="D36" s="461" t="s">
        <v>10</v>
      </c>
      <c r="E36" s="462" t="s">
        <v>9</v>
      </c>
      <c r="F36" s="463">
        <v>5</v>
      </c>
      <c r="G36" s="700"/>
      <c r="H36" s="701">
        <f>+F36*$J$18*$E$17</f>
        <v>874.8</v>
      </c>
      <c r="J36" s="697" t="s">
        <v>10</v>
      </c>
      <c r="K36" s="693"/>
      <c r="L36" s="694" t="s">
        <v>16</v>
      </c>
      <c r="M36" s="486">
        <v>13.2</v>
      </c>
      <c r="N36" s="487">
        <f>M18*$E$17</f>
        <v>1751.7599999999998</v>
      </c>
      <c r="O36" s="488"/>
      <c r="P36" s="293"/>
    </row>
    <row r="37" spans="2:16" ht="15">
      <c r="B37" s="283"/>
      <c r="C37" s="73"/>
      <c r="D37" s="470" t="s">
        <v>10</v>
      </c>
      <c r="E37" s="471" t="s">
        <v>8</v>
      </c>
      <c r="F37" s="472">
        <v>5</v>
      </c>
      <c r="G37" s="702"/>
      <c r="H37" s="703">
        <f>+F37*$J$18*$E$17</f>
        <v>874.8</v>
      </c>
      <c r="J37" s="698" t="s">
        <v>10</v>
      </c>
      <c r="K37" s="695"/>
      <c r="L37" s="696" t="s">
        <v>17</v>
      </c>
      <c r="M37" s="71">
        <v>13.2</v>
      </c>
      <c r="N37" s="493">
        <f>M18*$E$17</f>
        <v>1751.7599999999998</v>
      </c>
      <c r="O37" s="494"/>
      <c r="P37" s="293"/>
    </row>
    <row r="38" spans="2:16" ht="15">
      <c r="B38" s="283"/>
      <c r="C38" s="73"/>
      <c r="D38" s="69"/>
      <c r="E38" s="69"/>
      <c r="F38" s="294"/>
      <c r="G38" s="702"/>
      <c r="H38" s="704">
        <f>SUM(H36:H37)</f>
        <v>1749.6</v>
      </c>
      <c r="J38" s="495"/>
      <c r="K38" s="476"/>
      <c r="L38" s="473"/>
      <c r="M38" s="496"/>
      <c r="N38" s="497"/>
      <c r="O38" s="498"/>
      <c r="P38" s="293"/>
    </row>
    <row r="39" spans="2:16" ht="15">
      <c r="B39" s="283"/>
      <c r="C39" s="73"/>
      <c r="D39" s="69"/>
      <c r="E39" s="69"/>
      <c r="F39" s="294"/>
      <c r="G39" s="70"/>
      <c r="I39" s="76"/>
      <c r="J39" s="290"/>
      <c r="K39" s="290"/>
      <c r="L39" s="295"/>
      <c r="M39" s="70"/>
      <c r="N39" s="499">
        <f>SUM(N36:N38)</f>
        <v>3503.5199999999995</v>
      </c>
      <c r="O39" s="484"/>
      <c r="P39" s="293"/>
    </row>
    <row r="40" spans="2:16" ht="12.75" customHeight="1" thickBot="1">
      <c r="B40" s="283"/>
      <c r="C40" s="73"/>
      <c r="D40" s="69"/>
      <c r="E40" s="69"/>
      <c r="F40" s="75"/>
      <c r="G40" s="70"/>
      <c r="H40" s="76"/>
      <c r="I40" s="69"/>
      <c r="J40" s="69"/>
      <c r="K40" s="69"/>
      <c r="L40" s="70"/>
      <c r="M40" s="70"/>
      <c r="N40" s="71"/>
      <c r="O40" s="72"/>
      <c r="P40" s="293"/>
    </row>
    <row r="41" spans="2:16" ht="20.25" thickBot="1" thickTop="1">
      <c r="B41" s="283"/>
      <c r="C41" s="73"/>
      <c r="D41" s="69"/>
      <c r="E41" s="69"/>
      <c r="F41" s="75"/>
      <c r="G41" s="70"/>
      <c r="H41" s="500" t="s">
        <v>112</v>
      </c>
      <c r="I41" s="501">
        <f>+H38+N39+L33</f>
        <v>116163.78559999999</v>
      </c>
      <c r="J41" s="69"/>
      <c r="K41" s="69"/>
      <c r="L41" s="70"/>
      <c r="M41" s="70"/>
      <c r="N41" s="71"/>
      <c r="O41" s="72"/>
      <c r="P41" s="293"/>
    </row>
    <row r="42" spans="2:16" ht="15.75" thickTop="1">
      <c r="B42" s="283"/>
      <c r="C42" s="73"/>
      <c r="D42" s="69"/>
      <c r="E42" s="69"/>
      <c r="F42" s="75"/>
      <c r="G42" s="70"/>
      <c r="H42" s="76"/>
      <c r="I42" s="69"/>
      <c r="J42" s="69"/>
      <c r="K42" s="69"/>
      <c r="L42" s="70"/>
      <c r="M42" s="70"/>
      <c r="N42" s="71"/>
      <c r="O42" s="72"/>
      <c r="P42" s="293"/>
    </row>
    <row r="43" spans="2:16" ht="15.75">
      <c r="B43" s="283"/>
      <c r="C43" s="502" t="s">
        <v>113</v>
      </c>
      <c r="D43" s="69"/>
      <c r="E43" s="69"/>
      <c r="F43" s="75"/>
      <c r="G43" s="70"/>
      <c r="H43" s="76"/>
      <c r="I43" s="69"/>
      <c r="J43" s="69"/>
      <c r="K43" s="69"/>
      <c r="L43" s="70"/>
      <c r="M43" s="70"/>
      <c r="N43" s="71"/>
      <c r="O43" s="72"/>
      <c r="P43" s="293"/>
    </row>
    <row r="44" spans="2:16" ht="15.75" thickBot="1">
      <c r="B44" s="283"/>
      <c r="C44" s="73"/>
      <c r="D44" s="69"/>
      <c r="E44" s="69"/>
      <c r="F44" s="75"/>
      <c r="G44" s="70"/>
      <c r="H44" s="76"/>
      <c r="I44" s="69"/>
      <c r="J44" s="69"/>
      <c r="K44" s="69"/>
      <c r="L44" s="70"/>
      <c r="M44" s="70"/>
      <c r="N44" s="71"/>
      <c r="O44" s="72"/>
      <c r="P44" s="293"/>
    </row>
    <row r="45" spans="2:16" ht="20.25" thickBot="1" thickTop="1">
      <c r="B45" s="283"/>
      <c r="C45" s="73"/>
      <c r="D45" s="241" t="s">
        <v>114</v>
      </c>
      <c r="F45" s="296"/>
      <c r="G45" s="66"/>
      <c r="H45" s="159" t="s">
        <v>115</v>
      </c>
      <c r="I45" s="503">
        <f>E18*I41</f>
        <v>2904.09464</v>
      </c>
      <c r="J45" s="62"/>
      <c r="K45" s="62"/>
      <c r="O45" s="62"/>
      <c r="P45" s="293"/>
    </row>
    <row r="46" spans="2:16" ht="21.75" thickTop="1">
      <c r="B46" s="283"/>
      <c r="C46" s="73"/>
      <c r="F46" s="297"/>
      <c r="G46" s="39"/>
      <c r="I46" s="62"/>
      <c r="J46" s="62"/>
      <c r="K46" s="62"/>
      <c r="O46" s="62"/>
      <c r="P46" s="293"/>
    </row>
    <row r="47" spans="2:16" ht="15">
      <c r="B47" s="283"/>
      <c r="C47" s="61" t="s">
        <v>116</v>
      </c>
      <c r="E47" s="62"/>
      <c r="F47" s="62"/>
      <c r="G47" s="62"/>
      <c r="H47" s="62"/>
      <c r="I47" s="70"/>
      <c r="J47" s="70"/>
      <c r="K47" s="70"/>
      <c r="L47" s="70"/>
      <c r="M47" s="70"/>
      <c r="N47" s="71"/>
      <c r="O47" s="72"/>
      <c r="P47" s="293"/>
    </row>
    <row r="48" spans="2:16" ht="15">
      <c r="B48" s="283"/>
      <c r="C48" s="73"/>
      <c r="D48" s="68" t="s">
        <v>117</v>
      </c>
      <c r="E48" s="298">
        <f>10*I26*I45/I41</f>
        <v>4719.9625</v>
      </c>
      <c r="F48" s="504"/>
      <c r="H48" s="62"/>
      <c r="I48" s="70"/>
      <c r="J48" s="70"/>
      <c r="K48" s="70"/>
      <c r="L48" s="70"/>
      <c r="M48" s="70"/>
      <c r="N48" s="71"/>
      <c r="O48" s="72"/>
      <c r="P48" s="293"/>
    </row>
    <row r="49" spans="2:16" ht="15">
      <c r="B49" s="283"/>
      <c r="C49" s="73"/>
      <c r="D49" s="62"/>
      <c r="E49" s="62"/>
      <c r="J49" s="70"/>
      <c r="K49" s="70"/>
      <c r="L49" s="70"/>
      <c r="M49" s="70"/>
      <c r="N49" s="71"/>
      <c r="O49" s="72"/>
      <c r="P49" s="293"/>
    </row>
    <row r="50" spans="2:16" ht="15">
      <c r="B50" s="283"/>
      <c r="C50" s="73"/>
      <c r="D50" s="62" t="s">
        <v>118</v>
      </c>
      <c r="E50" s="62"/>
      <c r="F50" s="62"/>
      <c r="G50" s="62"/>
      <c r="H50" s="62"/>
      <c r="M50" s="70"/>
      <c r="N50" s="71"/>
      <c r="O50" s="72"/>
      <c r="P50" s="293"/>
    </row>
    <row r="51" spans="2:16" ht="15.75" thickBot="1">
      <c r="B51" s="283"/>
      <c r="C51" s="73"/>
      <c r="D51" s="62"/>
      <c r="E51" s="62"/>
      <c r="F51" s="62"/>
      <c r="G51" s="62"/>
      <c r="H51" s="62"/>
      <c r="M51" s="70"/>
      <c r="N51" s="71"/>
      <c r="O51" s="72"/>
      <c r="P51" s="293"/>
    </row>
    <row r="52" spans="2:16" ht="20.25" thickBot="1" thickTop="1">
      <c r="B52" s="283"/>
      <c r="C52" s="73"/>
      <c r="D52" s="69"/>
      <c r="E52" s="69"/>
      <c r="F52" s="75"/>
      <c r="G52" s="70"/>
      <c r="H52" s="242" t="s">
        <v>119</v>
      </c>
      <c r="I52" s="505">
        <f>IF($E$48&gt;3*I45,3*I45,$E$48)</f>
        <v>4719.9625</v>
      </c>
      <c r="J52" s="70"/>
      <c r="K52" s="70"/>
      <c r="L52" s="70"/>
      <c r="M52" s="70"/>
      <c r="N52" s="71"/>
      <c r="O52" s="72"/>
      <c r="P52" s="293"/>
    </row>
    <row r="53" spans="2:16" ht="16.5" thickBot="1" thickTop="1">
      <c r="B53" s="299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1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printOptions/>
  <pageMargins left="0.28" right="0.1968503937007874" top="0.63" bottom="0.58" header="0.5118110236220472" footer="0.28"/>
  <pageSetup fitToHeight="1" fitToWidth="1" orientation="landscape" paperSize="9" scale="5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T57"/>
  <sheetViews>
    <sheetView zoomScale="75" zoomScaleNormal="75" workbookViewId="0" topLeftCell="B1">
      <selection activeCell="G54" sqref="G54:S5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22"/>
    </row>
    <row r="2" spans="2:20" s="762" customFormat="1" ht="30.75">
      <c r="B2" s="114" t="str">
        <f>'TOT-0611'!B2</f>
        <v>ANEXO VI al Memorandum D.T.E.E. N°482 / 2012 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</row>
    <row r="3" spans="1:2" ht="12.75" customHeight="1">
      <c r="A3" s="764" t="s">
        <v>20</v>
      </c>
      <c r="B3" s="765"/>
    </row>
    <row r="4" spans="1:4" ht="12.75" customHeight="1">
      <c r="A4" s="764" t="s">
        <v>21</v>
      </c>
      <c r="B4" s="765"/>
      <c r="D4" s="766"/>
    </row>
    <row r="5" spans="1:4" ht="21.75" customHeight="1">
      <c r="A5" s="767"/>
      <c r="D5" s="766"/>
    </row>
    <row r="6" spans="1:20" ht="26.25">
      <c r="A6" s="767"/>
      <c r="B6" s="768" t="s">
        <v>165</v>
      </c>
      <c r="C6" s="79"/>
      <c r="D6" s="766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4" ht="18.75" customHeight="1">
      <c r="A7" s="767"/>
      <c r="D7" s="766"/>
    </row>
    <row r="8" spans="1:20" ht="26.25">
      <c r="A8" s="767"/>
      <c r="B8" s="769" t="s">
        <v>1</v>
      </c>
      <c r="C8" s="79"/>
      <c r="D8" s="766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4" ht="18.75" customHeight="1">
      <c r="A9" s="767"/>
      <c r="D9" s="766"/>
    </row>
    <row r="10" spans="1:20" ht="26.25">
      <c r="A10" s="767"/>
      <c r="B10" s="769" t="s">
        <v>166</v>
      </c>
      <c r="C10" s="79"/>
      <c r="D10" s="76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ht="18.75" customHeight="1" thickBot="1"/>
    <row r="12" spans="2:20" ht="18.75" customHeight="1" thickTop="1">
      <c r="B12" s="770"/>
      <c r="C12" s="771"/>
      <c r="D12" s="772"/>
      <c r="E12" s="772"/>
      <c r="F12" s="772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3"/>
    </row>
    <row r="13" spans="2:20" ht="19.5">
      <c r="B13" s="243" t="s">
        <v>167</v>
      </c>
      <c r="C13" s="79"/>
      <c r="D13" s="774"/>
      <c r="E13" s="774"/>
      <c r="F13" s="774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6"/>
    </row>
    <row r="14" spans="2:20" ht="18.75" customHeight="1" thickBot="1">
      <c r="B14" s="2"/>
      <c r="C14" s="777"/>
      <c r="D14" s="778"/>
      <c r="E14" s="778"/>
      <c r="F14" s="77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87" customFormat="1" ht="34.5" customHeight="1" thickBot="1" thickTop="1">
      <c r="A15" s="765"/>
      <c r="B15" s="780"/>
      <c r="C15" s="781"/>
      <c r="D15" s="782" t="s">
        <v>23</v>
      </c>
      <c r="E15" s="783" t="s">
        <v>48</v>
      </c>
      <c r="F15" s="784" t="s">
        <v>49</v>
      </c>
      <c r="G15" s="785">
        <v>40330</v>
      </c>
      <c r="H15" s="785">
        <v>40360</v>
      </c>
      <c r="I15" s="785">
        <v>40391</v>
      </c>
      <c r="J15" s="785">
        <v>40422</v>
      </c>
      <c r="K15" s="785">
        <v>40452</v>
      </c>
      <c r="L15" s="785">
        <v>40483</v>
      </c>
      <c r="M15" s="785">
        <v>40513</v>
      </c>
      <c r="N15" s="785">
        <v>40544</v>
      </c>
      <c r="O15" s="785">
        <v>40575</v>
      </c>
      <c r="P15" s="785">
        <v>40603</v>
      </c>
      <c r="Q15" s="785">
        <v>40634</v>
      </c>
      <c r="R15" s="785">
        <v>40664</v>
      </c>
      <c r="S15" s="785">
        <v>40695</v>
      </c>
      <c r="T15" s="786"/>
    </row>
    <row r="16" spans="2:20" ht="15" customHeight="1" thickTop="1">
      <c r="B16" s="2"/>
      <c r="C16" s="788"/>
      <c r="D16" s="789"/>
      <c r="E16" s="789"/>
      <c r="F16" s="790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2"/>
      <c r="T16" s="3"/>
    </row>
    <row r="17" spans="2:20" ht="15" customHeight="1" hidden="1">
      <c r="B17" s="2"/>
      <c r="C17" s="793">
        <f>IF('[1]Tasa de Falla'!C17=0,"",'[1]Tasa de Falla'!C17)</f>
        <v>1</v>
      </c>
      <c r="D17" s="794" t="str">
        <f>IF('[1]Tasa de Falla'!D17=0,"",'[1]Tasa de Falla'!D17)</f>
        <v>AMEGHINO - COMODORO RIVADAVIA</v>
      </c>
      <c r="E17" s="794">
        <f>IF('[1]Tasa de Falla'!E17=0,"",'[1]Tasa de Falla'!E17)</f>
        <v>132</v>
      </c>
      <c r="F17" s="795">
        <f>IF('[1]Tasa de Falla'!F17=0,"",'[1]Tasa de Falla'!F17)</f>
        <v>305</v>
      </c>
      <c r="G17" s="796" t="str">
        <f>IF('[1]Tasa de Falla'!DC17=0,"",'[1]Tasa de Falla'!DC17)</f>
        <v>XXXX</v>
      </c>
      <c r="H17" s="796" t="str">
        <f>IF('[1]Tasa de Falla'!DD17=0,"",'[1]Tasa de Falla'!DD17)</f>
        <v>XXXX</v>
      </c>
      <c r="I17" s="796" t="str">
        <f>IF('[1]Tasa de Falla'!DE17=0,"",'[1]Tasa de Falla'!DE17)</f>
        <v>XXXX</v>
      </c>
      <c r="J17" s="796" t="str">
        <f>IF('[1]Tasa de Falla'!DF17=0,"",'[1]Tasa de Falla'!DF17)</f>
        <v>XXXX</v>
      </c>
      <c r="K17" s="796" t="str">
        <f>IF('[1]Tasa de Falla'!DG17=0,"",'[1]Tasa de Falla'!DG17)</f>
        <v>XXXX</v>
      </c>
      <c r="L17" s="796" t="str">
        <f>IF('[1]Tasa de Falla'!DH17=0,"",'[1]Tasa de Falla'!DH17)</f>
        <v>XXXX</v>
      </c>
      <c r="M17" s="796" t="str">
        <f>IF('[1]Tasa de Falla'!DI17=0,"",'[1]Tasa de Falla'!DI17)</f>
        <v>XXXX</v>
      </c>
      <c r="N17" s="796" t="str">
        <f>IF('[1]Tasa de Falla'!DJ17=0,"",'[1]Tasa de Falla'!DJ17)</f>
        <v>XXXX</v>
      </c>
      <c r="O17" s="796" t="str">
        <f>IF('[1]Tasa de Falla'!DK17=0,"",'[1]Tasa de Falla'!DK17)</f>
        <v>XXXX</v>
      </c>
      <c r="P17" s="796" t="str">
        <f>IF('[1]Tasa de Falla'!DL17=0,"",'[1]Tasa de Falla'!DL17)</f>
        <v>XXXX</v>
      </c>
      <c r="Q17" s="796" t="str">
        <f>IF('[1]Tasa de Falla'!DM17=0,"",'[1]Tasa de Falla'!DM17)</f>
        <v>XXXX</v>
      </c>
      <c r="R17" s="796" t="str">
        <f>IF('[1]Tasa de Falla'!DN17=0,"",'[1]Tasa de Falla'!DN17)</f>
        <v>XXXX</v>
      </c>
      <c r="S17" s="797"/>
      <c r="T17" s="3"/>
    </row>
    <row r="18" spans="2:20" ht="18" customHeight="1">
      <c r="B18" s="2"/>
      <c r="C18" s="798">
        <f>IF('[1]Tasa de Falla'!C18=0,"",'[1]Tasa de Falla'!C18)</f>
        <v>2</v>
      </c>
      <c r="D18" s="831" t="str">
        <f>IF('[1]Tasa de Falla'!D18=0,"",'[1]Tasa de Falla'!D18)</f>
        <v>AMEGHINO - ESTACION PATAGONIA</v>
      </c>
      <c r="E18" s="831">
        <f>IF('[1]Tasa de Falla'!E18=0,"",'[1]Tasa de Falla'!E18)</f>
        <v>132</v>
      </c>
      <c r="F18" s="832">
        <f>IF('[1]Tasa de Falla'!F18=0,"",'[1]Tasa de Falla'!F18)</f>
        <v>299.6</v>
      </c>
      <c r="G18" s="796">
        <f>IF('[1]Tasa de Falla'!GL18=0,"",'[1]Tasa de Falla'!GL18)</f>
      </c>
      <c r="H18" s="796">
        <f>IF('[1]Tasa de Falla'!GM18=0,"",'[1]Tasa de Falla'!GM18)</f>
        <v>3</v>
      </c>
      <c r="I18" s="796">
        <f>IF('[1]Tasa de Falla'!GN18=0,"",'[1]Tasa de Falla'!GN18)</f>
      </c>
      <c r="J18" s="796">
        <f>IF('[1]Tasa de Falla'!GO18=0,"",'[1]Tasa de Falla'!GO18)</f>
      </c>
      <c r="K18" s="796">
        <f>IF('[1]Tasa de Falla'!GP18=0,"",'[1]Tasa de Falla'!GP18)</f>
      </c>
      <c r="L18" s="796">
        <f>IF('[1]Tasa de Falla'!GQ18=0,"",'[1]Tasa de Falla'!GQ18)</f>
        <v>1</v>
      </c>
      <c r="M18" s="796">
        <f>IF('[1]Tasa de Falla'!GR18=0,"",'[1]Tasa de Falla'!GR18)</f>
        <v>1</v>
      </c>
      <c r="N18" s="796">
        <f>IF('[1]Tasa de Falla'!GS18=0,"",'[1]Tasa de Falla'!GS18)</f>
      </c>
      <c r="O18" s="796">
        <f>IF('[1]Tasa de Falla'!GT18=0,"",'[1]Tasa de Falla'!GT18)</f>
      </c>
      <c r="P18" s="796">
        <f>IF('[1]Tasa de Falla'!GU18=0,"",'[1]Tasa de Falla'!GU18)</f>
      </c>
      <c r="Q18" s="796">
        <f>IF('[1]Tasa de Falla'!GV18=0,"",'[1]Tasa de Falla'!GV18)</f>
      </c>
      <c r="R18" s="796">
        <f>IF('[1]Tasa de Falla'!GW18=0,"",'[1]Tasa de Falla'!GW18)</f>
      </c>
      <c r="S18" s="797"/>
      <c r="T18" s="3"/>
    </row>
    <row r="19" spans="2:20" ht="15" customHeight="1">
      <c r="B19" s="2"/>
      <c r="C19" s="833">
        <f>IF('[1]Tasa de Falla'!C19=0,"",'[1]Tasa de Falla'!C19)</f>
        <v>3</v>
      </c>
      <c r="D19" s="834" t="str">
        <f>IF('[1]Tasa de Falla'!D19=0,"",'[1]Tasa de Falla'!D19)</f>
        <v>AMEGHINO - TRELEW</v>
      </c>
      <c r="E19" s="834">
        <f>IF('[1]Tasa de Falla'!E19=0,"",'[1]Tasa de Falla'!E19)</f>
        <v>132</v>
      </c>
      <c r="F19" s="835">
        <f>IF('[1]Tasa de Falla'!F19=0,"",'[1]Tasa de Falla'!F19)</f>
        <v>112</v>
      </c>
      <c r="G19" s="796">
        <f>IF('[1]Tasa de Falla'!GL19=0,"",'[1]Tasa de Falla'!GL19)</f>
      </c>
      <c r="H19" s="796">
        <f>IF('[1]Tasa de Falla'!GM19=0,"",'[1]Tasa de Falla'!GM19)</f>
      </c>
      <c r="I19" s="796">
        <f>IF('[1]Tasa de Falla'!GN19=0,"",'[1]Tasa de Falla'!GN19)</f>
      </c>
      <c r="J19" s="796">
        <f>IF('[1]Tasa de Falla'!GO19=0,"",'[1]Tasa de Falla'!GO19)</f>
      </c>
      <c r="K19" s="796">
        <f>IF('[1]Tasa de Falla'!GP19=0,"",'[1]Tasa de Falla'!GP19)</f>
      </c>
      <c r="L19" s="796">
        <f>IF('[1]Tasa de Falla'!GQ19=0,"",'[1]Tasa de Falla'!GQ19)</f>
      </c>
      <c r="M19" s="796">
        <f>IF('[1]Tasa de Falla'!GR19=0,"",'[1]Tasa de Falla'!GR19)</f>
      </c>
      <c r="N19" s="796">
        <f>IF('[1]Tasa de Falla'!GS19=0,"",'[1]Tasa de Falla'!GS19)</f>
      </c>
      <c r="O19" s="796">
        <f>IF('[1]Tasa de Falla'!GT19=0,"",'[1]Tasa de Falla'!GT19)</f>
      </c>
      <c r="P19" s="796">
        <f>IF('[1]Tasa de Falla'!GU19=0,"",'[1]Tasa de Falla'!GU19)</f>
      </c>
      <c r="Q19" s="796">
        <f>IF('[1]Tasa de Falla'!GV19=0,"",'[1]Tasa de Falla'!GV19)</f>
      </c>
      <c r="R19" s="796">
        <f>IF('[1]Tasa de Falla'!GW19=0,"",'[1]Tasa de Falla'!GW19)</f>
      </c>
      <c r="S19" s="797"/>
      <c r="T19" s="3"/>
    </row>
    <row r="20" spans="2:20" ht="15" customHeight="1">
      <c r="B20" s="2"/>
      <c r="C20" s="798">
        <f>IF('[1]Tasa de Falla'!C20=0,"",'[1]Tasa de Falla'!C20)</f>
        <v>4</v>
      </c>
      <c r="D20" s="831" t="str">
        <f>IF('[1]Tasa de Falla'!D20=0,"",'[1]Tasa de Falla'!D20)</f>
        <v>FUTALEUFU - ESQUEL</v>
      </c>
      <c r="E20" s="831">
        <f>IF('[1]Tasa de Falla'!E20=0,"",'[1]Tasa de Falla'!E20)</f>
        <v>132</v>
      </c>
      <c r="F20" s="832">
        <f>IF('[1]Tasa de Falla'!F20=0,"",'[1]Tasa de Falla'!F20)</f>
        <v>28.41</v>
      </c>
      <c r="G20" s="796">
        <f>IF('[1]Tasa de Falla'!GL20=0,"",'[1]Tasa de Falla'!GL20)</f>
      </c>
      <c r="H20" s="796">
        <f>IF('[1]Tasa de Falla'!GM20=0,"",'[1]Tasa de Falla'!GM20)</f>
      </c>
      <c r="I20" s="796">
        <f>IF('[1]Tasa de Falla'!GN20=0,"",'[1]Tasa de Falla'!GN20)</f>
      </c>
      <c r="J20" s="796">
        <f>IF('[1]Tasa de Falla'!GO20=0,"",'[1]Tasa de Falla'!GO20)</f>
      </c>
      <c r="K20" s="796">
        <f>IF('[1]Tasa de Falla'!GP20=0,"",'[1]Tasa de Falla'!GP20)</f>
      </c>
      <c r="L20" s="796">
        <f>IF('[1]Tasa de Falla'!GQ20=0,"",'[1]Tasa de Falla'!GQ20)</f>
      </c>
      <c r="M20" s="796">
        <f>IF('[1]Tasa de Falla'!GR20=0,"",'[1]Tasa de Falla'!GR20)</f>
      </c>
      <c r="N20" s="796">
        <f>IF('[1]Tasa de Falla'!GS20=0,"",'[1]Tasa de Falla'!GS20)</f>
      </c>
      <c r="O20" s="796">
        <f>IF('[1]Tasa de Falla'!GT20=0,"",'[1]Tasa de Falla'!GT20)</f>
      </c>
      <c r="P20" s="796">
        <f>IF('[1]Tasa de Falla'!GU20=0,"",'[1]Tasa de Falla'!GU20)</f>
      </c>
      <c r="Q20" s="796">
        <f>IF('[1]Tasa de Falla'!GV20=0,"",'[1]Tasa de Falla'!GV20)</f>
      </c>
      <c r="R20" s="796">
        <f>IF('[1]Tasa de Falla'!GW20=0,"",'[1]Tasa de Falla'!GW20)</f>
      </c>
      <c r="S20" s="797"/>
      <c r="T20" s="3"/>
    </row>
    <row r="21" spans="2:20" ht="15" customHeight="1">
      <c r="B21" s="2"/>
      <c r="C21" s="833">
        <f>IF('[1]Tasa de Falla'!C21=0,"",'[1]Tasa de Falla'!C21)</f>
        <v>5</v>
      </c>
      <c r="D21" s="834" t="str">
        <f>IF('[1]Tasa de Falla'!D21=0,"",'[1]Tasa de Falla'!D21)</f>
        <v>BARRIO SAN MARTIN - ESTACION PATAGONIA</v>
      </c>
      <c r="E21" s="834">
        <f>IF('[1]Tasa de Falla'!E21=0,"",'[1]Tasa de Falla'!E21)</f>
        <v>132</v>
      </c>
      <c r="F21" s="835">
        <f>IF('[1]Tasa de Falla'!F21=0,"",'[1]Tasa de Falla'!F21)</f>
        <v>9.43</v>
      </c>
      <c r="G21" s="796">
        <f>IF('[1]Tasa de Falla'!GL21=0,"",'[1]Tasa de Falla'!GL21)</f>
      </c>
      <c r="H21" s="796">
        <f>IF('[1]Tasa de Falla'!GM21=0,"",'[1]Tasa de Falla'!GM21)</f>
      </c>
      <c r="I21" s="796">
        <f>IF('[1]Tasa de Falla'!GN21=0,"",'[1]Tasa de Falla'!GN21)</f>
      </c>
      <c r="J21" s="796">
        <f>IF('[1]Tasa de Falla'!GO21=0,"",'[1]Tasa de Falla'!GO21)</f>
      </c>
      <c r="K21" s="796">
        <f>IF('[1]Tasa de Falla'!GP21=0,"",'[1]Tasa de Falla'!GP21)</f>
      </c>
      <c r="L21" s="796">
        <f>IF('[1]Tasa de Falla'!GQ21=0,"",'[1]Tasa de Falla'!GQ21)</f>
      </c>
      <c r="M21" s="796">
        <f>IF('[1]Tasa de Falla'!GR21=0,"",'[1]Tasa de Falla'!GR21)</f>
      </c>
      <c r="N21" s="796">
        <f>IF('[1]Tasa de Falla'!GS21=0,"",'[1]Tasa de Falla'!GS21)</f>
      </c>
      <c r="O21" s="796">
        <f>IF('[1]Tasa de Falla'!GT21=0,"",'[1]Tasa de Falla'!GT21)</f>
      </c>
      <c r="P21" s="796">
        <f>IF('[1]Tasa de Falla'!GU21=0,"",'[1]Tasa de Falla'!GU21)</f>
      </c>
      <c r="Q21" s="796">
        <f>IF('[1]Tasa de Falla'!GV21=0,"",'[1]Tasa de Falla'!GV21)</f>
      </c>
      <c r="R21" s="796">
        <f>IF('[1]Tasa de Falla'!GW21=0,"",'[1]Tasa de Falla'!GW21)</f>
      </c>
      <c r="S21" s="797"/>
      <c r="T21" s="3"/>
    </row>
    <row r="22" spans="2:20" ht="15" customHeight="1">
      <c r="B22" s="2"/>
      <c r="C22" s="798">
        <f>IF('[1]Tasa de Falla'!C22=0,"",'[1]Tasa de Falla'!C22)</f>
        <v>6</v>
      </c>
      <c r="D22" s="831" t="str">
        <f>IF('[1]Tasa de Falla'!D22=0,"",'[1]Tasa de Falla'!D22)</f>
        <v>COMODORO RIVADAVIA - E.T. A1</v>
      </c>
      <c r="E22" s="831">
        <f>IF('[1]Tasa de Falla'!E22=0,"",'[1]Tasa de Falla'!E22)</f>
        <v>132</v>
      </c>
      <c r="F22" s="832">
        <f>IF('[1]Tasa de Falla'!F22=0,"",'[1]Tasa de Falla'!F22)</f>
        <v>0.5</v>
      </c>
      <c r="G22" s="796">
        <f>IF('[1]Tasa de Falla'!GL22=0,"",'[1]Tasa de Falla'!GL22)</f>
      </c>
      <c r="H22" s="796">
        <f>IF('[1]Tasa de Falla'!GM22=0,"",'[1]Tasa de Falla'!GM22)</f>
      </c>
      <c r="I22" s="796">
        <f>IF('[1]Tasa de Falla'!GN22=0,"",'[1]Tasa de Falla'!GN22)</f>
      </c>
      <c r="J22" s="796">
        <f>IF('[1]Tasa de Falla'!GO22=0,"",'[1]Tasa de Falla'!GO22)</f>
      </c>
      <c r="K22" s="796">
        <f>IF('[1]Tasa de Falla'!GP22=0,"",'[1]Tasa de Falla'!GP22)</f>
      </c>
      <c r="L22" s="796">
        <f>IF('[1]Tasa de Falla'!GQ22=0,"",'[1]Tasa de Falla'!GQ22)</f>
      </c>
      <c r="M22" s="796">
        <f>IF('[1]Tasa de Falla'!GR22=0,"",'[1]Tasa de Falla'!GR22)</f>
      </c>
      <c r="N22" s="796">
        <f>IF('[1]Tasa de Falla'!GS22=0,"",'[1]Tasa de Falla'!GS22)</f>
      </c>
      <c r="O22" s="796">
        <f>IF('[1]Tasa de Falla'!GT22=0,"",'[1]Tasa de Falla'!GT22)</f>
      </c>
      <c r="P22" s="796">
        <f>IF('[1]Tasa de Falla'!GU22=0,"",'[1]Tasa de Falla'!GU22)</f>
      </c>
      <c r="Q22" s="796">
        <f>IF('[1]Tasa de Falla'!GV22=0,"",'[1]Tasa de Falla'!GV22)</f>
      </c>
      <c r="R22" s="796">
        <f>IF('[1]Tasa de Falla'!GW22=0,"",'[1]Tasa de Falla'!GW22)</f>
      </c>
      <c r="S22" s="797"/>
      <c r="T22" s="3"/>
    </row>
    <row r="23" spans="2:20" ht="15" customHeight="1">
      <c r="B23" s="2"/>
      <c r="C23" s="833">
        <f>IF('[1]Tasa de Falla'!C23=0,"",'[1]Tasa de Falla'!C23)</f>
        <v>7</v>
      </c>
      <c r="D23" s="834" t="str">
        <f>IF('[1]Tasa de Falla'!D23=0,"",'[1]Tasa de Falla'!D23)</f>
        <v>COMODORO RIVADAVIA (A1) - ESTACION PATAGONIA</v>
      </c>
      <c r="E23" s="834">
        <f>IF('[1]Tasa de Falla'!E23=0,"",'[1]Tasa de Falla'!E23)</f>
        <v>132</v>
      </c>
      <c r="F23" s="835">
        <f>IF('[1]Tasa de Falla'!F23=0,"",'[1]Tasa de Falla'!F23)</f>
        <v>6.9</v>
      </c>
      <c r="G23" s="796">
        <f>IF('[1]Tasa de Falla'!GL23=0,"",'[1]Tasa de Falla'!GL23)</f>
      </c>
      <c r="H23" s="796">
        <f>IF('[1]Tasa de Falla'!GM23=0,"",'[1]Tasa de Falla'!GM23)</f>
      </c>
      <c r="I23" s="796">
        <f>IF('[1]Tasa de Falla'!GN23=0,"",'[1]Tasa de Falla'!GN23)</f>
      </c>
      <c r="J23" s="796">
        <f>IF('[1]Tasa de Falla'!GO23=0,"",'[1]Tasa de Falla'!GO23)</f>
      </c>
      <c r="K23" s="796">
        <f>IF('[1]Tasa de Falla'!GP23=0,"",'[1]Tasa de Falla'!GP23)</f>
      </c>
      <c r="L23" s="796">
        <f>IF('[1]Tasa de Falla'!GQ23=0,"",'[1]Tasa de Falla'!GQ23)</f>
      </c>
      <c r="M23" s="796">
        <f>IF('[1]Tasa de Falla'!GR23=0,"",'[1]Tasa de Falla'!GR23)</f>
      </c>
      <c r="N23" s="796">
        <f>IF('[1]Tasa de Falla'!GS23=0,"",'[1]Tasa de Falla'!GS23)</f>
      </c>
      <c r="O23" s="796">
        <f>IF('[1]Tasa de Falla'!GT23=0,"",'[1]Tasa de Falla'!GT23)</f>
      </c>
      <c r="P23" s="796">
        <f>IF('[1]Tasa de Falla'!GU23=0,"",'[1]Tasa de Falla'!GU23)</f>
      </c>
      <c r="Q23" s="796">
        <f>IF('[1]Tasa de Falla'!GV23=0,"",'[1]Tasa de Falla'!GV23)</f>
      </c>
      <c r="R23" s="796">
        <f>IF('[1]Tasa de Falla'!GW23=0,"",'[1]Tasa de Falla'!GW23)</f>
      </c>
      <c r="S23" s="797"/>
      <c r="T23" s="3"/>
    </row>
    <row r="24" spans="2:20" ht="15" customHeight="1">
      <c r="B24" s="2"/>
      <c r="C24" s="798">
        <f>IF('[1]Tasa de Falla'!C24=0,"",'[1]Tasa de Falla'!C24)</f>
        <v>8</v>
      </c>
      <c r="D24" s="831" t="str">
        <f>IF('[1]Tasa de Falla'!D24=0,"",'[1]Tasa de Falla'!D24)</f>
        <v>COMODORO RIVADAVIA - PICO TRUNCADO</v>
      </c>
      <c r="E24" s="831">
        <f>IF('[1]Tasa de Falla'!E24=0,"",'[1]Tasa de Falla'!E24)</f>
        <v>132</v>
      </c>
      <c r="F24" s="832">
        <f>IF('[1]Tasa de Falla'!F24=0,"",'[1]Tasa de Falla'!F24)</f>
        <v>138</v>
      </c>
      <c r="G24" s="796">
        <f>IF('[1]Tasa de Falla'!GL24=0,"",'[1]Tasa de Falla'!GL24)</f>
      </c>
      <c r="H24" s="796">
        <f>IF('[1]Tasa de Falla'!GM24=0,"",'[1]Tasa de Falla'!GM24)</f>
      </c>
      <c r="I24" s="796">
        <f>IF('[1]Tasa de Falla'!GN24=0,"",'[1]Tasa de Falla'!GN24)</f>
      </c>
      <c r="J24" s="796">
        <f>IF('[1]Tasa de Falla'!GO24=0,"",'[1]Tasa de Falla'!GO24)</f>
      </c>
      <c r="K24" s="796">
        <f>IF('[1]Tasa de Falla'!GP24=0,"",'[1]Tasa de Falla'!GP24)</f>
      </c>
      <c r="L24" s="796">
        <f>IF('[1]Tasa de Falla'!GQ24=0,"",'[1]Tasa de Falla'!GQ24)</f>
      </c>
      <c r="M24" s="796">
        <f>IF('[1]Tasa de Falla'!GR24=0,"",'[1]Tasa de Falla'!GR24)</f>
        <v>1</v>
      </c>
      <c r="N24" s="796">
        <f>IF('[1]Tasa de Falla'!GS24=0,"",'[1]Tasa de Falla'!GS24)</f>
      </c>
      <c r="O24" s="796">
        <f>IF('[1]Tasa de Falla'!GT24=0,"",'[1]Tasa de Falla'!GT24)</f>
      </c>
      <c r="P24" s="796">
        <f>IF('[1]Tasa de Falla'!GU24=0,"",'[1]Tasa de Falla'!GU24)</f>
      </c>
      <c r="Q24" s="796">
        <f>IF('[1]Tasa de Falla'!GV24=0,"",'[1]Tasa de Falla'!GV24)</f>
      </c>
      <c r="R24" s="796">
        <f>IF('[1]Tasa de Falla'!GW24=0,"",'[1]Tasa de Falla'!GW24)</f>
      </c>
      <c r="S24" s="797"/>
      <c r="T24" s="3"/>
    </row>
    <row r="25" spans="2:20" ht="15" customHeight="1">
      <c r="B25" s="2"/>
      <c r="C25" s="833">
        <f>IF('[1]Tasa de Falla'!C25=0,"",'[1]Tasa de Falla'!C25)</f>
        <v>9</v>
      </c>
      <c r="D25" s="834" t="str">
        <f>IF('[1]Tasa de Falla'!D25=0,"",'[1]Tasa de Falla'!D25)</f>
        <v>FUTALEUFÚ - PUERTO MADRYN 1</v>
      </c>
      <c r="E25" s="834">
        <f>IF('[1]Tasa de Falla'!E25=0,"",'[1]Tasa de Falla'!E25)</f>
        <v>330</v>
      </c>
      <c r="F25" s="835">
        <f>IF('[1]Tasa de Falla'!F25=0,"",'[1]Tasa de Falla'!F25)</f>
        <v>550</v>
      </c>
      <c r="G25" s="796">
        <f>IF('[1]Tasa de Falla'!GL25=0,"",'[1]Tasa de Falla'!GL25)</f>
      </c>
      <c r="H25" s="796">
        <f>IF('[1]Tasa de Falla'!GM25=0,"",'[1]Tasa de Falla'!GM25)</f>
      </c>
      <c r="I25" s="796">
        <f>IF('[1]Tasa de Falla'!GN25=0,"",'[1]Tasa de Falla'!GN25)</f>
      </c>
      <c r="J25" s="796">
        <f>IF('[1]Tasa de Falla'!GO25=0,"",'[1]Tasa de Falla'!GO25)</f>
        <v>2</v>
      </c>
      <c r="K25" s="796">
        <f>IF('[1]Tasa de Falla'!GP25=0,"",'[1]Tasa de Falla'!GP25)</f>
      </c>
      <c r="L25" s="796">
        <f>IF('[1]Tasa de Falla'!GQ25=0,"",'[1]Tasa de Falla'!GQ25)</f>
      </c>
      <c r="M25" s="796">
        <f>IF('[1]Tasa de Falla'!GR25=0,"",'[1]Tasa de Falla'!GR25)</f>
      </c>
      <c r="N25" s="796">
        <f>IF('[1]Tasa de Falla'!GS25=0,"",'[1]Tasa de Falla'!GS25)</f>
      </c>
      <c r="O25" s="796">
        <f>IF('[1]Tasa de Falla'!GT25=0,"",'[1]Tasa de Falla'!GT25)</f>
      </c>
      <c r="P25" s="796">
        <f>IF('[1]Tasa de Falla'!GU25=0,"",'[1]Tasa de Falla'!GU25)</f>
      </c>
      <c r="Q25" s="796">
        <f>IF('[1]Tasa de Falla'!GV25=0,"",'[1]Tasa de Falla'!GV25)</f>
        <v>1</v>
      </c>
      <c r="R25" s="796">
        <f>IF('[1]Tasa de Falla'!GW25=0,"",'[1]Tasa de Falla'!GW25)</f>
      </c>
      <c r="S25" s="797"/>
      <c r="T25" s="3"/>
    </row>
    <row r="26" spans="2:20" ht="15" customHeight="1">
      <c r="B26" s="2"/>
      <c r="C26" s="798">
        <f>IF('[1]Tasa de Falla'!C26=0,"",'[1]Tasa de Falla'!C26)</f>
        <v>10</v>
      </c>
      <c r="D26" s="831" t="str">
        <f>IF('[1]Tasa de Falla'!D26=0,"",'[1]Tasa de Falla'!D26)</f>
        <v>FUTALEUFÚ - PUERTO MADRYN 2</v>
      </c>
      <c r="E26" s="831">
        <f>IF('[1]Tasa de Falla'!E26=0,"",'[1]Tasa de Falla'!E26)</f>
        <v>330</v>
      </c>
      <c r="F26" s="832">
        <f>IF('[1]Tasa de Falla'!F26=0,"",'[1]Tasa de Falla'!F26)</f>
        <v>550</v>
      </c>
      <c r="G26" s="796">
        <f>IF('[1]Tasa de Falla'!GL26=0,"",'[1]Tasa de Falla'!GL26)</f>
        <v>1</v>
      </c>
      <c r="H26" s="796">
        <f>IF('[1]Tasa de Falla'!GM26=0,"",'[1]Tasa de Falla'!GM26)</f>
      </c>
      <c r="I26" s="796">
        <f>IF('[1]Tasa de Falla'!GN26=0,"",'[1]Tasa de Falla'!GN26)</f>
      </c>
      <c r="J26" s="796">
        <f>IF('[1]Tasa de Falla'!GO26=0,"",'[1]Tasa de Falla'!GO26)</f>
      </c>
      <c r="K26" s="796">
        <f>IF('[1]Tasa de Falla'!GP26=0,"",'[1]Tasa de Falla'!GP26)</f>
      </c>
      <c r="L26" s="796">
        <f>IF('[1]Tasa de Falla'!GQ26=0,"",'[1]Tasa de Falla'!GQ26)</f>
      </c>
      <c r="M26" s="796">
        <f>IF('[1]Tasa de Falla'!GR26=0,"",'[1]Tasa de Falla'!GR26)</f>
        <v>1</v>
      </c>
      <c r="N26" s="796">
        <f>IF('[1]Tasa de Falla'!GS26=0,"",'[1]Tasa de Falla'!GS26)</f>
      </c>
      <c r="O26" s="796">
        <f>IF('[1]Tasa de Falla'!GT26=0,"",'[1]Tasa de Falla'!GT26)</f>
      </c>
      <c r="P26" s="796">
        <f>IF('[1]Tasa de Falla'!GU26=0,"",'[1]Tasa de Falla'!GU26)</f>
      </c>
      <c r="Q26" s="796">
        <f>IF('[1]Tasa de Falla'!GV26=0,"",'[1]Tasa de Falla'!GV26)</f>
      </c>
      <c r="R26" s="796">
        <f>IF('[1]Tasa de Falla'!GW26=0,"",'[1]Tasa de Falla'!GW26)</f>
      </c>
      <c r="S26" s="797"/>
      <c r="T26" s="3"/>
    </row>
    <row r="27" spans="2:20" ht="15" customHeight="1">
      <c r="B27" s="2"/>
      <c r="C27" s="833">
        <f>IF('[1]Tasa de Falla'!C27=0,"",'[1]Tasa de Falla'!C27)</f>
        <v>11</v>
      </c>
      <c r="D27" s="834" t="str">
        <f>IF('[1]Tasa de Falla'!D27=0,"",'[1]Tasa de Falla'!D27)</f>
        <v>PLANTA ALUMINIO APPA - PUERTO MADRYN 1</v>
      </c>
      <c r="E27" s="834">
        <f>IF('[1]Tasa de Falla'!E27=0,"",'[1]Tasa de Falla'!E27)</f>
        <v>330</v>
      </c>
      <c r="F27" s="835">
        <f>IF('[1]Tasa de Falla'!F27=0,"",'[1]Tasa de Falla'!F27)</f>
        <v>5.5</v>
      </c>
      <c r="G27" s="796">
        <f>IF('[1]Tasa de Falla'!GL27=0,"",'[1]Tasa de Falla'!GL27)</f>
      </c>
      <c r="H27" s="796">
        <f>IF('[1]Tasa de Falla'!GM27=0,"",'[1]Tasa de Falla'!GM27)</f>
      </c>
      <c r="I27" s="796">
        <f>IF('[1]Tasa de Falla'!GN27=0,"",'[1]Tasa de Falla'!GN27)</f>
      </c>
      <c r="J27" s="796">
        <f>IF('[1]Tasa de Falla'!GO27=0,"",'[1]Tasa de Falla'!GO27)</f>
      </c>
      <c r="K27" s="796">
        <f>IF('[1]Tasa de Falla'!GP27=0,"",'[1]Tasa de Falla'!GP27)</f>
      </c>
      <c r="L27" s="796">
        <f>IF('[1]Tasa de Falla'!GQ27=0,"",'[1]Tasa de Falla'!GQ27)</f>
      </c>
      <c r="M27" s="796">
        <f>IF('[1]Tasa de Falla'!GR27=0,"",'[1]Tasa de Falla'!GR27)</f>
      </c>
      <c r="N27" s="796">
        <f>IF('[1]Tasa de Falla'!GS27=0,"",'[1]Tasa de Falla'!GS27)</f>
      </c>
      <c r="O27" s="796">
        <f>IF('[1]Tasa de Falla'!GT27=0,"",'[1]Tasa de Falla'!GT27)</f>
      </c>
      <c r="P27" s="796">
        <f>IF('[1]Tasa de Falla'!GU27=0,"",'[1]Tasa de Falla'!GU27)</f>
      </c>
      <c r="Q27" s="796">
        <f>IF('[1]Tasa de Falla'!GV27=0,"",'[1]Tasa de Falla'!GV27)</f>
      </c>
      <c r="R27" s="796">
        <f>IF('[1]Tasa de Falla'!GW27=0,"",'[1]Tasa de Falla'!GW27)</f>
      </c>
      <c r="S27" s="797"/>
      <c r="T27" s="3"/>
    </row>
    <row r="28" spans="2:20" ht="15" customHeight="1">
      <c r="B28" s="2"/>
      <c r="C28" s="798">
        <f>IF('[1]Tasa de Falla'!C28=0,"",'[1]Tasa de Falla'!C28)</f>
        <v>12</v>
      </c>
      <c r="D28" s="831" t="str">
        <f>IF('[1]Tasa de Falla'!D28=0,"",'[1]Tasa de Falla'!D28)</f>
        <v>PLANTA ALUMINIO APPA - PUERTO MADRYN 2</v>
      </c>
      <c r="E28" s="831">
        <f>IF('[1]Tasa de Falla'!E28=0,"",'[1]Tasa de Falla'!E28)</f>
        <v>330</v>
      </c>
      <c r="F28" s="832">
        <f>IF('[1]Tasa de Falla'!F28=0,"",'[1]Tasa de Falla'!F28)</f>
        <v>5.5</v>
      </c>
      <c r="G28" s="796">
        <f>IF('[1]Tasa de Falla'!GL28=0,"",'[1]Tasa de Falla'!GL28)</f>
      </c>
      <c r="H28" s="796">
        <f>IF('[1]Tasa de Falla'!GM28=0,"",'[1]Tasa de Falla'!GM28)</f>
      </c>
      <c r="I28" s="796">
        <f>IF('[1]Tasa de Falla'!GN28=0,"",'[1]Tasa de Falla'!GN28)</f>
      </c>
      <c r="J28" s="796">
        <f>IF('[1]Tasa de Falla'!GO28=0,"",'[1]Tasa de Falla'!GO28)</f>
      </c>
      <c r="K28" s="796">
        <f>IF('[1]Tasa de Falla'!GP28=0,"",'[1]Tasa de Falla'!GP28)</f>
      </c>
      <c r="L28" s="796">
        <f>IF('[1]Tasa de Falla'!GQ28=0,"",'[1]Tasa de Falla'!GQ28)</f>
      </c>
      <c r="M28" s="796">
        <f>IF('[1]Tasa de Falla'!GR28=0,"",'[1]Tasa de Falla'!GR28)</f>
      </c>
      <c r="N28" s="796">
        <f>IF('[1]Tasa de Falla'!GS28=0,"",'[1]Tasa de Falla'!GS28)</f>
      </c>
      <c r="O28" s="796">
        <f>IF('[1]Tasa de Falla'!GT28=0,"",'[1]Tasa de Falla'!GT28)</f>
      </c>
      <c r="P28" s="796">
        <f>IF('[1]Tasa de Falla'!GU28=0,"",'[1]Tasa de Falla'!GU28)</f>
      </c>
      <c r="Q28" s="796">
        <f>IF('[1]Tasa de Falla'!GV28=0,"",'[1]Tasa de Falla'!GV28)</f>
      </c>
      <c r="R28" s="796">
        <f>IF('[1]Tasa de Falla'!GW28=0,"",'[1]Tasa de Falla'!GW28)</f>
      </c>
      <c r="S28" s="797"/>
      <c r="T28" s="3"/>
    </row>
    <row r="29" spans="2:20" ht="15" customHeight="1">
      <c r="B29" s="2"/>
      <c r="C29" s="833">
        <f>IF('[1]Tasa de Falla'!C29=0,"",'[1]Tasa de Falla'!C29)</f>
        <v>13</v>
      </c>
      <c r="D29" s="834" t="str">
        <f>IF('[1]Tasa de Falla'!D29=0,"",'[1]Tasa de Falla'!D29)</f>
        <v>PICO TRUNCADO I - PICO TRUNCADO II</v>
      </c>
      <c r="E29" s="834">
        <f>IF('[1]Tasa de Falla'!E29=0,"",'[1]Tasa de Falla'!E29)</f>
        <v>132</v>
      </c>
      <c r="F29" s="835">
        <f>IF('[1]Tasa de Falla'!F29=0,"",'[1]Tasa de Falla'!F29)</f>
        <v>13.4</v>
      </c>
      <c r="G29" s="796">
        <f>IF('[1]Tasa de Falla'!GL29=0,"",'[1]Tasa de Falla'!GL29)</f>
      </c>
      <c r="H29" s="796">
        <f>IF('[1]Tasa de Falla'!GM29=0,"",'[1]Tasa de Falla'!GM29)</f>
      </c>
      <c r="I29" s="796">
        <f>IF('[1]Tasa de Falla'!GN29=0,"",'[1]Tasa de Falla'!GN29)</f>
      </c>
      <c r="J29" s="796">
        <f>IF('[1]Tasa de Falla'!GO29=0,"",'[1]Tasa de Falla'!GO29)</f>
      </c>
      <c r="K29" s="796">
        <f>IF('[1]Tasa de Falla'!GP29=0,"",'[1]Tasa de Falla'!GP29)</f>
      </c>
      <c r="L29" s="796">
        <f>IF('[1]Tasa de Falla'!GQ29=0,"",'[1]Tasa de Falla'!GQ29)</f>
      </c>
      <c r="M29" s="796">
        <f>IF('[1]Tasa de Falla'!GR29=0,"",'[1]Tasa de Falla'!GR29)</f>
      </c>
      <c r="N29" s="796">
        <f>IF('[1]Tasa de Falla'!GS29=0,"",'[1]Tasa de Falla'!GS29)</f>
      </c>
      <c r="O29" s="796">
        <f>IF('[1]Tasa de Falla'!GT29=0,"",'[1]Tasa de Falla'!GT29)</f>
        <v>1</v>
      </c>
      <c r="P29" s="796">
        <f>IF('[1]Tasa de Falla'!GU29=0,"",'[1]Tasa de Falla'!GU29)</f>
      </c>
      <c r="Q29" s="796">
        <f>IF('[1]Tasa de Falla'!GV29=0,"",'[1]Tasa de Falla'!GV29)</f>
      </c>
      <c r="R29" s="796">
        <f>IF('[1]Tasa de Falla'!GW29=0,"",'[1]Tasa de Falla'!GW29)</f>
      </c>
      <c r="S29" s="797"/>
      <c r="T29" s="3"/>
    </row>
    <row r="30" spans="2:20" ht="15" customHeight="1">
      <c r="B30" s="2"/>
      <c r="C30" s="798">
        <f>IF('[1]Tasa de Falla'!C30=0,"",'[1]Tasa de Falla'!C30)</f>
        <v>14</v>
      </c>
      <c r="D30" s="831" t="str">
        <f>IF('[1]Tasa de Falla'!D30=0,"",'[1]Tasa de Falla'!D30)</f>
        <v>PLANTA ALUMINIO DGPA - PTO MADRYN</v>
      </c>
      <c r="E30" s="831">
        <f>IF('[1]Tasa de Falla'!E30=0,"",'[1]Tasa de Falla'!E30)</f>
        <v>132</v>
      </c>
      <c r="F30" s="832">
        <f>IF('[1]Tasa de Falla'!F30=0,"",'[1]Tasa de Falla'!F30)</f>
        <v>5.7</v>
      </c>
      <c r="G30" s="796">
        <f>IF('[1]Tasa de Falla'!GL30=0,"",'[1]Tasa de Falla'!GL30)</f>
      </c>
      <c r="H30" s="796">
        <f>IF('[1]Tasa de Falla'!GM30=0,"",'[1]Tasa de Falla'!GM30)</f>
      </c>
      <c r="I30" s="796">
        <f>IF('[1]Tasa de Falla'!GN30=0,"",'[1]Tasa de Falla'!GN30)</f>
      </c>
      <c r="J30" s="796">
        <f>IF('[1]Tasa de Falla'!GO30=0,"",'[1]Tasa de Falla'!GO30)</f>
      </c>
      <c r="K30" s="796">
        <f>IF('[1]Tasa de Falla'!GP30=0,"",'[1]Tasa de Falla'!GP30)</f>
      </c>
      <c r="L30" s="796">
        <f>IF('[1]Tasa de Falla'!GQ30=0,"",'[1]Tasa de Falla'!GQ30)</f>
      </c>
      <c r="M30" s="796">
        <f>IF('[1]Tasa de Falla'!GR30=0,"",'[1]Tasa de Falla'!GR30)</f>
      </c>
      <c r="N30" s="796">
        <f>IF('[1]Tasa de Falla'!GS30=0,"",'[1]Tasa de Falla'!GS30)</f>
      </c>
      <c r="O30" s="796">
        <f>IF('[1]Tasa de Falla'!GT30=0,"",'[1]Tasa de Falla'!GT30)</f>
      </c>
      <c r="P30" s="796">
        <f>IF('[1]Tasa de Falla'!GU30=0,"",'[1]Tasa de Falla'!GU30)</f>
      </c>
      <c r="Q30" s="796">
        <f>IF('[1]Tasa de Falla'!GV30=0,"",'[1]Tasa de Falla'!GV30)</f>
      </c>
      <c r="R30" s="796">
        <f>IF('[1]Tasa de Falla'!GW30=0,"",'[1]Tasa de Falla'!GW30)</f>
      </c>
      <c r="S30" s="797"/>
      <c r="T30" s="3"/>
    </row>
    <row r="31" spans="2:20" ht="15" customHeight="1">
      <c r="B31" s="2"/>
      <c r="C31" s="833">
        <f>IF('[1]Tasa de Falla'!C31=0,"",'[1]Tasa de Falla'!C31)</f>
        <v>15</v>
      </c>
      <c r="D31" s="834" t="str">
        <f>IF('[1]Tasa de Falla'!D31=0,"",'[1]Tasa de Falla'!D31)</f>
        <v>PLANTA ALUMINIO DGPA - SS.AA. PTO MADRYN</v>
      </c>
      <c r="E31" s="834">
        <f>IF('[1]Tasa de Falla'!E31=0,"",'[1]Tasa de Falla'!E31)</f>
        <v>33</v>
      </c>
      <c r="F31" s="835">
        <f>IF('[1]Tasa de Falla'!F31=0,"",'[1]Tasa de Falla'!F31)</f>
        <v>6</v>
      </c>
      <c r="G31" s="796">
        <f>IF('[1]Tasa de Falla'!GL31=0,"",'[1]Tasa de Falla'!GL31)</f>
      </c>
      <c r="H31" s="796">
        <f>IF('[1]Tasa de Falla'!GM31=0,"",'[1]Tasa de Falla'!GM31)</f>
      </c>
      <c r="I31" s="796">
        <f>IF('[1]Tasa de Falla'!GN31=0,"",'[1]Tasa de Falla'!GN31)</f>
      </c>
      <c r="J31" s="796">
        <f>IF('[1]Tasa de Falla'!GO31=0,"",'[1]Tasa de Falla'!GO31)</f>
      </c>
      <c r="K31" s="796">
        <f>IF('[1]Tasa de Falla'!GP31=0,"",'[1]Tasa de Falla'!GP31)</f>
      </c>
      <c r="L31" s="796">
        <f>IF('[1]Tasa de Falla'!GQ31=0,"",'[1]Tasa de Falla'!GQ31)</f>
      </c>
      <c r="M31" s="796">
        <f>IF('[1]Tasa de Falla'!GR31=0,"",'[1]Tasa de Falla'!GR31)</f>
      </c>
      <c r="N31" s="796">
        <f>IF('[1]Tasa de Falla'!GS31=0,"",'[1]Tasa de Falla'!GS31)</f>
      </c>
      <c r="O31" s="796">
        <f>IF('[1]Tasa de Falla'!GT31=0,"",'[1]Tasa de Falla'!GT31)</f>
      </c>
      <c r="P31" s="796">
        <f>IF('[1]Tasa de Falla'!GU31=0,"",'[1]Tasa de Falla'!GU31)</f>
      </c>
      <c r="Q31" s="796">
        <f>IF('[1]Tasa de Falla'!GV31=0,"",'[1]Tasa de Falla'!GV31)</f>
      </c>
      <c r="R31" s="796">
        <f>IF('[1]Tasa de Falla'!GW31=0,"",'[1]Tasa de Falla'!GW31)</f>
      </c>
      <c r="S31" s="797"/>
      <c r="T31" s="3"/>
    </row>
    <row r="32" spans="2:20" ht="15" customHeight="1">
      <c r="B32" s="2"/>
      <c r="C32" s="798">
        <f>IF('[1]Tasa de Falla'!C32=0,"",'[1]Tasa de Falla'!C32)</f>
        <v>16</v>
      </c>
      <c r="D32" s="831" t="str">
        <f>IF('[1]Tasa de Falla'!D32=0,"",'[1]Tasa de Falla'!D32)</f>
        <v>PLANTA ALUMINIO DGPA - TRELEW</v>
      </c>
      <c r="E32" s="831">
        <f>IF('[1]Tasa de Falla'!E32=0,"",'[1]Tasa de Falla'!E32)</f>
        <v>132</v>
      </c>
      <c r="F32" s="832">
        <f>IF('[1]Tasa de Falla'!F32=0,"",'[1]Tasa de Falla'!F32)</f>
        <v>62</v>
      </c>
      <c r="G32" s="796">
        <f>IF('[1]Tasa de Falla'!GL32=0,"",'[1]Tasa de Falla'!GL32)</f>
      </c>
      <c r="H32" s="796">
        <f>IF('[1]Tasa de Falla'!GM32=0,"",'[1]Tasa de Falla'!GM32)</f>
      </c>
      <c r="I32" s="796">
        <f>IF('[1]Tasa de Falla'!GN32=0,"",'[1]Tasa de Falla'!GN32)</f>
      </c>
      <c r="J32" s="796">
        <f>IF('[1]Tasa de Falla'!GO32=0,"",'[1]Tasa de Falla'!GO32)</f>
      </c>
      <c r="K32" s="796">
        <f>IF('[1]Tasa de Falla'!GP32=0,"",'[1]Tasa de Falla'!GP32)</f>
      </c>
      <c r="L32" s="796">
        <f>IF('[1]Tasa de Falla'!GQ32=0,"",'[1]Tasa de Falla'!GQ32)</f>
      </c>
      <c r="M32" s="796">
        <f>IF('[1]Tasa de Falla'!GR32=0,"",'[1]Tasa de Falla'!GR32)</f>
      </c>
      <c r="N32" s="796">
        <f>IF('[1]Tasa de Falla'!GS32=0,"",'[1]Tasa de Falla'!GS32)</f>
      </c>
      <c r="O32" s="796">
        <f>IF('[1]Tasa de Falla'!GT32=0,"",'[1]Tasa de Falla'!GT32)</f>
        <v>1</v>
      </c>
      <c r="P32" s="796">
        <f>IF('[1]Tasa de Falla'!GU32=0,"",'[1]Tasa de Falla'!GU32)</f>
      </c>
      <c r="Q32" s="796">
        <f>IF('[1]Tasa de Falla'!GV32=0,"",'[1]Tasa de Falla'!GV32)</f>
      </c>
      <c r="R32" s="796">
        <f>IF('[1]Tasa de Falla'!GW32=0,"",'[1]Tasa de Falla'!GW32)</f>
      </c>
      <c r="S32" s="797"/>
      <c r="T32" s="3"/>
    </row>
    <row r="33" spans="2:20" ht="18" customHeight="1">
      <c r="B33" s="2"/>
      <c r="C33" s="833">
        <f>IF('[1]Tasa de Falla'!C33=0,"",'[1]Tasa de Falla'!C33)</f>
        <v>17</v>
      </c>
      <c r="D33" s="834" t="str">
        <f>IF('[1]Tasa de Falla'!D33=0,"",'[1]Tasa de Falla'!D33)</f>
        <v>PUERTO MADRYN - SIERRA GRANDE</v>
      </c>
      <c r="E33" s="834">
        <f>IF('[1]Tasa de Falla'!E33=0,"",'[1]Tasa de Falla'!E33)</f>
        <v>132</v>
      </c>
      <c r="F33" s="835">
        <f>IF('[1]Tasa de Falla'!F33=0,"",'[1]Tasa de Falla'!F33)</f>
        <v>121.5</v>
      </c>
      <c r="G33" s="796">
        <f>IF('[1]Tasa de Falla'!GL33=0,"",'[1]Tasa de Falla'!GL33)</f>
      </c>
      <c r="H33" s="796">
        <f>IF('[1]Tasa de Falla'!GM33=0,"",'[1]Tasa de Falla'!GM33)</f>
      </c>
      <c r="I33" s="796">
        <f>IF('[1]Tasa de Falla'!GN33=0,"",'[1]Tasa de Falla'!GN33)</f>
        <v>3</v>
      </c>
      <c r="J33" s="796">
        <f>IF('[1]Tasa de Falla'!GO33=0,"",'[1]Tasa de Falla'!GO33)</f>
      </c>
      <c r="K33" s="796">
        <f>IF('[1]Tasa de Falla'!GP33=0,"",'[1]Tasa de Falla'!GP33)</f>
      </c>
      <c r="L33" s="796">
        <f>IF('[1]Tasa de Falla'!GQ33=0,"",'[1]Tasa de Falla'!GQ33)</f>
      </c>
      <c r="M33" s="796">
        <f>IF('[1]Tasa de Falla'!GR33=0,"",'[1]Tasa de Falla'!GR33)</f>
      </c>
      <c r="N33" s="796">
        <f>IF('[1]Tasa de Falla'!GS33=0,"",'[1]Tasa de Falla'!GS33)</f>
      </c>
      <c r="O33" s="796">
        <f>IF('[1]Tasa de Falla'!GT33=0,"",'[1]Tasa de Falla'!GT33)</f>
      </c>
      <c r="P33" s="796">
        <f>IF('[1]Tasa de Falla'!GU33=0,"",'[1]Tasa de Falla'!GU33)</f>
      </c>
      <c r="Q33" s="796">
        <f>IF('[1]Tasa de Falla'!GV33=0,"",'[1]Tasa de Falla'!GV33)</f>
      </c>
      <c r="R33" s="796">
        <f>IF('[1]Tasa de Falla'!GW33=0,"",'[1]Tasa de Falla'!GW33)</f>
      </c>
      <c r="S33" s="797"/>
      <c r="T33" s="3"/>
    </row>
    <row r="34" spans="2:20" ht="16.5" customHeight="1">
      <c r="B34" s="2"/>
      <c r="C34" s="798">
        <f>IF('[1]Tasa de Falla'!C34=0,"",'[1]Tasa de Falla'!C34)</f>
        <v>18</v>
      </c>
      <c r="D34" s="831" t="str">
        <f>IF('[1]Tasa de Falla'!D34=0,"",'[1]Tasa de Falla'!D34)</f>
        <v>BARRIO SAN MARTIN - A CONEXION "T"</v>
      </c>
      <c r="E34" s="831">
        <f>IF('[1]Tasa de Falla'!E34=0,"",'[1]Tasa de Falla'!E34)</f>
        <v>132</v>
      </c>
      <c r="F34" s="832">
        <f>IF('[1]Tasa de Falla'!F34=0,"",'[1]Tasa de Falla'!F34)</f>
        <v>7.5</v>
      </c>
      <c r="G34" s="796" t="str">
        <f>IF('[1]Tasa de Falla'!GL34=0,"",'[1]Tasa de Falla'!GL34)</f>
        <v>XXXX</v>
      </c>
      <c r="H34" s="796" t="str">
        <f>IF('[1]Tasa de Falla'!GM34=0,"",'[1]Tasa de Falla'!GM34)</f>
        <v>XXXX</v>
      </c>
      <c r="I34" s="796" t="str">
        <f>IF('[1]Tasa de Falla'!GN34=0,"",'[1]Tasa de Falla'!GN34)</f>
        <v>XXXX</v>
      </c>
      <c r="J34" s="796" t="str">
        <f>IF('[1]Tasa de Falla'!GO34=0,"",'[1]Tasa de Falla'!GO34)</f>
        <v>XXXX</v>
      </c>
      <c r="K34" s="796" t="str">
        <f>IF('[1]Tasa de Falla'!GP34=0,"",'[1]Tasa de Falla'!GP34)</f>
        <v>XXXX</v>
      </c>
      <c r="L34" s="796" t="str">
        <f>IF('[1]Tasa de Falla'!GQ34=0,"",'[1]Tasa de Falla'!GQ34)</f>
        <v>XXXX</v>
      </c>
      <c r="M34" s="796" t="str">
        <f>IF('[1]Tasa de Falla'!GR34=0,"",'[1]Tasa de Falla'!GR34)</f>
        <v>XXXX</v>
      </c>
      <c r="N34" s="796" t="str">
        <f>IF('[1]Tasa de Falla'!GS34=0,"",'[1]Tasa de Falla'!GS34)</f>
        <v>XXXX</v>
      </c>
      <c r="O34" s="796" t="str">
        <f>IF('[1]Tasa de Falla'!GT34=0,"",'[1]Tasa de Falla'!GT34)</f>
        <v>XXXX</v>
      </c>
      <c r="P34" s="796" t="str">
        <f>IF('[1]Tasa de Falla'!GU34=0,"",'[1]Tasa de Falla'!GU34)</f>
        <v>XXXX</v>
      </c>
      <c r="Q34" s="796" t="str">
        <f>IF('[1]Tasa de Falla'!GV34=0,"",'[1]Tasa de Falla'!GV34)</f>
        <v>XXXX</v>
      </c>
      <c r="R34" s="796" t="str">
        <f>IF('[1]Tasa de Falla'!GW34=0,"",'[1]Tasa de Falla'!GW34)</f>
        <v>XXXX</v>
      </c>
      <c r="S34" s="797"/>
      <c r="T34" s="3"/>
    </row>
    <row r="35" spans="2:20" ht="15" customHeight="1">
      <c r="B35" s="2"/>
      <c r="C35" s="833">
        <f>IF('[1]Tasa de Falla'!C35=0,"",'[1]Tasa de Falla'!C35)</f>
        <v>19</v>
      </c>
      <c r="D35" s="834" t="str">
        <f>IF('[1]Tasa de Falla'!D35=0,"",'[1]Tasa de Falla'!D35)</f>
        <v>PICO TRUNCADO I - LAS HERAS</v>
      </c>
      <c r="E35" s="834">
        <f>IF('[1]Tasa de Falla'!E35=0,"",'[1]Tasa de Falla'!E35)</f>
        <v>132</v>
      </c>
      <c r="F35" s="835">
        <f>IF('[1]Tasa de Falla'!F35=0,"",'[1]Tasa de Falla'!F35)</f>
        <v>82.5</v>
      </c>
      <c r="G35" s="796">
        <f>IF('[1]Tasa de Falla'!GL35=0,"",'[1]Tasa de Falla'!GL35)</f>
      </c>
      <c r="H35" s="796" t="str">
        <f>IF('[1]Tasa de Falla'!GM35=0,"",'[1]Tasa de Falla'!GM35)</f>
        <v>XXXX</v>
      </c>
      <c r="I35" s="796" t="str">
        <f>IF('[1]Tasa de Falla'!GN35=0,"",'[1]Tasa de Falla'!GN35)</f>
        <v>XXXX</v>
      </c>
      <c r="J35" s="796" t="str">
        <f>IF('[1]Tasa de Falla'!GO35=0,"",'[1]Tasa de Falla'!GO35)</f>
        <v>XXXX</v>
      </c>
      <c r="K35" s="796" t="str">
        <f>IF('[1]Tasa de Falla'!GP35=0,"",'[1]Tasa de Falla'!GP35)</f>
        <v>XXXX</v>
      </c>
      <c r="L35" s="796" t="str">
        <f>IF('[1]Tasa de Falla'!GQ35=0,"",'[1]Tasa de Falla'!GQ35)</f>
        <v>XXXX</v>
      </c>
      <c r="M35" s="796" t="str">
        <f>IF('[1]Tasa de Falla'!GR35=0,"",'[1]Tasa de Falla'!GR35)</f>
        <v>XXXX</v>
      </c>
      <c r="N35" s="796" t="str">
        <f>IF('[1]Tasa de Falla'!GS35=0,"",'[1]Tasa de Falla'!GS35)</f>
        <v>XXXX</v>
      </c>
      <c r="O35" s="796" t="str">
        <f>IF('[1]Tasa de Falla'!GT35=0,"",'[1]Tasa de Falla'!GT35)</f>
        <v>XXXX</v>
      </c>
      <c r="P35" s="796" t="str">
        <f>IF('[1]Tasa de Falla'!GU35=0,"",'[1]Tasa de Falla'!GU35)</f>
        <v>XXXX</v>
      </c>
      <c r="Q35" s="796" t="str">
        <f>IF('[1]Tasa de Falla'!GV35=0,"",'[1]Tasa de Falla'!GV35)</f>
        <v>XXXX</v>
      </c>
      <c r="R35" s="796" t="str">
        <f>IF('[1]Tasa de Falla'!GW35=0,"",'[1]Tasa de Falla'!GW35)</f>
        <v>XXXX</v>
      </c>
      <c r="S35" s="797"/>
      <c r="T35" s="3"/>
    </row>
    <row r="36" spans="2:20" ht="15" customHeight="1">
      <c r="B36" s="2"/>
      <c r="C36" s="798">
        <f>IF('[1]Tasa de Falla'!C36=0,"",'[1]Tasa de Falla'!C36)</f>
        <v>20</v>
      </c>
      <c r="D36" s="831" t="str">
        <f>IF('[1]Tasa de Falla'!D36=0,"",'[1]Tasa de Falla'!D36)</f>
        <v>LAS HERAS - LOS PERALES</v>
      </c>
      <c r="E36" s="831">
        <f>IF('[1]Tasa de Falla'!E36=0,"",'[1]Tasa de Falla'!E36)</f>
        <v>132</v>
      </c>
      <c r="F36" s="832">
        <f>IF('[1]Tasa de Falla'!F36=0,"",'[1]Tasa de Falla'!F36)</f>
        <v>47</v>
      </c>
      <c r="G36" s="796">
        <f>IF('[1]Tasa de Falla'!GL36=0,"",'[1]Tasa de Falla'!GL36)</f>
      </c>
      <c r="H36" s="796">
        <f>IF('[1]Tasa de Falla'!GM36=0,"",'[1]Tasa de Falla'!GM36)</f>
      </c>
      <c r="I36" s="796">
        <f>IF('[1]Tasa de Falla'!GN36=0,"",'[1]Tasa de Falla'!GN36)</f>
      </c>
      <c r="J36" s="796">
        <f>IF('[1]Tasa de Falla'!GO36=0,"",'[1]Tasa de Falla'!GO36)</f>
      </c>
      <c r="K36" s="796">
        <f>IF('[1]Tasa de Falla'!GP36=0,"",'[1]Tasa de Falla'!GP36)</f>
        <v>1</v>
      </c>
      <c r="L36" s="796">
        <f>IF('[1]Tasa de Falla'!GQ36=0,"",'[1]Tasa de Falla'!GQ36)</f>
      </c>
      <c r="M36" s="796">
        <f>IF('[1]Tasa de Falla'!GR36=0,"",'[1]Tasa de Falla'!GR36)</f>
      </c>
      <c r="N36" s="796">
        <f>IF('[1]Tasa de Falla'!GS36=0,"",'[1]Tasa de Falla'!GS36)</f>
      </c>
      <c r="O36" s="796">
        <f>IF('[1]Tasa de Falla'!GT36=0,"",'[1]Tasa de Falla'!GT36)</f>
      </c>
      <c r="P36" s="796">
        <f>IF('[1]Tasa de Falla'!GU36=0,"",'[1]Tasa de Falla'!GU36)</f>
      </c>
      <c r="Q36" s="796">
        <f>IF('[1]Tasa de Falla'!GV36=0,"",'[1]Tasa de Falla'!GV36)</f>
      </c>
      <c r="R36" s="796">
        <f>IF('[1]Tasa de Falla'!GW36=0,"",'[1]Tasa de Falla'!GW36)</f>
      </c>
      <c r="S36" s="797"/>
      <c r="T36" s="3"/>
    </row>
    <row r="37" spans="2:20" ht="15" customHeight="1">
      <c r="B37" s="2"/>
      <c r="C37" s="833">
        <f>IF('[1]Tasa de Falla'!C37=0,"",'[1]Tasa de Falla'!C37)</f>
        <v>21</v>
      </c>
      <c r="D37" s="834" t="str">
        <f>IF('[1]Tasa de Falla'!D37=0,"",'[1]Tasa de Falla'!D37)</f>
        <v>N. P. MADRYN - P. MADRYN 330 kV</v>
      </c>
      <c r="E37" s="834">
        <f>IF('[1]Tasa de Falla'!E37=0,"",'[1]Tasa de Falla'!E37)</f>
        <v>330</v>
      </c>
      <c r="F37" s="835">
        <f>IF('[1]Tasa de Falla'!F37=0,"",'[1]Tasa de Falla'!F37)</f>
        <v>0.47</v>
      </c>
      <c r="G37" s="796">
        <f>IF('[1]Tasa de Falla'!GL37=0,"",'[1]Tasa de Falla'!GL37)</f>
      </c>
      <c r="H37" s="796">
        <f>IF('[1]Tasa de Falla'!GM37=0,"",'[1]Tasa de Falla'!GM37)</f>
      </c>
      <c r="I37" s="796">
        <f>IF('[1]Tasa de Falla'!GN37=0,"",'[1]Tasa de Falla'!GN37)</f>
      </c>
      <c r="J37" s="796">
        <f>IF('[1]Tasa de Falla'!GO37=0,"",'[1]Tasa de Falla'!GO37)</f>
      </c>
      <c r="K37" s="796">
        <f>IF('[1]Tasa de Falla'!GP37=0,"",'[1]Tasa de Falla'!GP37)</f>
      </c>
      <c r="L37" s="796">
        <f>IF('[1]Tasa de Falla'!GQ37=0,"",'[1]Tasa de Falla'!GQ37)</f>
      </c>
      <c r="M37" s="796">
        <f>IF('[1]Tasa de Falla'!GR37=0,"",'[1]Tasa de Falla'!GR37)</f>
      </c>
      <c r="N37" s="796">
        <f>IF('[1]Tasa de Falla'!GS37=0,"",'[1]Tasa de Falla'!GS37)</f>
      </c>
      <c r="O37" s="796">
        <f>IF('[1]Tasa de Falla'!GT37=0,"",'[1]Tasa de Falla'!GT37)</f>
      </c>
      <c r="P37" s="796">
        <f>IF('[1]Tasa de Falla'!GU37=0,"",'[1]Tasa de Falla'!GU37)</f>
      </c>
      <c r="Q37" s="796">
        <f>IF('[1]Tasa de Falla'!GV37=0,"",'[1]Tasa de Falla'!GV37)</f>
      </c>
      <c r="R37" s="796">
        <f>IF('[1]Tasa de Falla'!GW37=0,"",'[1]Tasa de Falla'!GW37)</f>
      </c>
      <c r="S37" s="797"/>
      <c r="T37" s="3"/>
    </row>
    <row r="38" spans="2:20" ht="18" customHeight="1">
      <c r="B38" s="2"/>
      <c r="C38" s="798">
        <f>IF('[1]Tasa de Falla'!C38=0,"",'[1]Tasa de Falla'!C38)</f>
        <v>31</v>
      </c>
      <c r="D38" s="831" t="str">
        <f>IF('[1]Tasa de Falla'!D38=0,"",'[1]Tasa de Falla'!D38)</f>
        <v>LAS HERAS - MINA SAN JOSE</v>
      </c>
      <c r="E38" s="831">
        <f>IF('[1]Tasa de Falla'!E38=0,"",'[1]Tasa de Falla'!E38)</f>
        <v>132</v>
      </c>
      <c r="F38" s="832">
        <f>IF('[1]Tasa de Falla'!F38=0,"",'[1]Tasa de Falla'!F38)</f>
        <v>128</v>
      </c>
      <c r="G38" s="796" t="str">
        <f>IF('[1]Tasa de Falla'!GL38=0,"",'[1]Tasa de Falla'!GL38)</f>
        <v>XXXX</v>
      </c>
      <c r="H38" s="796">
        <f>IF('[1]Tasa de Falla'!GM38=0,"",'[1]Tasa de Falla'!GM38)</f>
        <v>1</v>
      </c>
      <c r="I38" s="796">
        <f>IF('[1]Tasa de Falla'!GN38=0,"",'[1]Tasa de Falla'!GN38)</f>
      </c>
      <c r="J38" s="796">
        <f>IF('[1]Tasa de Falla'!GO38=0,"",'[1]Tasa de Falla'!GO38)</f>
      </c>
      <c r="K38" s="796">
        <f>IF('[1]Tasa de Falla'!GP38=0,"",'[1]Tasa de Falla'!GP38)</f>
        <v>1</v>
      </c>
      <c r="L38" s="796">
        <f>IF('[1]Tasa de Falla'!GQ38=0,"",'[1]Tasa de Falla'!GQ38)</f>
      </c>
      <c r="M38" s="796">
        <f>IF('[1]Tasa de Falla'!GR38=0,"",'[1]Tasa de Falla'!GR38)</f>
      </c>
      <c r="N38" s="796">
        <f>IF('[1]Tasa de Falla'!GS38=0,"",'[1]Tasa de Falla'!GS38)</f>
      </c>
      <c r="O38" s="796">
        <f>IF('[1]Tasa de Falla'!GT38=0,"",'[1]Tasa de Falla'!GT38)</f>
      </c>
      <c r="P38" s="796">
        <f>IF('[1]Tasa de Falla'!GU38=0,"",'[1]Tasa de Falla'!GU38)</f>
      </c>
      <c r="Q38" s="796">
        <f>IF('[1]Tasa de Falla'!GV38=0,"",'[1]Tasa de Falla'!GV38)</f>
      </c>
      <c r="R38" s="796">
        <f>IF('[1]Tasa de Falla'!GW38=0,"",'[1]Tasa de Falla'!GW38)</f>
      </c>
      <c r="S38" s="797"/>
      <c r="T38" s="3"/>
    </row>
    <row r="39" spans="2:20" ht="19.5" customHeight="1">
      <c r="B39" s="2"/>
      <c r="C39" s="833">
        <f>IF('[1]Tasa de Falla'!C39=0,"",'[1]Tasa de Falla'!C39)</f>
        <v>27</v>
      </c>
      <c r="D39" s="834" t="str">
        <f>IF('[1]Tasa de Falla'!D39=0,"",'[1]Tasa de Falla'!D39)</f>
        <v>PAMPA DEL CASTILLO - EL TORDILLO</v>
      </c>
      <c r="E39" s="834">
        <f>IF('[1]Tasa de Falla'!E39=0,"",'[1]Tasa de Falla'!E39)</f>
        <v>132</v>
      </c>
      <c r="F39" s="835">
        <f>IF('[1]Tasa de Falla'!F39=0,"",'[1]Tasa de Falla'!F39)</f>
        <v>8.9</v>
      </c>
      <c r="G39" s="796">
        <f>IF('[1]Tasa de Falla'!GL39=0,"",'[1]Tasa de Falla'!GL39)</f>
      </c>
      <c r="H39" s="796">
        <f>IF('[1]Tasa de Falla'!GM39=0,"",'[1]Tasa de Falla'!GM39)</f>
      </c>
      <c r="I39" s="796">
        <f>IF('[1]Tasa de Falla'!GN39=0,"",'[1]Tasa de Falla'!GN39)</f>
      </c>
      <c r="J39" s="796">
        <f>IF('[1]Tasa de Falla'!GO39=0,"",'[1]Tasa de Falla'!GO39)</f>
      </c>
      <c r="K39" s="796">
        <f>IF('[1]Tasa de Falla'!GP39=0,"",'[1]Tasa de Falla'!GP39)</f>
      </c>
      <c r="L39" s="796">
        <f>IF('[1]Tasa de Falla'!GQ39=0,"",'[1]Tasa de Falla'!GQ39)</f>
      </c>
      <c r="M39" s="796">
        <f>IF('[1]Tasa de Falla'!GR39=0,"",'[1]Tasa de Falla'!GR39)</f>
      </c>
      <c r="N39" s="796">
        <f>IF('[1]Tasa de Falla'!GS39=0,"",'[1]Tasa de Falla'!GS39)</f>
      </c>
      <c r="O39" s="796">
        <f>IF('[1]Tasa de Falla'!GT39=0,"",'[1]Tasa de Falla'!GT39)</f>
      </c>
      <c r="P39" s="796">
        <f>IF('[1]Tasa de Falla'!GU39=0,"",'[1]Tasa de Falla'!GU39)</f>
      </c>
      <c r="Q39" s="796">
        <f>IF('[1]Tasa de Falla'!GV39=0,"",'[1]Tasa de Falla'!GV39)</f>
      </c>
      <c r="R39" s="796">
        <f>IF('[1]Tasa de Falla'!GW39=0,"",'[1]Tasa de Falla'!GW39)</f>
      </c>
      <c r="S39" s="797"/>
      <c r="T39" s="3"/>
    </row>
    <row r="40" spans="2:20" ht="16.5" customHeight="1">
      <c r="B40" s="2"/>
      <c r="C40" s="798">
        <f>IF('[1]Tasa de Falla'!C40=0,"",'[1]Tasa de Falla'!C40)</f>
        <v>28</v>
      </c>
      <c r="D40" s="831" t="str">
        <f>IF('[1]Tasa de Falla'!D40=0,"",'[1]Tasa de Falla'!D40)</f>
        <v>PLANTA ALUMINIO APPA - PUERTO MADRYN 3</v>
      </c>
      <c r="E40" s="831">
        <f>IF('[1]Tasa de Falla'!E40=0,"",'[1]Tasa de Falla'!E40)</f>
        <v>330</v>
      </c>
      <c r="F40" s="832">
        <f>IF('[1]Tasa de Falla'!F40=0,"",'[1]Tasa de Falla'!F40)</f>
        <v>4.85</v>
      </c>
      <c r="G40" s="796">
        <f>IF('[1]Tasa de Falla'!GL40=0,"",'[1]Tasa de Falla'!GL40)</f>
      </c>
      <c r="H40" s="796">
        <f>IF('[1]Tasa de Falla'!GM40=0,"",'[1]Tasa de Falla'!GM40)</f>
      </c>
      <c r="I40" s="796">
        <f>IF('[1]Tasa de Falla'!GN40=0,"",'[1]Tasa de Falla'!GN40)</f>
      </c>
      <c r="J40" s="796">
        <f>IF('[1]Tasa de Falla'!GO40=0,"",'[1]Tasa de Falla'!GO40)</f>
      </c>
      <c r="K40" s="796">
        <f>IF('[1]Tasa de Falla'!GP40=0,"",'[1]Tasa de Falla'!GP40)</f>
      </c>
      <c r="L40" s="796">
        <f>IF('[1]Tasa de Falla'!GQ40=0,"",'[1]Tasa de Falla'!GQ40)</f>
      </c>
      <c r="M40" s="796">
        <f>IF('[1]Tasa de Falla'!GR40=0,"",'[1]Tasa de Falla'!GR40)</f>
      </c>
      <c r="N40" s="796">
        <f>IF('[1]Tasa de Falla'!GS40=0,"",'[1]Tasa de Falla'!GS40)</f>
      </c>
      <c r="O40" s="796">
        <f>IF('[1]Tasa de Falla'!GT40=0,"",'[1]Tasa de Falla'!GT40)</f>
      </c>
      <c r="P40" s="796">
        <f>IF('[1]Tasa de Falla'!GU40=0,"",'[1]Tasa de Falla'!GU40)</f>
      </c>
      <c r="Q40" s="796">
        <f>IF('[1]Tasa de Falla'!GV40=0,"",'[1]Tasa de Falla'!GV40)</f>
      </c>
      <c r="R40" s="796">
        <f>IF('[1]Tasa de Falla'!GW40=0,"",'[1]Tasa de Falla'!GW40)</f>
      </c>
      <c r="S40" s="797"/>
      <c r="T40" s="3"/>
    </row>
    <row r="41" spans="2:20" ht="16.5" customHeight="1">
      <c r="B41" s="2"/>
      <c r="C41" s="833">
        <f>IF('[1]Tasa de Falla'!C41=0,"",'[1]Tasa de Falla'!C41)</f>
        <v>30</v>
      </c>
      <c r="D41" s="834" t="str">
        <f>IF('[1]Tasa de Falla'!D41=0,"",'[1]Tasa de Falla'!D41)</f>
        <v>TRELEW - RAWSON</v>
      </c>
      <c r="E41" s="834">
        <f>IF('[1]Tasa de Falla'!E41=0,"",'[1]Tasa de Falla'!E41)</f>
        <v>132</v>
      </c>
      <c r="F41" s="835">
        <f>IF('[1]Tasa de Falla'!F41=0,"",'[1]Tasa de Falla'!F41)</f>
        <v>21.8</v>
      </c>
      <c r="G41" s="796">
        <f>IF('[1]Tasa de Falla'!GL41=0,"",'[1]Tasa de Falla'!GL41)</f>
      </c>
      <c r="H41" s="796">
        <f>IF('[1]Tasa de Falla'!GM41=0,"",'[1]Tasa de Falla'!GM41)</f>
      </c>
      <c r="I41" s="796">
        <f>IF('[1]Tasa de Falla'!GN41=0,"",'[1]Tasa de Falla'!GN41)</f>
        <v>1</v>
      </c>
      <c r="J41" s="796">
        <f>IF('[1]Tasa de Falla'!GO41=0,"",'[1]Tasa de Falla'!GO41)</f>
      </c>
      <c r="K41" s="796">
        <f>IF('[1]Tasa de Falla'!GP41=0,"",'[1]Tasa de Falla'!GP41)</f>
      </c>
      <c r="L41" s="796">
        <f>IF('[1]Tasa de Falla'!GQ41=0,"",'[1]Tasa de Falla'!GQ41)</f>
      </c>
      <c r="M41" s="796">
        <f>IF('[1]Tasa de Falla'!GR41=0,"",'[1]Tasa de Falla'!GR41)</f>
      </c>
      <c r="N41" s="796">
        <f>IF('[1]Tasa de Falla'!GS41=0,"",'[1]Tasa de Falla'!GS41)</f>
      </c>
      <c r="O41" s="796">
        <f>IF('[1]Tasa de Falla'!GT41=0,"",'[1]Tasa de Falla'!GT41)</f>
      </c>
      <c r="P41" s="796">
        <f>IF('[1]Tasa de Falla'!GU41=0,"",'[1]Tasa de Falla'!GU41)</f>
      </c>
      <c r="Q41" s="796">
        <f>IF('[1]Tasa de Falla'!GV41=0,"",'[1]Tasa de Falla'!GV41)</f>
      </c>
      <c r="R41" s="796">
        <f>IF('[1]Tasa de Falla'!GW41=0,"",'[1]Tasa de Falla'!GW41)</f>
      </c>
      <c r="S41" s="797"/>
      <c r="T41" s="3"/>
    </row>
    <row r="42" spans="2:20" ht="16.5" customHeight="1">
      <c r="B42" s="2"/>
      <c r="C42" s="798">
        <f>IF('[1]Tasa de Falla'!C42=0,"",'[1]Tasa de Falla'!C42)</f>
        <v>37</v>
      </c>
      <c r="D42" s="831" t="str">
        <f>IF('[1]Tasa de Falla'!D42=0,"",'[1]Tasa de Falla'!D42)</f>
        <v>PICO TRUNCADO 1 - SANTA CRUZ NORTE     1</v>
      </c>
      <c r="E42" s="831">
        <f>IF('[1]Tasa de Falla'!E42=0,"",'[1]Tasa de Falla'!E42)</f>
        <v>132</v>
      </c>
      <c r="F42" s="832">
        <f>IF('[1]Tasa de Falla'!F42=0,"",'[1]Tasa de Falla'!F42)</f>
        <v>2.5</v>
      </c>
      <c r="G42" s="796">
        <f>IF('[1]Tasa de Falla'!GL42=0,"",'[1]Tasa de Falla'!GL42)</f>
      </c>
      <c r="H42" s="796">
        <f>IF('[1]Tasa de Falla'!GM42=0,"",'[1]Tasa de Falla'!GM42)</f>
      </c>
      <c r="I42" s="796">
        <f>IF('[1]Tasa de Falla'!GN42=0,"",'[1]Tasa de Falla'!GN42)</f>
      </c>
      <c r="J42" s="796">
        <f>IF('[1]Tasa de Falla'!GO42=0,"",'[1]Tasa de Falla'!GO42)</f>
      </c>
      <c r="K42" s="796">
        <f>IF('[1]Tasa de Falla'!GP42=0,"",'[1]Tasa de Falla'!GP42)</f>
      </c>
      <c r="L42" s="796">
        <f>IF('[1]Tasa de Falla'!GQ42=0,"",'[1]Tasa de Falla'!GQ42)</f>
      </c>
      <c r="M42" s="796">
        <f>IF('[1]Tasa de Falla'!GR42=0,"",'[1]Tasa de Falla'!GR42)</f>
      </c>
      <c r="N42" s="796">
        <f>IF('[1]Tasa de Falla'!GS42=0,"",'[1]Tasa de Falla'!GS42)</f>
      </c>
      <c r="O42" s="796">
        <f>IF('[1]Tasa de Falla'!GT42=0,"",'[1]Tasa de Falla'!GT42)</f>
      </c>
      <c r="P42" s="796">
        <f>IF('[1]Tasa de Falla'!GU42=0,"",'[1]Tasa de Falla'!GU42)</f>
      </c>
      <c r="Q42" s="796">
        <f>IF('[1]Tasa de Falla'!GV42=0,"",'[1]Tasa de Falla'!GV42)</f>
      </c>
      <c r="R42" s="796">
        <f>IF('[1]Tasa de Falla'!GW42=0,"",'[1]Tasa de Falla'!GW42)</f>
      </c>
      <c r="S42" s="797"/>
      <c r="T42" s="3"/>
    </row>
    <row r="43" spans="2:20" ht="15" customHeight="1">
      <c r="B43" s="2"/>
      <c r="C43" s="833">
        <f>IF('[1]Tasa de Falla'!C43=0,"",'[1]Tasa de Falla'!C43)</f>
        <v>38</v>
      </c>
      <c r="D43" s="834" t="str">
        <f>IF('[1]Tasa de Falla'!D43=0,"",'[1]Tasa de Falla'!D43)</f>
        <v>PICO TRUNCADO 1 - SANTA CRUZ NORTE     2</v>
      </c>
      <c r="E43" s="834">
        <f>IF('[1]Tasa de Falla'!E43=0,"",'[1]Tasa de Falla'!E43)</f>
        <v>132</v>
      </c>
      <c r="F43" s="835">
        <f>IF('[1]Tasa de Falla'!F43=0,"",'[1]Tasa de Falla'!F43)</f>
        <v>2.5</v>
      </c>
      <c r="G43" s="796">
        <f>IF('[1]Tasa de Falla'!GL43=0,"",'[1]Tasa de Falla'!GL43)</f>
      </c>
      <c r="H43" s="796">
        <f>IF('[1]Tasa de Falla'!GM43=0,"",'[1]Tasa de Falla'!GM43)</f>
      </c>
      <c r="I43" s="796">
        <f>IF('[1]Tasa de Falla'!GN43=0,"",'[1]Tasa de Falla'!GN43)</f>
      </c>
      <c r="J43" s="796">
        <f>IF('[1]Tasa de Falla'!GO43=0,"",'[1]Tasa de Falla'!GO43)</f>
      </c>
      <c r="K43" s="796">
        <f>IF('[1]Tasa de Falla'!GP43=0,"",'[1]Tasa de Falla'!GP43)</f>
      </c>
      <c r="L43" s="796">
        <f>IF('[1]Tasa de Falla'!GQ43=0,"",'[1]Tasa de Falla'!GQ43)</f>
      </c>
      <c r="M43" s="796">
        <f>IF('[1]Tasa de Falla'!GR43=0,"",'[1]Tasa de Falla'!GR43)</f>
      </c>
      <c r="N43" s="796">
        <f>IF('[1]Tasa de Falla'!GS43=0,"",'[1]Tasa de Falla'!GS43)</f>
      </c>
      <c r="O43" s="796">
        <f>IF('[1]Tasa de Falla'!GT43=0,"",'[1]Tasa de Falla'!GT43)</f>
      </c>
      <c r="P43" s="796">
        <f>IF('[1]Tasa de Falla'!GU43=0,"",'[1]Tasa de Falla'!GU43)</f>
      </c>
      <c r="Q43" s="796">
        <f>IF('[1]Tasa de Falla'!GV43=0,"",'[1]Tasa de Falla'!GV43)</f>
      </c>
      <c r="R43" s="796">
        <f>IF('[1]Tasa de Falla'!GW43=0,"",'[1]Tasa de Falla'!GW43)</f>
      </c>
      <c r="S43" s="797"/>
      <c r="T43" s="3"/>
    </row>
    <row r="44" spans="2:20" ht="15" customHeight="1">
      <c r="B44" s="2"/>
      <c r="C44" s="798">
        <f>IF('[1]Tasa de Falla'!C44=0,"",'[1]Tasa de Falla'!C44)</f>
        <v>39</v>
      </c>
      <c r="D44" s="831" t="str">
        <f>IF('[1]Tasa de Falla'!D44=0,"",'[1]Tasa de Falla'!D44)</f>
        <v>LAS HERAS - SANTA CRUZ NORTE</v>
      </c>
      <c r="E44" s="831">
        <f>IF('[1]Tasa de Falla'!E44=0,"",'[1]Tasa de Falla'!E44)</f>
        <v>132</v>
      </c>
      <c r="F44" s="832">
        <f>IF('[1]Tasa de Falla'!F44=0,"",'[1]Tasa de Falla'!F44)</f>
        <v>80</v>
      </c>
      <c r="G44" s="796" t="str">
        <f>IF('[1]Tasa de Falla'!GL44=0,"",'[1]Tasa de Falla'!GL44)</f>
        <v>XXXX</v>
      </c>
      <c r="H44" s="796">
        <f>IF('[1]Tasa de Falla'!GM44=0,"",'[1]Tasa de Falla'!GM44)</f>
      </c>
      <c r="I44" s="796">
        <f>IF('[1]Tasa de Falla'!GN44=0,"",'[1]Tasa de Falla'!GN44)</f>
      </c>
      <c r="J44" s="796">
        <f>IF('[1]Tasa de Falla'!GO44=0,"",'[1]Tasa de Falla'!GO44)</f>
      </c>
      <c r="K44" s="796">
        <f>IF('[1]Tasa de Falla'!GP44=0,"",'[1]Tasa de Falla'!GP44)</f>
      </c>
      <c r="L44" s="796">
        <f>IF('[1]Tasa de Falla'!GQ44=0,"",'[1]Tasa de Falla'!GQ44)</f>
      </c>
      <c r="M44" s="796">
        <f>IF('[1]Tasa de Falla'!GR44=0,"",'[1]Tasa de Falla'!GR44)</f>
      </c>
      <c r="N44" s="796">
        <f>IF('[1]Tasa de Falla'!GS44=0,"",'[1]Tasa de Falla'!GS44)</f>
      </c>
      <c r="O44" s="796">
        <f>IF('[1]Tasa de Falla'!GT44=0,"",'[1]Tasa de Falla'!GT44)</f>
      </c>
      <c r="P44" s="796">
        <f>IF('[1]Tasa de Falla'!GU44=0,"",'[1]Tasa de Falla'!GU44)</f>
      </c>
      <c r="Q44" s="796">
        <f>IF('[1]Tasa de Falla'!GV44=0,"",'[1]Tasa de Falla'!GV44)</f>
      </c>
      <c r="R44" s="796">
        <f>IF('[1]Tasa de Falla'!GW44=0,"",'[1]Tasa de Falla'!GW44)</f>
      </c>
      <c r="S44" s="797"/>
      <c r="T44" s="3"/>
    </row>
    <row r="45" spans="2:20" ht="15" customHeight="1">
      <c r="B45" s="2"/>
      <c r="C45" s="833">
        <f>IF('[1]Tasa de Falla'!C45=0,"",'[1]Tasa de Falla'!C45)</f>
      </c>
      <c r="D45" s="834">
        <f>IF('[1]Tasa de Falla'!D45=0,"",'[1]Tasa de Falla'!D45)</f>
      </c>
      <c r="E45" s="834">
        <f>IF('[1]Tasa de Falla'!E45=0,"",'[1]Tasa de Falla'!E45)</f>
      </c>
      <c r="F45" s="835">
        <f>IF('[1]Tasa de Falla'!F45=0,"",'[1]Tasa de Falla'!F45)</f>
      </c>
      <c r="G45" s="796">
        <f>IF('[1]Tasa de Falla'!GL45=0,"",'[1]Tasa de Falla'!GL45)</f>
      </c>
      <c r="H45" s="796">
        <f>IF('[1]Tasa de Falla'!GM45=0,"",'[1]Tasa de Falla'!GM45)</f>
      </c>
      <c r="I45" s="796">
        <f>IF('[1]Tasa de Falla'!GN45=0,"",'[1]Tasa de Falla'!GN45)</f>
      </c>
      <c r="J45" s="796">
        <f>IF('[1]Tasa de Falla'!GO45=0,"",'[1]Tasa de Falla'!GO45)</f>
      </c>
      <c r="K45" s="796">
        <f>IF('[1]Tasa de Falla'!GP45=0,"",'[1]Tasa de Falla'!GP45)</f>
      </c>
      <c r="L45" s="796">
        <f>IF('[1]Tasa de Falla'!GQ45=0,"",'[1]Tasa de Falla'!GQ45)</f>
      </c>
      <c r="M45" s="796">
        <f>IF('[1]Tasa de Falla'!GR45=0,"",'[1]Tasa de Falla'!GR45)</f>
      </c>
      <c r="N45" s="796">
        <f>IF('[1]Tasa de Falla'!GS45=0,"",'[1]Tasa de Falla'!GS45)</f>
      </c>
      <c r="O45" s="796">
        <f>IF('[1]Tasa de Falla'!GT45=0,"",'[1]Tasa de Falla'!GT45)</f>
      </c>
      <c r="P45" s="796">
        <f>IF('[1]Tasa de Falla'!GU45=0,"",'[1]Tasa de Falla'!GU45)</f>
      </c>
      <c r="Q45" s="796">
        <f>IF('[1]Tasa de Falla'!GV45=0,"",'[1]Tasa de Falla'!GV45)</f>
      </c>
      <c r="R45" s="796">
        <f>IF('[1]Tasa de Falla'!GW45=0,"",'[1]Tasa de Falla'!GW45)</f>
      </c>
      <c r="S45" s="797"/>
      <c r="T45" s="3"/>
    </row>
    <row r="46" spans="2:20" ht="15" customHeight="1">
      <c r="B46" s="2"/>
      <c r="C46" s="798">
        <f>IF('[1]Tasa de Falla'!C46=0,"",'[1]Tasa de Falla'!C46)</f>
        <v>19</v>
      </c>
      <c r="D46" s="831" t="str">
        <f>IF('[1]Tasa de Falla'!D46=0,"",'[1]Tasa de Falla'!D46)</f>
        <v>PUNTA COLORADA - SIERRA GRANDE</v>
      </c>
      <c r="E46" s="831">
        <f>IF('[1]Tasa de Falla'!E46=0,"",'[1]Tasa de Falla'!E46)</f>
        <v>132</v>
      </c>
      <c r="F46" s="832">
        <f>IF('[1]Tasa de Falla'!F46=0,"",'[1]Tasa de Falla'!F46)</f>
        <v>31</v>
      </c>
      <c r="G46" s="796">
        <f>IF('[1]Tasa de Falla'!GL46=0,"",'[1]Tasa de Falla'!GL46)</f>
      </c>
      <c r="H46" s="796">
        <f>IF('[1]Tasa de Falla'!GM46=0,"",'[1]Tasa de Falla'!GM46)</f>
      </c>
      <c r="I46" s="796">
        <f>IF('[1]Tasa de Falla'!GN46=0,"",'[1]Tasa de Falla'!GN46)</f>
      </c>
      <c r="J46" s="796">
        <f>IF('[1]Tasa de Falla'!GO46=0,"",'[1]Tasa de Falla'!GO46)</f>
      </c>
      <c r="K46" s="796">
        <f>IF('[1]Tasa de Falla'!GP46=0,"",'[1]Tasa de Falla'!GP46)</f>
      </c>
      <c r="L46" s="796">
        <f>IF('[1]Tasa de Falla'!GQ46=0,"",'[1]Tasa de Falla'!GQ46)</f>
      </c>
      <c r="M46" s="796">
        <f>IF('[1]Tasa de Falla'!GR46=0,"",'[1]Tasa de Falla'!GR46)</f>
      </c>
      <c r="N46" s="796">
        <f>IF('[1]Tasa de Falla'!GS46=0,"",'[1]Tasa de Falla'!GS46)</f>
      </c>
      <c r="O46" s="796">
        <f>IF('[1]Tasa de Falla'!GT46=0,"",'[1]Tasa de Falla'!GT46)</f>
      </c>
      <c r="P46" s="796">
        <f>IF('[1]Tasa de Falla'!GU46=0,"",'[1]Tasa de Falla'!GU46)</f>
      </c>
      <c r="Q46" s="796">
        <f>IF('[1]Tasa de Falla'!GV46=0,"",'[1]Tasa de Falla'!GV46)</f>
      </c>
      <c r="R46" s="796">
        <f>IF('[1]Tasa de Falla'!GW46=0,"",'[1]Tasa de Falla'!GW46)</f>
      </c>
      <c r="S46" s="797"/>
      <c r="T46" s="3"/>
    </row>
    <row r="47" spans="2:20" ht="15" customHeight="1">
      <c r="B47" s="2"/>
      <c r="C47" s="833">
        <f>IF('[1]Tasa de Falla'!C47=0,"",'[1]Tasa de Falla'!C47)</f>
        <v>20</v>
      </c>
      <c r="D47" s="834" t="str">
        <f>IF('[1]Tasa de Falla'!D47=0,"",'[1]Tasa de Falla'!D47)</f>
        <v>CARMEN DE PATAGONES - VIEDMA</v>
      </c>
      <c r="E47" s="834">
        <f>IF('[1]Tasa de Falla'!E47=0,"",'[1]Tasa de Falla'!E47)</f>
        <v>132</v>
      </c>
      <c r="F47" s="835">
        <f>IF('[1]Tasa de Falla'!F47=0,"",'[1]Tasa de Falla'!F47)</f>
        <v>7</v>
      </c>
      <c r="G47" s="796" t="str">
        <f>IF('[1]Tasa de Falla'!GL47=0,"",'[1]Tasa de Falla'!GL47)</f>
        <v>XXXX</v>
      </c>
      <c r="H47" s="796" t="str">
        <f>IF('[1]Tasa de Falla'!GM47=0,"",'[1]Tasa de Falla'!GM47)</f>
        <v>XXXX</v>
      </c>
      <c r="I47" s="796" t="str">
        <f>IF('[1]Tasa de Falla'!GN47=0,"",'[1]Tasa de Falla'!GN47)</f>
        <v>XXXX</v>
      </c>
      <c r="J47" s="796" t="str">
        <f>IF('[1]Tasa de Falla'!GO47=0,"",'[1]Tasa de Falla'!GO47)</f>
        <v>XXXX</v>
      </c>
      <c r="K47" s="796" t="str">
        <f>IF('[1]Tasa de Falla'!GP47=0,"",'[1]Tasa de Falla'!GP47)</f>
        <v>XXXX</v>
      </c>
      <c r="L47" s="796" t="str">
        <f>IF('[1]Tasa de Falla'!GQ47=0,"",'[1]Tasa de Falla'!GQ47)</f>
        <v>XXXX</v>
      </c>
      <c r="M47" s="796" t="str">
        <f>IF('[1]Tasa de Falla'!GR47=0,"",'[1]Tasa de Falla'!GR47)</f>
        <v>XXXX</v>
      </c>
      <c r="N47" s="796" t="str">
        <f>IF('[1]Tasa de Falla'!GS47=0,"",'[1]Tasa de Falla'!GS47)</f>
        <v>XXXX</v>
      </c>
      <c r="O47" s="796" t="str">
        <f>IF('[1]Tasa de Falla'!GT47=0,"",'[1]Tasa de Falla'!GT47)</f>
        <v>XXXX</v>
      </c>
      <c r="P47" s="796" t="str">
        <f>IF('[1]Tasa de Falla'!GU47=0,"",'[1]Tasa de Falla'!GU47)</f>
        <v>XXXX</v>
      </c>
      <c r="Q47" s="796" t="str">
        <f>IF('[1]Tasa de Falla'!GV47=0,"",'[1]Tasa de Falla'!GV47)</f>
        <v>XXXX</v>
      </c>
      <c r="R47" s="796" t="str">
        <f>IF('[1]Tasa de Falla'!GW47=0,"",'[1]Tasa de Falla'!GW47)</f>
        <v>XXXX</v>
      </c>
      <c r="S47" s="797"/>
      <c r="T47" s="3"/>
    </row>
    <row r="48" spans="2:20" ht="15" customHeight="1">
      <c r="B48" s="2"/>
      <c r="C48" s="798">
        <f>IF('[1]Tasa de Falla'!C48=0,"",'[1]Tasa de Falla'!C48)</f>
      </c>
      <c r="D48" s="831" t="str">
        <f>IF('[1]Tasa de Falla'!D48=0,"",'[1]Tasa de Falla'!D48)</f>
        <v>CARMEN DE PATAGONES - VIEDMA</v>
      </c>
      <c r="E48" s="831">
        <f>IF('[1]Tasa de Falla'!E48=0,"",'[1]Tasa de Falla'!E48)</f>
        <v>132</v>
      </c>
      <c r="F48" s="832">
        <f>IF('[1]Tasa de Falla'!F48=0,"",'[1]Tasa de Falla'!F48)</f>
        <v>4.4</v>
      </c>
      <c r="G48" s="796">
        <f>IF('[1]Tasa de Falla'!GL48=0,"",'[1]Tasa de Falla'!GL48)</f>
      </c>
      <c r="H48" s="796">
        <f>IF('[1]Tasa de Falla'!GM48=0,"",'[1]Tasa de Falla'!GM48)</f>
      </c>
      <c r="I48" s="796">
        <f>IF('[1]Tasa de Falla'!GN48=0,"",'[1]Tasa de Falla'!GN48)</f>
      </c>
      <c r="J48" s="796">
        <f>IF('[1]Tasa de Falla'!GO48=0,"",'[1]Tasa de Falla'!GO48)</f>
      </c>
      <c r="K48" s="796">
        <f>IF('[1]Tasa de Falla'!GP48=0,"",'[1]Tasa de Falla'!GP48)</f>
      </c>
      <c r="L48" s="796">
        <f>IF('[1]Tasa de Falla'!GQ48=0,"",'[1]Tasa de Falla'!GQ48)</f>
      </c>
      <c r="M48" s="796">
        <f>IF('[1]Tasa de Falla'!GR48=0,"",'[1]Tasa de Falla'!GR48)</f>
      </c>
      <c r="N48" s="796">
        <f>IF('[1]Tasa de Falla'!GS48=0,"",'[1]Tasa de Falla'!GS48)</f>
        <v>2</v>
      </c>
      <c r="O48" s="796">
        <f>IF('[1]Tasa de Falla'!GT48=0,"",'[1]Tasa de Falla'!GT48)</f>
      </c>
      <c r="P48" s="796">
        <f>IF('[1]Tasa de Falla'!GU48=0,"",'[1]Tasa de Falla'!GU48)</f>
        <v>1</v>
      </c>
      <c r="Q48" s="796">
        <f>IF('[1]Tasa de Falla'!GV48=0,"",'[1]Tasa de Falla'!GV48)</f>
      </c>
      <c r="R48" s="796">
        <f>IF('[1]Tasa de Falla'!GW48=0,"",'[1]Tasa de Falla'!GW48)</f>
      </c>
      <c r="S48" s="797"/>
      <c r="T48" s="3"/>
    </row>
    <row r="49" spans="2:20" ht="15" customHeight="1">
      <c r="B49" s="2"/>
      <c r="C49" s="833">
        <f>IF('[1]Tasa de Falla'!C49=0,"",'[1]Tasa de Falla'!C49)</f>
        <v>21</v>
      </c>
      <c r="D49" s="834" t="str">
        <f>IF('[1]Tasa de Falla'!D49=0,"",'[1]Tasa de Falla'!D49)</f>
        <v>SAN ANTONIO OESTE - SIERRA GRANDE</v>
      </c>
      <c r="E49" s="834">
        <f>IF('[1]Tasa de Falla'!E49=0,"",'[1]Tasa de Falla'!E49)</f>
        <v>132</v>
      </c>
      <c r="F49" s="835">
        <f>IF('[1]Tasa de Falla'!F49=0,"",'[1]Tasa de Falla'!F49)</f>
        <v>110.3</v>
      </c>
      <c r="G49" s="796">
        <f>IF('[1]Tasa de Falla'!GL49=0,"",'[1]Tasa de Falla'!GL49)</f>
      </c>
      <c r="H49" s="796">
        <f>IF('[1]Tasa de Falla'!GM49=0,"",'[1]Tasa de Falla'!GM49)</f>
      </c>
      <c r="I49" s="796">
        <f>IF('[1]Tasa de Falla'!GN49=0,"",'[1]Tasa de Falla'!GN49)</f>
      </c>
      <c r="J49" s="796">
        <f>IF('[1]Tasa de Falla'!GO49=0,"",'[1]Tasa de Falla'!GO49)</f>
        <v>1</v>
      </c>
      <c r="K49" s="796">
        <f>IF('[1]Tasa de Falla'!GP49=0,"",'[1]Tasa de Falla'!GP49)</f>
      </c>
      <c r="L49" s="796">
        <f>IF('[1]Tasa de Falla'!GQ49=0,"",'[1]Tasa de Falla'!GQ49)</f>
      </c>
      <c r="M49" s="796">
        <f>IF('[1]Tasa de Falla'!GR49=0,"",'[1]Tasa de Falla'!GR49)</f>
      </c>
      <c r="N49" s="796">
        <f>IF('[1]Tasa de Falla'!GS49=0,"",'[1]Tasa de Falla'!GS49)</f>
        <v>1</v>
      </c>
      <c r="O49" s="796">
        <f>IF('[1]Tasa de Falla'!GT49=0,"",'[1]Tasa de Falla'!GT49)</f>
      </c>
      <c r="P49" s="796">
        <f>IF('[1]Tasa de Falla'!GU49=0,"",'[1]Tasa de Falla'!GU49)</f>
      </c>
      <c r="Q49" s="796">
        <f>IF('[1]Tasa de Falla'!GV49=0,"",'[1]Tasa de Falla'!GV49)</f>
      </c>
      <c r="R49" s="796">
        <f>IF('[1]Tasa de Falla'!GW49=0,"",'[1]Tasa de Falla'!GW49)</f>
      </c>
      <c r="S49" s="797"/>
      <c r="T49" s="3"/>
    </row>
    <row r="50" spans="2:20" ht="15" customHeight="1">
      <c r="B50" s="2"/>
      <c r="C50" s="798">
        <f>IF('[1]Tasa de Falla'!C50=0,"",'[1]Tasa de Falla'!C50)</f>
        <v>22</v>
      </c>
      <c r="D50" s="831" t="str">
        <f>IF('[1]Tasa de Falla'!D50=0,"",'[1]Tasa de Falla'!D50)</f>
        <v>SAN ANTONIO OESTE -VIEDMA-SAN ANTONIO ESTE</v>
      </c>
      <c r="E50" s="831">
        <f>IF('[1]Tasa de Falla'!E50=0,"",'[1]Tasa de Falla'!E50)</f>
        <v>132</v>
      </c>
      <c r="F50" s="832">
        <f>IF('[1]Tasa de Falla'!F50=0,"",'[1]Tasa de Falla'!F50)</f>
        <v>185.6</v>
      </c>
      <c r="G50" s="796">
        <f>IF('[1]Tasa de Falla'!GL50=0,"",'[1]Tasa de Falla'!GL50)</f>
      </c>
      <c r="H50" s="796">
        <f>IF('[1]Tasa de Falla'!GM50=0,"",'[1]Tasa de Falla'!GM50)</f>
      </c>
      <c r="I50" s="796">
        <f>IF('[1]Tasa de Falla'!GN50=0,"",'[1]Tasa de Falla'!GN50)</f>
      </c>
      <c r="J50" s="796">
        <f>IF('[1]Tasa de Falla'!GO50=0,"",'[1]Tasa de Falla'!GO50)</f>
        <v>3</v>
      </c>
      <c r="K50" s="796">
        <f>IF('[1]Tasa de Falla'!GP50=0,"",'[1]Tasa de Falla'!GP50)</f>
      </c>
      <c r="L50" s="796">
        <f>IF('[1]Tasa de Falla'!GQ50=0,"",'[1]Tasa de Falla'!GQ50)</f>
      </c>
      <c r="M50" s="796">
        <f>IF('[1]Tasa de Falla'!GR50=0,"",'[1]Tasa de Falla'!GR50)</f>
      </c>
      <c r="N50" s="796">
        <f>IF('[1]Tasa de Falla'!GS50=0,"",'[1]Tasa de Falla'!GS50)</f>
        <v>5</v>
      </c>
      <c r="O50" s="796">
        <f>IF('[1]Tasa de Falla'!GT50=0,"",'[1]Tasa de Falla'!GT50)</f>
      </c>
      <c r="P50" s="796">
        <f>IF('[1]Tasa de Falla'!GU50=0,"",'[1]Tasa de Falla'!GU50)</f>
      </c>
      <c r="Q50" s="796">
        <f>IF('[1]Tasa de Falla'!GV50=0,"",'[1]Tasa de Falla'!GV50)</f>
      </c>
      <c r="R50" s="796">
        <f>IF('[1]Tasa de Falla'!GW50=0,"",'[1]Tasa de Falla'!GW50)</f>
        <v>1</v>
      </c>
      <c r="S50" s="797"/>
      <c r="T50" s="3"/>
    </row>
    <row r="51" spans="2:20" ht="15" customHeight="1" thickBot="1">
      <c r="B51" s="2"/>
      <c r="C51" s="799"/>
      <c r="D51" s="800"/>
      <c r="E51" s="801"/>
      <c r="F51" s="802"/>
      <c r="G51" s="796" t="str">
        <f>IF('[1]Tasa de Falla'!GL51=0,"",'[1]Tasa de Falla'!GL51)</f>
        <v>XXXX</v>
      </c>
      <c r="H51" s="796" t="str">
        <f>IF('[1]Tasa de Falla'!GM51=0,"",'[1]Tasa de Falla'!GM51)</f>
        <v>XXXX</v>
      </c>
      <c r="I51" s="796" t="str">
        <f>IF('[1]Tasa de Falla'!GN51=0,"",'[1]Tasa de Falla'!GN51)</f>
        <v>XXXX</v>
      </c>
      <c r="J51" s="796" t="str">
        <f>IF('[1]Tasa de Falla'!GO51=0,"",'[1]Tasa de Falla'!GO51)</f>
        <v>XXXX</v>
      </c>
      <c r="K51" s="796" t="str">
        <f>IF('[1]Tasa de Falla'!GP51=0,"",'[1]Tasa de Falla'!GP51)</f>
        <v>XXXX</v>
      </c>
      <c r="L51" s="796" t="str">
        <f>IF('[1]Tasa de Falla'!GQ51=0,"",'[1]Tasa de Falla'!GQ51)</f>
        <v>XXXX</v>
      </c>
      <c r="M51" s="796" t="str">
        <f>IF('[1]Tasa de Falla'!GR51=0,"",'[1]Tasa de Falla'!GR51)</f>
        <v>XXXX</v>
      </c>
      <c r="N51" s="796" t="str">
        <f>IF('[1]Tasa de Falla'!GS51=0,"",'[1]Tasa de Falla'!GS51)</f>
        <v>XXXX</v>
      </c>
      <c r="O51" s="796" t="str">
        <f>IF('[1]Tasa de Falla'!GT51=0,"",'[1]Tasa de Falla'!GT51)</f>
        <v>XXXX</v>
      </c>
      <c r="P51" s="796" t="str">
        <f>IF('[1]Tasa de Falla'!GU51=0,"",'[1]Tasa de Falla'!GU51)</f>
        <v>XXXX</v>
      </c>
      <c r="Q51" s="796" t="str">
        <f>IF('[1]Tasa de Falla'!GV51=0,"",'[1]Tasa de Falla'!GV51)</f>
        <v>XXXX</v>
      </c>
      <c r="R51" s="796" t="str">
        <f>IF('[1]Tasa de Falla'!GW51=0,"",'[1]Tasa de Falla'!GW51)</f>
        <v>XXXX</v>
      </c>
      <c r="S51" s="797"/>
      <c r="T51" s="3"/>
    </row>
    <row r="52" spans="2:20" ht="15" customHeight="1" thickBot="1" thickTop="1">
      <c r="B52" s="2"/>
      <c r="C52" s="67"/>
      <c r="D52" s="184"/>
      <c r="E52" s="803" t="s">
        <v>168</v>
      </c>
      <c r="F52" s="804">
        <f>SUM(F18:F51)-F34</f>
        <v>2631.2600000000007</v>
      </c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797"/>
      <c r="T52" s="3"/>
    </row>
    <row r="53" spans="2:20" ht="15" customHeight="1" thickBot="1" thickTop="1">
      <c r="B53" s="2"/>
      <c r="C53" s="28"/>
      <c r="D53" s="31"/>
      <c r="E53" s="806"/>
      <c r="F53" s="807" t="s">
        <v>169</v>
      </c>
      <c r="G53" s="808">
        <f aca="true" t="shared" si="0" ref="G53:R53">SUM(G17:G51)</f>
        <v>1</v>
      </c>
      <c r="H53" s="808">
        <f t="shared" si="0"/>
        <v>4</v>
      </c>
      <c r="I53" s="808">
        <f t="shared" si="0"/>
        <v>4</v>
      </c>
      <c r="J53" s="808">
        <f t="shared" si="0"/>
        <v>6</v>
      </c>
      <c r="K53" s="808">
        <f t="shared" si="0"/>
        <v>2</v>
      </c>
      <c r="L53" s="808">
        <f t="shared" si="0"/>
        <v>1</v>
      </c>
      <c r="M53" s="808">
        <f t="shared" si="0"/>
        <v>3</v>
      </c>
      <c r="N53" s="808">
        <f t="shared" si="0"/>
        <v>8</v>
      </c>
      <c r="O53" s="808">
        <f t="shared" si="0"/>
        <v>2</v>
      </c>
      <c r="P53" s="808">
        <f t="shared" si="0"/>
        <v>1</v>
      </c>
      <c r="Q53" s="808">
        <f t="shared" si="0"/>
        <v>1</v>
      </c>
      <c r="R53" s="808">
        <f t="shared" si="0"/>
        <v>1</v>
      </c>
      <c r="S53" s="809"/>
      <c r="T53" s="3"/>
    </row>
    <row r="54" spans="2:20" ht="17.25" thickBot="1" thickTop="1">
      <c r="B54" s="2"/>
      <c r="C54" s="806"/>
      <c r="D54" s="806"/>
      <c r="E54" s="28"/>
      <c r="F54" s="810" t="s">
        <v>170</v>
      </c>
      <c r="G54" s="811">
        <f>'[1]Tasa de Falla'!GL72</f>
        <v>1.11</v>
      </c>
      <c r="H54" s="811">
        <f>'[1]Tasa de Falla'!GM72</f>
        <v>0.87</v>
      </c>
      <c r="I54" s="811">
        <f>'[1]Tasa de Falla'!GN72</f>
        <v>0.93</v>
      </c>
      <c r="J54" s="811">
        <f>'[1]Tasa de Falla'!GO72</f>
        <v>1.03</v>
      </c>
      <c r="K54" s="811">
        <f>'[1]Tasa de Falla'!GP72</f>
        <v>1.24</v>
      </c>
      <c r="L54" s="811">
        <f>'[1]Tasa de Falla'!GQ72</f>
        <v>1.27</v>
      </c>
      <c r="M54" s="811">
        <f>'[1]Tasa de Falla'!GR72</f>
        <v>1.2</v>
      </c>
      <c r="N54" s="811">
        <f>'[1]Tasa de Falla'!GS72</f>
        <v>1.2</v>
      </c>
      <c r="O54" s="811">
        <f>'[1]Tasa de Falla'!GT72</f>
        <v>1.44</v>
      </c>
      <c r="P54" s="811">
        <f>'[1]Tasa de Falla'!GU72</f>
        <v>1.37</v>
      </c>
      <c r="Q54" s="811">
        <f>'[1]Tasa de Falla'!GV72</f>
        <v>1.27</v>
      </c>
      <c r="R54" s="811">
        <f>'[1]Tasa de Falla'!GW72</f>
        <v>1.3</v>
      </c>
      <c r="S54" s="811">
        <f>'[1]Tasa de Falla'!GX72</f>
        <v>1.34</v>
      </c>
      <c r="T54" s="3"/>
    </row>
    <row r="55" spans="2:20" ht="18.75" customHeight="1" thickBot="1" thickTop="1">
      <c r="B55" s="2"/>
      <c r="C55" s="812" t="s">
        <v>171</v>
      </c>
      <c r="D55" s="28" t="s">
        <v>172</v>
      </c>
      <c r="E55" s="813"/>
      <c r="F55" s="814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55"/>
    </row>
    <row r="56" spans="2:20" ht="17.25" thickBot="1" thickTop="1">
      <c r="B56" s="816"/>
      <c r="C56" s="817"/>
      <c r="D56" s="818" t="s">
        <v>173</v>
      </c>
      <c r="H56" s="819" t="s">
        <v>174</v>
      </c>
      <c r="I56" s="820"/>
      <c r="J56" s="821">
        <f>S54</f>
        <v>1.34</v>
      </c>
      <c r="K56" s="822" t="s">
        <v>175</v>
      </c>
      <c r="L56" s="822"/>
      <c r="M56" s="823"/>
      <c r="N56" s="818"/>
      <c r="O56" s="818"/>
      <c r="P56" s="818"/>
      <c r="Q56" s="818"/>
      <c r="R56" s="818"/>
      <c r="S56" s="818"/>
      <c r="T56" s="3"/>
    </row>
    <row r="57" spans="2:20" ht="18.75" customHeight="1" thickBot="1">
      <c r="B57" s="824"/>
      <c r="C57" s="825"/>
      <c r="D57" s="43"/>
      <c r="E57" s="43"/>
      <c r="F57" s="826"/>
      <c r="G57" s="827"/>
      <c r="H57" s="827"/>
      <c r="I57" s="827"/>
      <c r="J57" s="827"/>
      <c r="K57" s="827"/>
      <c r="L57" s="827"/>
      <c r="M57" s="827"/>
      <c r="N57" s="827"/>
      <c r="O57" s="827"/>
      <c r="P57" s="827"/>
      <c r="Q57" s="827"/>
      <c r="R57" s="827"/>
      <c r="S57" s="827"/>
      <c r="T57" s="828"/>
    </row>
    <row r="58" ht="13.5" thickTop="1"/>
  </sheetData>
  <printOptions horizontalCentered="1" verticalCentered="1"/>
  <pageMargins left="0.26" right="0.1968503937007874" top="0.7874015748031497" bottom="0.52" header="0.5118110236220472" footer="0.2"/>
  <pageSetup fitToHeight="1" fitToWidth="1" horizontalDpi="300" verticalDpi="300" orientation="landscape" paperSize="9" scale="5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2012-04-26T14:47:43Z</cp:lastPrinted>
  <dcterms:created xsi:type="dcterms:W3CDTF">2000-10-04T20:14:32Z</dcterms:created>
  <dcterms:modified xsi:type="dcterms:W3CDTF">2012-08-02T17:49:53Z</dcterms:modified>
  <cp:category/>
  <cp:version/>
  <cp:contentType/>
  <cp:contentStatus/>
</cp:coreProperties>
</file>