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7"/>
  </bookViews>
  <sheets>
    <sheet name="TOT-0111" sheetId="1" r:id="rId1"/>
    <sheet name="LI-01 (1)" sheetId="2" r:id="rId2"/>
    <sheet name="LI-EDERSA-01 (1)" sheetId="3" r:id="rId3"/>
    <sheet name="TR-EDERSA-01 (1)" sheetId="4" r:id="rId4"/>
    <sheet name="SA-EDERSA-01 (1)" sheetId="5" r:id="rId5"/>
    <sheet name="RE-EDERSA-01 (1)" sheetId="6" r:id="rId6"/>
    <sheet name="SUP-EDERSA" sheetId="7" r:id="rId7"/>
    <sheet name="TASA FALLA " sheetId="8" r:id="rId8"/>
  </sheets>
  <externalReferences>
    <externalReference r:id="rId11"/>
  </externalReferences>
  <definedNames>
    <definedName name="_xlnm.Print_Area" localSheetId="7">'TASA FALLA '!$A$1:$T$57</definedName>
    <definedName name="DD" localSheetId="7">'TASA FALLA '!DD</definedName>
    <definedName name="DD">[0]!DD</definedName>
    <definedName name="DDD" localSheetId="7">'TASA FALLA '!DDD</definedName>
    <definedName name="DDD">[0]!DDD</definedName>
    <definedName name="DISTROCUYO" localSheetId="7">'TASA FALLA '!DISTROCUYO</definedName>
    <definedName name="DISTROCUYO">[0]!DISTROCUYO</definedName>
    <definedName name="INICIO" localSheetId="7">'TASA FALLA '!INICIO</definedName>
    <definedName name="INICIO">[0]!INICIO</definedName>
    <definedName name="INICIOTI" localSheetId="7">'TASA FALLA '!INICIOTI</definedName>
    <definedName name="INICIOTI">[0]!INICIOTI</definedName>
    <definedName name="LINEAS" localSheetId="7">'TASA FALLA '!LINEAS</definedName>
    <definedName name="LINEAS">[0]!LINEAS</definedName>
    <definedName name="NAME_L" localSheetId="7">'TASA FALLA '!NAME_L</definedName>
    <definedName name="NAME_L">[0]!NAME_L</definedName>
    <definedName name="NAME_L_TI" localSheetId="7">'TASA FALLA '!NAME_L_TI</definedName>
    <definedName name="NAME_L_TI">[0]!NAME_L_TI</definedName>
    <definedName name="TRAN" localSheetId="7">'TASA FALLA '!TRAN</definedName>
    <definedName name="TRAN">[0]!TRAN</definedName>
    <definedName name="TRANSNOA" localSheetId="7">'TASA FALLA '!TRANSNOA</definedName>
    <definedName name="TRANSNOA">[0]!TRANSNOA</definedName>
    <definedName name="x" localSheetId="7">'TASA FALLA '!x</definedName>
    <definedName name="x">[0]!x</definedName>
    <definedName name="XX" localSheetId="7">'TASA FALLA '!XX</definedName>
    <definedName name="XX">[0]!XX</definedName>
  </definedNames>
  <calcPr fullCalcOnLoad="1"/>
</workbook>
</file>

<file path=xl/comments7.xml><?xml version="1.0" encoding="utf-8"?>
<comments xmlns="http://schemas.openxmlformats.org/spreadsheetml/2006/main">
  <authors>
    <author>Ing. Juan Messina</author>
  </authors>
  <commentList>
    <comment ref="K31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<sst xmlns="http://schemas.openxmlformats.org/spreadsheetml/2006/main" count="370" uniqueCount="182">
  <si>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</si>
  <si>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</si>
  <si>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</si>
  <si>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</si>
  <si>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</si>
  <si>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</si>
  <si>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</si>
  <si>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</si>
  <si>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</si>
  <si>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</si>
  <si>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</si>
  <si>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</si>
  <si>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</si>
  <si>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</si>
  <si>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</si>
  <si>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</si>
  <si>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</si>
  <si>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</si>
  <si>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</si>
  <si>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</si>
  <si>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</si>
  <si>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</si>
  <si>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</si>
  <si>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</si>
  <si>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</si>
  <si>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</si>
  <si>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</si>
  <si>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</si>
  <si>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</si>
  <si>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2.1.2.-</t>
  </si>
  <si>
    <t>2.2.-</t>
  </si>
  <si>
    <t>Salidas</t>
  </si>
  <si>
    <t>2.2.2.-</t>
  </si>
  <si>
    <t>3.-</t>
  </si>
  <si>
    <t>POTENCIA REACTIVA</t>
  </si>
  <si>
    <t>4.-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</si>
  <si>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</si>
  <si>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</si>
  <si>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</si>
  <si>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</si>
  <si>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</si>
  <si>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</si>
  <si>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</si>
  <si>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</si>
  <si>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</si>
  <si>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</si>
  <si>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</si>
  <si>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</si>
  <si>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</si>
  <si>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</si>
  <si>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</si>
  <si>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</si>
  <si>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</si>
  <si>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</si>
  <si>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</si>
  <si>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</si>
  <si>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</si>
  <si>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</si>
  <si>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</si>
  <si>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</si>
  <si>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</si>
  <si>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</si>
  <si>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</si>
  <si>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</si>
  <si>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</si>
  <si>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</si>
  <si>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</si>
  <si>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</si>
  <si>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</si>
  <si>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</si>
  <si>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</si>
  <si>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</si>
  <si>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</si>
  <si>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</si>
  <si>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</si>
  <si>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</si>
  <si>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</si>
  <si>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</si>
  <si>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</si>
  <si>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</si>
  <si>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</si>
  <si>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</si>
  <si>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</si>
  <si>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</si>
  <si>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</si>
  <si>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</si>
  <si>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</si>
  <si>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</si>
  <si>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</si>
  <si>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</si>
  <si>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</si>
  <si>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</si>
  <si>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</si>
  <si>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</si>
  <si>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</si>
  <si>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</si>
  <si>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</si>
  <si>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</si>
  <si>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</si>
  <si>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</si>
  <si>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</si>
  <si>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</si>
  <si>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</si>
  <si>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</si>
  <si>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</si>
  <si>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</si>
  <si>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</si>
  <si>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</si>
  <si>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</si>
  <si>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</si>
  <si>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</si>
  <si>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</si>
  <si>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</si>
  <si>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</si>
  <si>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</si>
  <si>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</si>
  <si>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</si>
  <si>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</si>
  <si>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</si>
  <si>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</si>
  <si>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</si>
  <si>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</si>
  <si>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</si>
  <si>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</si>
  <si>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</si>
  <si>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</si>
  <si>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</si>
  <si>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</si>
  <si>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</si>
  <si>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</si>
  <si>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2.2.2.- Transportista Independiente E.D.E.R.S.A.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</si>
  <si>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</si>
  <si>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</si>
  <si>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</si>
  <si>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</si>
  <si>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</si>
  <si>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</si>
  <si>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(DTE 0609)</t>
  </si>
  <si>
    <t>Valores remuneratorios Decreto PEN N° 1779/07 -  Res. ENRE N° 330/08 -  Res. ENRE N° 645/08</t>
  </si>
  <si>
    <t>Desde el 01 al 31 de enero de 2011</t>
  </si>
  <si>
    <t>P</t>
  </si>
  <si>
    <t>SI</t>
  </si>
  <si>
    <t>0,000</t>
  </si>
  <si>
    <t>S.A. ESTE - VIEDMA</t>
  </si>
  <si>
    <t>F</t>
  </si>
  <si>
    <t>S.A. OESTE - S.A. ESTE</t>
  </si>
  <si>
    <t>132/33/13,2</t>
  </si>
  <si>
    <t>S. ANTONIO OESTE</t>
  </si>
  <si>
    <t>S. ANTONIO ESTE</t>
  </si>
  <si>
    <t>PAMPA D. CASTILLO - EL TORDILLO</t>
  </si>
  <si>
    <t>S. A. OESTE</t>
  </si>
  <si>
    <t>SALIDA LINEA VALCHETA</t>
  </si>
  <si>
    <t>SALIDA LINEA P.S.A. ESTE</t>
  </si>
  <si>
    <t>P - PROGRAMADA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</si>
  <si>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</si>
  <si>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2VIREAC</t>
  </si>
  <si>
    <t>P - PROGRAMADA  ; F - FORZADA</t>
  </si>
  <si>
    <t>F - FORZADA</t>
  </si>
  <si>
    <t>S.A. OESTE - S.A. ESTE - VIEDMA</t>
  </si>
  <si>
    <t>1634 / 1635</t>
  </si>
  <si>
    <t>230699 / 230700</t>
  </si>
  <si>
    <t>231061 / 231062</t>
  </si>
  <si>
    <t xml:space="preserve">SISTEMA DE TRANSPORTE DE ENERGÍA ELÉCTRICA POR DISTRIBUCIÓN TRONCAL </t>
  </si>
  <si>
    <t>INDISPONIBILIDADES FORZADAS DE LÍNEAS - TASA DE FALLA</t>
  </si>
  <si>
    <t>Tasa de falla correspondiente al mes de enero de 2011 (provisoria).-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</si>
  <si>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</si>
  <si>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</si>
  <si>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</si>
  <si>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</si>
  <si>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</si>
  <si>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</si>
  <si>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</si>
  <si>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</si>
  <si>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TOTAL DE PENALIZACIONES</t>
  </si>
  <si>
    <t xml:space="preserve">S.A. OESTE - S.A. ESTE </t>
  </si>
  <si>
    <t xml:space="preserve"> S.A. ESTE - VIEDMA</t>
  </si>
  <si>
    <t>9a</t>
  </si>
  <si>
    <t>3.1.-</t>
  </si>
  <si>
    <t>Reactivo</t>
  </si>
  <si>
    <t>3.1.- Transportista Independiente E.D.E.R.S.A.</t>
  </si>
  <si>
    <t>SEGÚN 3.1.</t>
  </si>
  <si>
    <t>ANEXO I al Memoranum D.T.E.E.  N°   482  /2012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</si>
</sst>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</numFmts>
  <fonts count="8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0"/>
    </font>
    <font>
      <b/>
      <sz val="10"/>
      <color indexed="48"/>
      <name val="MS Sans Serif"/>
      <family val="0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9"/>
      <name val="Wingdings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72" fontId="9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7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3" fillId="0" borderId="5" xfId="0" applyFont="1" applyFill="1" applyBorder="1" applyAlignment="1" applyProtection="1">
      <alignment horizontal="center"/>
      <protection/>
    </xf>
    <xf numFmtId="22" fontId="7" fillId="0" borderId="9" xfId="0" applyNumberFormat="1" applyFont="1" applyFill="1" applyBorder="1" applyAlignment="1">
      <alignment horizontal="center"/>
    </xf>
    <xf numFmtId="22" fontId="7" fillId="0" borderId="10" xfId="0" applyNumberFormat="1" applyFont="1" applyFill="1" applyBorder="1" applyAlignment="1" applyProtection="1">
      <alignment horizontal="center"/>
      <protection/>
    </xf>
    <xf numFmtId="2" fontId="7" fillId="0" borderId="7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8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0" fillId="0" borderId="6" xfId="0" applyFont="1" applyFill="1" applyBorder="1" applyAlignment="1">
      <alignment/>
    </xf>
    <xf numFmtId="168" fontId="10" fillId="0" borderId="7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10" fillId="0" borderId="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9" xfId="0" applyFont="1" applyBorder="1" applyAlignment="1">
      <alignment horizontal="center"/>
    </xf>
    <xf numFmtId="0" fontId="13" fillId="0" borderId="19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168" fontId="7" fillId="0" borderId="9" xfId="0" applyNumberFormat="1" applyFont="1" applyBorder="1" applyAlignment="1" applyProtection="1">
      <alignment horizontal="center"/>
      <protection/>
    </xf>
    <xf numFmtId="22" fontId="7" fillId="0" borderId="20" xfId="0" applyNumberFormat="1" applyFont="1" applyBorder="1" applyAlignment="1">
      <alignment horizontal="center"/>
    </xf>
    <xf numFmtId="22" fontId="7" fillId="0" borderId="19" xfId="0" applyNumberFormat="1" applyFont="1" applyBorder="1" applyAlignment="1" applyProtection="1">
      <alignment horizontal="center"/>
      <protection/>
    </xf>
    <xf numFmtId="2" fontId="7" fillId="0" borderId="9" xfId="0" applyNumberFormat="1" applyFont="1" applyFill="1" applyBorder="1" applyAlignment="1" applyProtection="1" quotePrefix="1">
      <alignment horizontal="center"/>
      <protection/>
    </xf>
    <xf numFmtId="164" fontId="7" fillId="0" borderId="9" xfId="0" applyNumberFormat="1" applyFont="1" applyFill="1" applyBorder="1" applyAlignment="1" applyProtection="1" quotePrefix="1">
      <alignment horizontal="center"/>
      <protection/>
    </xf>
    <xf numFmtId="168" fontId="7" fillId="0" borderId="21" xfId="0" applyNumberFormat="1" applyFont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 quotePrefix="1">
      <alignment horizontal="center"/>
      <protection/>
    </xf>
    <xf numFmtId="4" fontId="18" fillId="0" borderId="3" xfId="0" applyNumberFormat="1" applyFont="1" applyFill="1" applyBorder="1" applyAlignment="1">
      <alignment horizontal="right"/>
    </xf>
    <xf numFmtId="168" fontId="7" fillId="0" borderId="22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7" fontId="8" fillId="0" borderId="26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 quotePrefix="1">
      <alignment horizontal="left"/>
      <protection/>
    </xf>
    <xf numFmtId="0" fontId="0" fillId="0" borderId="24" xfId="0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26" fillId="0" borderId="25" xfId="0" applyFont="1" applyFill="1" applyBorder="1" applyAlignment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 quotePrefix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 applyProtection="1" quotePrefix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25" xfId="0" applyFont="1" applyBorder="1" applyAlignment="1" applyProtection="1">
      <alignment horizontal="left"/>
      <protection/>
    </xf>
    <xf numFmtId="171" fontId="0" fillId="0" borderId="28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>
      <alignment/>
    </xf>
    <xf numFmtId="171" fontId="25" fillId="0" borderId="28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26" fillId="0" borderId="26" xfId="0" applyFont="1" applyFill="1" applyBorder="1" applyAlignment="1" applyProtection="1">
      <alignment horizontal="center" vertical="center"/>
      <protection/>
    </xf>
    <xf numFmtId="168" fontId="10" fillId="0" borderId="3" xfId="0" applyNumberFormat="1" applyFont="1" applyFill="1" applyBorder="1" applyAlignment="1">
      <alignment horizontal="center"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2" fontId="7" fillId="0" borderId="29" xfId="0" applyNumberFormat="1" applyFont="1" applyFill="1" applyBorder="1" applyAlignment="1" applyProtection="1" quotePrefix="1">
      <alignment horizontal="center"/>
      <protection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27" xfId="0" applyFont="1" applyBorder="1" applyAlignment="1" applyProtection="1">
      <alignment horizontal="center"/>
      <protection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 applyProtection="1" quotePrefix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center"/>
      <protection/>
    </xf>
    <xf numFmtId="0" fontId="26" fillId="0" borderId="23" xfId="0" applyFont="1" applyBorder="1" applyAlignment="1" applyProtection="1" quotePrefix="1">
      <alignment horizontal="center" vertical="center" wrapText="1"/>
      <protection/>
    </xf>
    <xf numFmtId="0" fontId="27" fillId="0" borderId="23" xfId="0" applyFont="1" applyFill="1" applyBorder="1" applyAlignment="1">
      <alignment horizontal="center" vertical="center" wrapText="1"/>
    </xf>
    <xf numFmtId="168" fontId="18" fillId="0" borderId="9" xfId="0" applyNumberFormat="1" applyFont="1" applyFill="1" applyBorder="1" applyAlignment="1">
      <alignment horizontal="center"/>
    </xf>
    <xf numFmtId="168" fontId="18" fillId="0" borderId="18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5" xfId="0" applyFont="1" applyFill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26" xfId="0" applyFont="1" applyBorder="1" applyAlignment="1" applyProtection="1">
      <alignment horizontal="centerContinuous"/>
      <protection/>
    </xf>
    <xf numFmtId="167" fontId="0" fillId="0" borderId="26" xfId="0" applyNumberFormat="1" applyFont="1" applyBorder="1" applyAlignment="1">
      <alignment horizontal="centerContinuous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23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9" fillId="0" borderId="2" xfId="0" applyFont="1" applyFill="1" applyBorder="1" applyAlignment="1">
      <alignment/>
    </xf>
    <xf numFmtId="0" fontId="39" fillId="0" borderId="2" xfId="0" applyFont="1" applyBorder="1" applyAlignment="1">
      <alignment/>
    </xf>
    <xf numFmtId="0" fontId="46" fillId="2" borderId="23" xfId="0" applyFont="1" applyFill="1" applyBorder="1" applyAlignment="1" applyProtection="1">
      <alignment horizontal="center" vertical="center"/>
      <protection/>
    </xf>
    <xf numFmtId="0" fontId="47" fillId="2" borderId="6" xfId="0" applyFont="1" applyFill="1" applyBorder="1" applyAlignment="1">
      <alignment/>
    </xf>
    <xf numFmtId="0" fontId="47" fillId="2" borderId="3" xfId="0" applyFont="1" applyFill="1" applyBorder="1" applyAlignment="1">
      <alignment/>
    </xf>
    <xf numFmtId="168" fontId="48" fillId="2" borderId="3" xfId="0" applyNumberFormat="1" applyFont="1" applyFill="1" applyBorder="1" applyAlignment="1" applyProtection="1">
      <alignment horizontal="center"/>
      <protection/>
    </xf>
    <xf numFmtId="168" fontId="48" fillId="2" borderId="4" xfId="0" applyNumberFormat="1" applyFont="1" applyFill="1" applyBorder="1" applyAlignment="1" applyProtection="1">
      <alignment horizontal="center"/>
      <protection/>
    </xf>
    <xf numFmtId="0" fontId="48" fillId="2" borderId="6" xfId="0" applyFont="1" applyFill="1" applyBorder="1" applyAlignment="1">
      <alignment/>
    </xf>
    <xf numFmtId="0" fontId="48" fillId="2" borderId="3" xfId="0" applyFont="1" applyFill="1" applyBorder="1" applyAlignment="1">
      <alignment/>
    </xf>
    <xf numFmtId="0" fontId="48" fillId="2" borderId="4" xfId="0" applyFont="1" applyFill="1" applyBorder="1" applyAlignment="1">
      <alignment/>
    </xf>
    <xf numFmtId="171" fontId="48" fillId="2" borderId="3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4" fontId="45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53" fillId="3" borderId="23" xfId="0" applyFont="1" applyFill="1" applyBorder="1" applyAlignment="1">
      <alignment horizontal="center" vertical="center" wrapText="1"/>
    </xf>
    <xf numFmtId="0" fontId="54" fillId="3" borderId="6" xfId="0" applyFont="1" applyFill="1" applyBorder="1" applyAlignment="1">
      <alignment/>
    </xf>
    <xf numFmtId="0" fontId="54" fillId="3" borderId="3" xfId="0" applyFont="1" applyFill="1" applyBorder="1" applyAlignment="1">
      <alignment/>
    </xf>
    <xf numFmtId="0" fontId="53" fillId="4" borderId="23" xfId="0" applyFont="1" applyFill="1" applyBorder="1" applyAlignment="1">
      <alignment horizontal="center" vertical="center" wrapText="1"/>
    </xf>
    <xf numFmtId="0" fontId="54" fillId="4" borderId="6" xfId="0" applyFont="1" applyFill="1" applyBorder="1" applyAlignment="1">
      <alignment/>
    </xf>
    <xf numFmtId="0" fontId="54" fillId="4" borderId="3" xfId="0" applyFont="1" applyFill="1" applyBorder="1" applyAlignment="1">
      <alignment/>
    </xf>
    <xf numFmtId="0" fontId="27" fillId="5" borderId="23" xfId="0" applyFont="1" applyFill="1" applyBorder="1" applyAlignment="1" applyProtection="1">
      <alignment horizontal="centerContinuous" vertical="center" wrapText="1"/>
      <protection/>
    </xf>
    <xf numFmtId="0" fontId="25" fillId="5" borderId="24" xfId="0" applyFont="1" applyFill="1" applyBorder="1" applyAlignment="1">
      <alignment horizontal="centerContinuous"/>
    </xf>
    <xf numFmtId="0" fontId="27" fillId="5" borderId="26" xfId="0" applyFont="1" applyFill="1" applyBorder="1" applyAlignment="1">
      <alignment horizontal="centerContinuous" vertical="center"/>
    </xf>
    <xf numFmtId="0" fontId="56" fillId="5" borderId="34" xfId="0" applyFont="1" applyFill="1" applyBorder="1" applyAlignment="1">
      <alignment horizontal="center"/>
    </xf>
    <xf numFmtId="0" fontId="56" fillId="5" borderId="35" xfId="0" applyFont="1" applyFill="1" applyBorder="1" applyAlignment="1">
      <alignment/>
    </xf>
    <xf numFmtId="0" fontId="56" fillId="5" borderId="36" xfId="0" applyFont="1" applyFill="1" applyBorder="1" applyAlignment="1">
      <alignment/>
    </xf>
    <xf numFmtId="0" fontId="56" fillId="5" borderId="37" xfId="0" applyFont="1" applyFill="1" applyBorder="1" applyAlignment="1">
      <alignment horizontal="center"/>
    </xf>
    <xf numFmtId="0" fontId="56" fillId="5" borderId="38" xfId="0" applyFont="1" applyFill="1" applyBorder="1" applyAlignment="1">
      <alignment/>
    </xf>
    <xf numFmtId="0" fontId="56" fillId="5" borderId="7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7" fillId="6" borderId="23" xfId="0" applyFont="1" applyFill="1" applyBorder="1" applyAlignment="1" applyProtection="1">
      <alignment horizontal="centerContinuous" vertical="center" wrapText="1"/>
      <protection/>
    </xf>
    <xf numFmtId="0" fontId="25" fillId="6" borderId="24" xfId="0" applyFont="1" applyFill="1" applyBorder="1" applyAlignment="1">
      <alignment horizontal="centerContinuous"/>
    </xf>
    <xf numFmtId="0" fontId="27" fillId="6" borderId="26" xfId="0" applyFont="1" applyFill="1" applyBorder="1" applyAlignment="1">
      <alignment horizontal="centerContinuous" vertical="center"/>
    </xf>
    <xf numFmtId="0" fontId="56" fillId="6" borderId="34" xfId="0" applyFont="1" applyFill="1" applyBorder="1" applyAlignment="1">
      <alignment horizontal="center"/>
    </xf>
    <xf numFmtId="0" fontId="56" fillId="6" borderId="35" xfId="0" applyFont="1" applyFill="1" applyBorder="1" applyAlignment="1">
      <alignment/>
    </xf>
    <xf numFmtId="0" fontId="56" fillId="6" borderId="36" xfId="0" applyFont="1" applyFill="1" applyBorder="1" applyAlignment="1">
      <alignment/>
    </xf>
    <xf numFmtId="0" fontId="56" fillId="6" borderId="37" xfId="0" applyFont="1" applyFill="1" applyBorder="1" applyAlignment="1">
      <alignment horizontal="center"/>
    </xf>
    <xf numFmtId="0" fontId="56" fillId="6" borderId="38" xfId="0" applyFont="1" applyFill="1" applyBorder="1" applyAlignment="1">
      <alignment/>
    </xf>
    <xf numFmtId="0" fontId="56" fillId="6" borderId="7" xfId="0" applyFont="1" applyFill="1" applyBorder="1" applyAlignment="1">
      <alignment/>
    </xf>
    <xf numFmtId="0" fontId="27" fillId="5" borderId="23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0" fontId="56" fillId="7" borderId="6" xfId="0" applyFont="1" applyFill="1" applyBorder="1" applyAlignment="1">
      <alignment/>
    </xf>
    <xf numFmtId="0" fontId="56" fillId="7" borderId="3" xfId="0" applyFont="1" applyFill="1" applyBorder="1" applyAlignment="1">
      <alignment/>
    </xf>
    <xf numFmtId="0" fontId="53" fillId="8" borderId="23" xfId="0" applyFont="1" applyFill="1" applyBorder="1" applyAlignment="1">
      <alignment horizontal="center" vertical="center" wrapText="1"/>
    </xf>
    <xf numFmtId="0" fontId="54" fillId="8" borderId="6" xfId="0" applyFont="1" applyFill="1" applyBorder="1" applyAlignment="1">
      <alignment/>
    </xf>
    <xf numFmtId="0" fontId="54" fillId="8" borderId="3" xfId="0" applyFont="1" applyFill="1" applyBorder="1" applyAlignment="1">
      <alignment/>
    </xf>
    <xf numFmtId="2" fontId="52" fillId="3" borderId="23" xfId="0" applyNumberFormat="1" applyFont="1" applyFill="1" applyBorder="1" applyAlignment="1">
      <alignment horizontal="center"/>
    </xf>
    <xf numFmtId="2" fontId="52" fillId="4" borderId="23" xfId="0" applyNumberFormat="1" applyFont="1" applyFill="1" applyBorder="1" applyAlignment="1">
      <alignment horizontal="center"/>
    </xf>
    <xf numFmtId="168" fontId="57" fillId="5" borderId="23" xfId="0" applyNumberFormat="1" applyFont="1" applyFill="1" applyBorder="1" applyAlignment="1" applyProtection="1" quotePrefix="1">
      <alignment horizontal="center"/>
      <protection/>
    </xf>
    <xf numFmtId="4" fontId="57" fillId="5" borderId="23" xfId="0" applyNumberFormat="1" applyFont="1" applyFill="1" applyBorder="1" applyAlignment="1">
      <alignment horizontal="center"/>
    </xf>
    <xf numFmtId="168" fontId="57" fillId="6" borderId="23" xfId="0" applyNumberFormat="1" applyFont="1" applyFill="1" applyBorder="1" applyAlignment="1" applyProtection="1" quotePrefix="1">
      <alignment horizontal="center"/>
      <protection/>
    </xf>
    <xf numFmtId="4" fontId="57" fillId="6" borderId="23" xfId="0" applyNumberFormat="1" applyFont="1" applyFill="1" applyBorder="1" applyAlignment="1">
      <alignment horizontal="center"/>
    </xf>
    <xf numFmtId="168" fontId="57" fillId="7" borderId="23" xfId="0" applyNumberFormat="1" applyFont="1" applyFill="1" applyBorder="1" applyAlignment="1" applyProtection="1" quotePrefix="1">
      <alignment horizontal="center"/>
      <protection/>
    </xf>
    <xf numFmtId="4" fontId="52" fillId="8" borderId="23" xfId="0" applyNumberFormat="1" applyFont="1" applyFill="1" applyBorder="1" applyAlignment="1">
      <alignment horizontal="center"/>
    </xf>
    <xf numFmtId="0" fontId="53" fillId="8" borderId="23" xfId="0" applyFont="1" applyFill="1" applyBorder="1" applyAlignment="1" applyProtection="1">
      <alignment horizontal="center" vertical="center"/>
      <protection/>
    </xf>
    <xf numFmtId="0" fontId="52" fillId="8" borderId="6" xfId="0" applyFont="1" applyFill="1" applyBorder="1" applyAlignment="1">
      <alignment/>
    </xf>
    <xf numFmtId="0" fontId="52" fillId="8" borderId="3" xfId="0" applyFont="1" applyFill="1" applyBorder="1" applyAlignment="1">
      <alignment/>
    </xf>
    <xf numFmtId="4" fontId="52" fillId="8" borderId="3" xfId="0" applyNumberFormat="1" applyFont="1" applyFill="1" applyBorder="1" applyAlignment="1" applyProtection="1">
      <alignment horizontal="center"/>
      <protection/>
    </xf>
    <xf numFmtId="0" fontId="52" fillId="8" borderId="4" xfId="0" applyFont="1" applyFill="1" applyBorder="1" applyAlignment="1">
      <alignment/>
    </xf>
    <xf numFmtId="0" fontId="57" fillId="7" borderId="6" xfId="0" applyFont="1" applyFill="1" applyBorder="1" applyAlignment="1">
      <alignment/>
    </xf>
    <xf numFmtId="0" fontId="57" fillId="7" borderId="3" xfId="0" applyFont="1" applyFill="1" applyBorder="1" applyAlignment="1">
      <alignment/>
    </xf>
    <xf numFmtId="2" fontId="57" fillId="7" borderId="3" xfId="0" applyNumberFormat="1" applyFont="1" applyFill="1" applyBorder="1" applyAlignment="1">
      <alignment horizontal="center"/>
    </xf>
    <xf numFmtId="0" fontId="57" fillId="7" borderId="4" xfId="0" applyFont="1" applyFill="1" applyBorder="1" applyAlignment="1">
      <alignment/>
    </xf>
    <xf numFmtId="7" fontId="57" fillId="7" borderId="23" xfId="0" applyNumberFormat="1" applyFont="1" applyFill="1" applyBorder="1" applyAlignment="1">
      <alignment horizontal="center"/>
    </xf>
    <xf numFmtId="0" fontId="27" fillId="9" borderId="23" xfId="0" applyFont="1" applyFill="1" applyBorder="1" applyAlignment="1">
      <alignment horizontal="center" vertical="center" wrapText="1"/>
    </xf>
    <xf numFmtId="0" fontId="57" fillId="9" borderId="6" xfId="0" applyFont="1" applyFill="1" applyBorder="1" applyAlignment="1">
      <alignment/>
    </xf>
    <xf numFmtId="0" fontId="57" fillId="9" borderId="3" xfId="0" applyFont="1" applyFill="1" applyBorder="1" applyAlignment="1">
      <alignment/>
    </xf>
    <xf numFmtId="2" fontId="57" fillId="9" borderId="3" xfId="0" applyNumberFormat="1" applyFont="1" applyFill="1" applyBorder="1" applyAlignment="1">
      <alignment horizontal="center"/>
    </xf>
    <xf numFmtId="0" fontId="57" fillId="9" borderId="4" xfId="0" applyFont="1" applyFill="1" applyBorder="1" applyAlignment="1">
      <alignment/>
    </xf>
    <xf numFmtId="7" fontId="57" fillId="9" borderId="23" xfId="0" applyNumberFormat="1" applyFont="1" applyFill="1" applyBorder="1" applyAlignment="1">
      <alignment horizontal="center"/>
    </xf>
    <xf numFmtId="0" fontId="53" fillId="10" borderId="25" xfId="0" applyFont="1" applyFill="1" applyBorder="1" applyAlignment="1" applyProtection="1">
      <alignment horizontal="centerContinuous" vertical="center" wrapText="1"/>
      <protection/>
    </xf>
    <xf numFmtId="0" fontId="53" fillId="10" borderId="26" xfId="0" applyFont="1" applyFill="1" applyBorder="1" applyAlignment="1">
      <alignment horizontal="centerContinuous" vertical="center"/>
    </xf>
    <xf numFmtId="0" fontId="52" fillId="10" borderId="34" xfId="0" applyFont="1" applyFill="1" applyBorder="1" applyAlignment="1">
      <alignment horizontal="center"/>
    </xf>
    <xf numFmtId="0" fontId="52" fillId="10" borderId="36" xfId="0" applyFont="1" applyFill="1" applyBorder="1" applyAlignment="1">
      <alignment/>
    </xf>
    <xf numFmtId="0" fontId="52" fillId="10" borderId="37" xfId="0" applyFont="1" applyFill="1" applyBorder="1" applyAlignment="1">
      <alignment horizontal="center"/>
    </xf>
    <xf numFmtId="0" fontId="52" fillId="10" borderId="7" xfId="0" applyFont="1" applyFill="1" applyBorder="1" applyAlignment="1">
      <alignment/>
    </xf>
    <xf numFmtId="168" fontId="52" fillId="10" borderId="37" xfId="0" applyNumberFormat="1" applyFont="1" applyFill="1" applyBorder="1" applyAlignment="1" applyProtection="1" quotePrefix="1">
      <alignment horizontal="center"/>
      <protection/>
    </xf>
    <xf numFmtId="168" fontId="52" fillId="10" borderId="10" xfId="0" applyNumberFormat="1" applyFont="1" applyFill="1" applyBorder="1" applyAlignment="1" applyProtection="1" quotePrefix="1">
      <alignment horizontal="center"/>
      <protection/>
    </xf>
    <xf numFmtId="7" fontId="52" fillId="10" borderId="23" xfId="0" applyNumberFormat="1" applyFont="1" applyFill="1" applyBorder="1" applyAlignment="1">
      <alignment horizontal="center"/>
    </xf>
    <xf numFmtId="0" fontId="53" fillId="3" borderId="25" xfId="0" applyFont="1" applyFill="1" applyBorder="1" applyAlignment="1" applyProtection="1">
      <alignment horizontal="centerContinuous" vertical="center" wrapText="1"/>
      <protection/>
    </xf>
    <xf numFmtId="0" fontId="53" fillId="3" borderId="26" xfId="0" applyFont="1" applyFill="1" applyBorder="1" applyAlignment="1">
      <alignment horizontal="centerContinuous" vertical="center"/>
    </xf>
    <xf numFmtId="0" fontId="52" fillId="3" borderId="34" xfId="0" applyFont="1" applyFill="1" applyBorder="1" applyAlignment="1">
      <alignment horizontal="center"/>
    </xf>
    <xf numFmtId="0" fontId="52" fillId="3" borderId="36" xfId="0" applyFont="1" applyFill="1" applyBorder="1" applyAlignment="1">
      <alignment/>
    </xf>
    <xf numFmtId="0" fontId="52" fillId="3" borderId="37" xfId="0" applyFont="1" applyFill="1" applyBorder="1" applyAlignment="1">
      <alignment horizontal="center"/>
    </xf>
    <xf numFmtId="0" fontId="52" fillId="3" borderId="7" xfId="0" applyFont="1" applyFill="1" applyBorder="1" applyAlignment="1">
      <alignment/>
    </xf>
    <xf numFmtId="168" fontId="52" fillId="3" borderId="37" xfId="0" applyNumberFormat="1" applyFont="1" applyFill="1" applyBorder="1" applyAlignment="1" applyProtection="1" quotePrefix="1">
      <alignment horizontal="center"/>
      <protection/>
    </xf>
    <xf numFmtId="168" fontId="52" fillId="3" borderId="10" xfId="0" applyNumberFormat="1" applyFont="1" applyFill="1" applyBorder="1" applyAlignment="1" applyProtection="1" quotePrefix="1">
      <alignment horizontal="center"/>
      <protection/>
    </xf>
    <xf numFmtId="7" fontId="52" fillId="3" borderId="23" xfId="0" applyNumberFormat="1" applyFont="1" applyFill="1" applyBorder="1" applyAlignment="1">
      <alignment horizontal="center"/>
    </xf>
    <xf numFmtId="0" fontId="49" fillId="5" borderId="23" xfId="0" applyFont="1" applyFill="1" applyBorder="1" applyAlignment="1">
      <alignment horizontal="center" vertical="center" wrapText="1"/>
    </xf>
    <xf numFmtId="0" fontId="50" fillId="5" borderId="6" xfId="0" applyFont="1" applyFill="1" applyBorder="1" applyAlignment="1">
      <alignment/>
    </xf>
    <xf numFmtId="0" fontId="50" fillId="5" borderId="3" xfId="0" applyFont="1" applyFill="1" applyBorder="1" applyAlignment="1">
      <alignment/>
    </xf>
    <xf numFmtId="168" fontId="50" fillId="5" borderId="3" xfId="0" applyNumberFormat="1" applyFont="1" applyFill="1" applyBorder="1" applyAlignment="1" applyProtection="1" quotePrefix="1">
      <alignment horizontal="center"/>
      <protection/>
    </xf>
    <xf numFmtId="0" fontId="50" fillId="5" borderId="4" xfId="0" applyFont="1" applyFill="1" applyBorder="1" applyAlignment="1">
      <alignment/>
    </xf>
    <xf numFmtId="7" fontId="50" fillId="5" borderId="23" xfId="0" applyNumberFormat="1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 vertical="center" wrapText="1"/>
    </xf>
    <xf numFmtId="0" fontId="57" fillId="6" borderId="6" xfId="0" applyFont="1" applyFill="1" applyBorder="1" applyAlignment="1">
      <alignment/>
    </xf>
    <xf numFmtId="0" fontId="57" fillId="6" borderId="3" xfId="0" applyFont="1" applyFill="1" applyBorder="1" applyAlignment="1">
      <alignment/>
    </xf>
    <xf numFmtId="168" fontId="57" fillId="6" borderId="3" xfId="0" applyNumberFormat="1" applyFont="1" applyFill="1" applyBorder="1" applyAlignment="1" applyProtection="1" quotePrefix="1">
      <alignment horizontal="center"/>
      <protection/>
    </xf>
    <xf numFmtId="0" fontId="57" fillId="6" borderId="4" xfId="0" applyFont="1" applyFill="1" applyBorder="1" applyAlignment="1">
      <alignment/>
    </xf>
    <xf numFmtId="7" fontId="57" fillId="6" borderId="23" xfId="0" applyNumberFormat="1" applyFont="1" applyFill="1" applyBorder="1" applyAlignment="1">
      <alignment horizontal="center"/>
    </xf>
    <xf numFmtId="0" fontId="52" fillId="10" borderId="39" xfId="0" applyFont="1" applyFill="1" applyBorder="1" applyAlignment="1">
      <alignment/>
    </xf>
    <xf numFmtId="0" fontId="52" fillId="10" borderId="40" xfId="0" applyFont="1" applyFill="1" applyBorder="1" applyAlignment="1">
      <alignment/>
    </xf>
    <xf numFmtId="0" fontId="52" fillId="3" borderId="39" xfId="0" applyFont="1" applyFill="1" applyBorder="1" applyAlignment="1">
      <alignment/>
    </xf>
    <xf numFmtId="0" fontId="52" fillId="3" borderId="40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3" fillId="6" borderId="23" xfId="0" applyFont="1" applyFill="1" applyBorder="1" applyAlignment="1" applyProtection="1">
      <alignment horizontal="center" vertical="center"/>
      <protection/>
    </xf>
    <xf numFmtId="164" fontId="52" fillId="6" borderId="3" xfId="0" applyNumberFormat="1" applyFont="1" applyFill="1" applyBorder="1" applyAlignment="1" applyProtection="1">
      <alignment horizontal="center"/>
      <protection/>
    </xf>
    <xf numFmtId="168" fontId="7" fillId="0" borderId="36" xfId="0" applyNumberFormat="1" applyFont="1" applyFill="1" applyBorder="1" applyAlignment="1" applyProtection="1">
      <alignment horizontal="center"/>
      <protection/>
    </xf>
    <xf numFmtId="164" fontId="52" fillId="6" borderId="6" xfId="0" applyNumberFormat="1" applyFont="1" applyFill="1" applyBorder="1" applyAlignment="1" applyProtection="1">
      <alignment horizontal="center"/>
      <protection/>
    </xf>
    <xf numFmtId="168" fontId="10" fillId="0" borderId="6" xfId="0" applyNumberFormat="1" applyFont="1" applyFill="1" applyBorder="1" applyAlignment="1">
      <alignment horizontal="center"/>
    </xf>
    <xf numFmtId="2" fontId="57" fillId="5" borderId="6" xfId="0" applyNumberFormat="1" applyFont="1" applyFill="1" applyBorder="1" applyAlignment="1">
      <alignment horizontal="center"/>
    </xf>
    <xf numFmtId="2" fontId="57" fillId="5" borderId="3" xfId="0" applyNumberFormat="1" applyFont="1" applyFill="1" applyBorder="1" applyAlignment="1">
      <alignment horizontal="center"/>
    </xf>
    <xf numFmtId="168" fontId="52" fillId="3" borderId="34" xfId="0" applyNumberFormat="1" applyFont="1" applyFill="1" applyBorder="1" applyAlignment="1" applyProtection="1" quotePrefix="1">
      <alignment horizontal="center"/>
      <protection/>
    </xf>
    <xf numFmtId="168" fontId="52" fillId="3" borderId="41" xfId="0" applyNumberFormat="1" applyFont="1" applyFill="1" applyBorder="1" applyAlignment="1" applyProtection="1" quotePrefix="1">
      <alignment horizontal="center"/>
      <protection/>
    </xf>
    <xf numFmtId="168" fontId="7" fillId="0" borderId="6" xfId="0" applyNumberFormat="1" applyFont="1" applyFill="1" applyBorder="1" applyAlignment="1" applyProtection="1">
      <alignment horizontal="center"/>
      <protection/>
    </xf>
    <xf numFmtId="0" fontId="53" fillId="8" borderId="23" xfId="0" applyFont="1" applyFill="1" applyBorder="1" applyAlignment="1" applyProtection="1">
      <alignment horizontal="centerContinuous" vertical="center" wrapText="1"/>
      <protection/>
    </xf>
    <xf numFmtId="168" fontId="52" fillId="8" borderId="6" xfId="0" applyNumberFormat="1" applyFont="1" applyFill="1" applyBorder="1" applyAlignment="1" applyProtection="1" quotePrefix="1">
      <alignment horizontal="center"/>
      <protection/>
    </xf>
    <xf numFmtId="168" fontId="52" fillId="8" borderId="3" xfId="0" applyNumberFormat="1" applyFont="1" applyFill="1" applyBorder="1" applyAlignment="1" applyProtection="1" quotePrefix="1">
      <alignment horizontal="center"/>
      <protection/>
    </xf>
    <xf numFmtId="2" fontId="57" fillId="5" borderId="23" xfId="0" applyNumberFormat="1" applyFont="1" applyFill="1" applyBorder="1" applyAlignment="1">
      <alignment horizontal="center"/>
    </xf>
    <xf numFmtId="2" fontId="52" fillId="8" borderId="23" xfId="0" applyNumberFormat="1" applyFont="1" applyFill="1" applyBorder="1" applyAlignment="1">
      <alignment horizontal="center"/>
    </xf>
    <xf numFmtId="0" fontId="59" fillId="2" borderId="31" xfId="0" applyFont="1" applyFill="1" applyBorder="1" applyAlignment="1">
      <alignment horizontal="center"/>
    </xf>
    <xf numFmtId="168" fontId="59" fillId="2" borderId="9" xfId="0" applyNumberFormat="1" applyFont="1" applyFill="1" applyBorder="1" applyAlignment="1" applyProtection="1">
      <alignment horizontal="center"/>
      <protection/>
    </xf>
    <xf numFmtId="168" fontId="59" fillId="2" borderId="3" xfId="0" applyNumberFormat="1" applyFont="1" applyFill="1" applyBorder="1" applyAlignment="1" applyProtection="1">
      <alignment horizontal="center"/>
      <protection/>
    </xf>
    <xf numFmtId="168" fontId="59" fillId="2" borderId="4" xfId="0" applyNumberFormat="1" applyFont="1" applyFill="1" applyBorder="1" applyAlignment="1" applyProtection="1">
      <alignment horizontal="center"/>
      <protection/>
    </xf>
    <xf numFmtId="164" fontId="55" fillId="8" borderId="9" xfId="0" applyNumberFormat="1" applyFont="1" applyFill="1" applyBorder="1" applyAlignment="1" applyProtection="1">
      <alignment horizontal="center"/>
      <protection/>
    </xf>
    <xf numFmtId="2" fontId="57" fillId="9" borderId="9" xfId="0" applyNumberFormat="1" applyFont="1" applyFill="1" applyBorder="1" applyAlignment="1">
      <alignment horizontal="center"/>
    </xf>
    <xf numFmtId="4" fontId="57" fillId="9" borderId="23" xfId="0" applyNumberFormat="1" applyFont="1" applyFill="1" applyBorder="1" applyAlignment="1">
      <alignment horizontal="center"/>
    </xf>
    <xf numFmtId="0" fontId="55" fillId="8" borderId="6" xfId="0" applyFont="1" applyFill="1" applyBorder="1" applyAlignment="1">
      <alignment horizontal="center"/>
    </xf>
    <xf numFmtId="0" fontId="57" fillId="9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168" fontId="57" fillId="6" borderId="34" xfId="0" applyNumberFormat="1" applyFont="1" applyFill="1" applyBorder="1" applyAlignment="1" applyProtection="1" quotePrefix="1">
      <alignment horizontal="center"/>
      <protection/>
    </xf>
    <xf numFmtId="168" fontId="57" fillId="6" borderId="20" xfId="0" applyNumberFormat="1" applyFont="1" applyFill="1" applyBorder="1" applyAlignment="1" applyProtection="1" quotePrefix="1">
      <alignment horizontal="center"/>
      <protection/>
    </xf>
    <xf numFmtId="4" fontId="57" fillId="6" borderId="23" xfId="0" applyNumberFormat="1" applyFont="1" applyFill="1" applyBorder="1" applyAlignment="1">
      <alignment horizontal="center"/>
    </xf>
    <xf numFmtId="4" fontId="57" fillId="6" borderId="28" xfId="0" applyNumberFormat="1" applyFont="1" applyFill="1" applyBorder="1" applyAlignment="1">
      <alignment horizontal="center"/>
    </xf>
    <xf numFmtId="0" fontId="27" fillId="6" borderId="25" xfId="0" applyFont="1" applyFill="1" applyBorder="1" applyAlignment="1" applyProtection="1">
      <alignment horizontal="centerContinuous" vertical="center" wrapText="1"/>
      <protection/>
    </xf>
    <xf numFmtId="168" fontId="57" fillId="6" borderId="41" xfId="0" applyNumberFormat="1" applyFont="1" applyFill="1" applyBorder="1" applyAlignment="1" applyProtection="1" quotePrefix="1">
      <alignment horizontal="center"/>
      <protection/>
    </xf>
    <xf numFmtId="168" fontId="57" fillId="6" borderId="42" xfId="0" applyNumberFormat="1" applyFont="1" applyFill="1" applyBorder="1" applyAlignment="1" applyProtection="1" quotePrefix="1">
      <alignment horizontal="center"/>
      <protection/>
    </xf>
    <xf numFmtId="168" fontId="7" fillId="0" borderId="6" xfId="0" applyNumberFormat="1" applyFont="1" applyBorder="1" applyAlignment="1" applyProtection="1">
      <alignment horizontal="center"/>
      <protection/>
    </xf>
    <xf numFmtId="0" fontId="60" fillId="2" borderId="6" xfId="0" applyFont="1" applyFill="1" applyBorder="1" applyAlignment="1">
      <alignment/>
    </xf>
    <xf numFmtId="0" fontId="60" fillId="2" borderId="3" xfId="0" applyFont="1" applyFill="1" applyBorder="1" applyAlignment="1">
      <alignment/>
    </xf>
    <xf numFmtId="168" fontId="59" fillId="2" borderId="3" xfId="0" applyNumberFormat="1" applyFont="1" applyFill="1" applyBorder="1" applyAlignment="1" applyProtection="1">
      <alignment horizontal="center"/>
      <protection/>
    </xf>
    <xf numFmtId="168" fontId="59" fillId="2" borderId="4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>
      <alignment/>
    </xf>
    <xf numFmtId="168" fontId="57" fillId="5" borderId="6" xfId="0" applyNumberFormat="1" applyFont="1" applyFill="1" applyBorder="1" applyAlignment="1" applyProtection="1" quotePrefix="1">
      <alignment horizontal="center"/>
      <protection/>
    </xf>
    <xf numFmtId="168" fontId="57" fillId="5" borderId="9" xfId="0" applyNumberFormat="1" applyFont="1" applyFill="1" applyBorder="1" applyAlignment="1" applyProtection="1" quotePrefix="1">
      <alignment horizontal="center"/>
      <protection/>
    </xf>
    <xf numFmtId="4" fontId="57" fillId="5" borderId="28" xfId="0" applyNumberFormat="1" applyFont="1" applyFill="1" applyBorder="1" applyAlignment="1">
      <alignment horizontal="center"/>
    </xf>
    <xf numFmtId="173" fontId="0" fillId="0" borderId="26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8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7" fontId="0" fillId="0" borderId="6" xfId="0" applyNumberFormat="1" applyBorder="1" applyAlignment="1">
      <alignment/>
    </xf>
    <xf numFmtId="0" fontId="61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3" xfId="0" applyFont="1" applyBorder="1" applyAlignment="1" applyProtection="1">
      <alignment horizontal="left"/>
      <protection/>
    </xf>
    <xf numFmtId="171" fontId="0" fillId="0" borderId="44" xfId="0" applyNumberFormat="1" applyFont="1" applyBorder="1" applyAlignment="1" applyProtection="1">
      <alignment horizontal="centerContinuous"/>
      <protection/>
    </xf>
    <xf numFmtId="0" fontId="10" fillId="0" borderId="45" xfId="0" applyFont="1" applyBorder="1" applyAlignment="1">
      <alignment horizontal="centerContinuous"/>
    </xf>
    <xf numFmtId="0" fontId="10" fillId="0" borderId="46" xfId="0" applyFont="1" applyFill="1" applyBorder="1" applyAlignment="1">
      <alignment/>
    </xf>
    <xf numFmtId="0" fontId="10" fillId="0" borderId="47" xfId="0" applyFont="1" applyBorder="1" applyAlignment="1" applyProtection="1">
      <alignment horizontal="right"/>
      <protection/>
    </xf>
    <xf numFmtId="173" fontId="10" fillId="0" borderId="48" xfId="0" applyNumberFormat="1" applyFont="1" applyBorder="1" applyAlignment="1">
      <alignment horizontal="center"/>
    </xf>
    <xf numFmtId="0" fontId="0" fillId="0" borderId="49" xfId="0" applyFont="1" applyBorder="1" applyAlignment="1">
      <alignment/>
    </xf>
    <xf numFmtId="171" fontId="25" fillId="0" borderId="50" xfId="0" applyNumberFormat="1" applyFont="1" applyBorder="1" applyAlignment="1">
      <alignment horizontal="centerContinuous"/>
    </xf>
    <xf numFmtId="0" fontId="10" fillId="0" borderId="51" xfId="0" applyFont="1" applyBorder="1" applyAlignment="1">
      <alignment horizontal="centerContinuous"/>
    </xf>
    <xf numFmtId="0" fontId="10" fillId="0" borderId="52" xfId="0" applyFont="1" applyFill="1" applyBorder="1" applyAlignment="1">
      <alignment/>
    </xf>
    <xf numFmtId="168" fontId="10" fillId="0" borderId="53" xfId="0" applyNumberFormat="1" applyFont="1" applyBorder="1" applyAlignment="1" applyProtection="1">
      <alignment horizontal="right"/>
      <protection/>
    </xf>
    <xf numFmtId="171" fontId="10" fillId="0" borderId="54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171" fontId="25" fillId="0" borderId="53" xfId="0" applyNumberFormat="1" applyFont="1" applyBorder="1" applyAlignment="1">
      <alignment horizontal="centerContinuous"/>
    </xf>
    <xf numFmtId="0" fontId="10" fillId="0" borderId="56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7" xfId="0" applyNumberFormat="1" applyFont="1" applyBorder="1" applyAlignment="1">
      <alignment horizontal="center"/>
    </xf>
    <xf numFmtId="0" fontId="8" fillId="0" borderId="25" xfId="0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2" fontId="10" fillId="0" borderId="50" xfId="0" applyNumberFormat="1" applyFont="1" applyBorder="1" applyAlignment="1" applyProtection="1">
      <alignment horizontal="center"/>
      <protection/>
    </xf>
    <xf numFmtId="168" fontId="10" fillId="0" borderId="50" xfId="0" applyNumberFormat="1" applyFont="1" applyBorder="1" applyAlignment="1" applyProtection="1">
      <alignment horizontal="center"/>
      <protection/>
    </xf>
    <xf numFmtId="7" fontId="19" fillId="0" borderId="59" xfId="0" applyNumberFormat="1" applyFont="1" applyBorder="1" applyAlignment="1">
      <alignment horizontal="center"/>
    </xf>
    <xf numFmtId="0" fontId="10" fillId="0" borderId="60" xfId="0" applyFont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horizontal="center"/>
      <protection/>
    </xf>
    <xf numFmtId="2" fontId="10" fillId="0" borderId="61" xfId="0" applyNumberFormat="1" applyFont="1" applyBorder="1" applyAlignment="1" applyProtection="1">
      <alignment horizontal="center"/>
      <protection/>
    </xf>
    <xf numFmtId="168" fontId="10" fillId="0" borderId="61" xfId="0" applyNumberFormat="1" applyFont="1" applyBorder="1" applyAlignment="1" applyProtection="1">
      <alignment horizontal="center"/>
      <protection/>
    </xf>
    <xf numFmtId="7" fontId="10" fillId="0" borderId="61" xfId="0" applyNumberFormat="1" applyFont="1" applyBorder="1" applyAlignment="1" applyProtection="1">
      <alignment horizontal="center"/>
      <protection/>
    </xf>
    <xf numFmtId="7" fontId="10" fillId="0" borderId="61" xfId="0" applyNumberFormat="1" applyFont="1" applyBorder="1" applyAlignment="1" applyProtection="1">
      <alignment horizontal="centerContinuous"/>
      <protection/>
    </xf>
    <xf numFmtId="0" fontId="10" fillId="0" borderId="61" xfId="0" applyFont="1" applyBorder="1" applyAlignment="1" applyProtection="1">
      <alignment horizontal="centerContinuous"/>
      <protection/>
    </xf>
    <xf numFmtId="0" fontId="10" fillId="0" borderId="61" xfId="0" applyFont="1" applyBorder="1" applyAlignment="1" applyProtection="1">
      <alignment horizontal="right"/>
      <protection/>
    </xf>
    <xf numFmtId="7" fontId="10" fillId="0" borderId="62" xfId="0" applyNumberFormat="1" applyFont="1" applyBorder="1" applyAlignment="1" applyProtection="1">
      <alignment horizontal="center"/>
      <protection/>
    </xf>
    <xf numFmtId="0" fontId="10" fillId="0" borderId="63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2" fontId="10" fillId="0" borderId="57" xfId="0" applyNumberFormat="1" applyFont="1" applyBorder="1" applyAlignment="1" applyProtection="1">
      <alignment horizontal="center"/>
      <protection/>
    </xf>
    <xf numFmtId="168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right"/>
      <protection/>
    </xf>
    <xf numFmtId="7" fontId="10" fillId="0" borderId="64" xfId="0" applyNumberFormat="1" applyFont="1" applyBorder="1" applyAlignment="1" applyProtection="1">
      <alignment horizontal="center"/>
      <protection/>
    </xf>
    <xf numFmtId="7" fontId="10" fillId="0" borderId="59" xfId="0" applyNumberFormat="1" applyFont="1" applyBorder="1" applyAlignment="1" applyProtection="1">
      <alignment horizontal="center"/>
      <protection/>
    </xf>
    <xf numFmtId="0" fontId="0" fillId="0" borderId="58" xfId="0" applyBorder="1" applyAlignment="1">
      <alignment horizontal="centerContinuous"/>
    </xf>
    <xf numFmtId="0" fontId="10" fillId="0" borderId="50" xfId="0" applyFont="1" applyBorder="1" applyAlignment="1" applyProtection="1">
      <alignment horizontal="centerContinuous"/>
      <protection/>
    </xf>
    <xf numFmtId="0" fontId="0" fillId="0" borderId="50" xfId="0" applyBorder="1" applyAlignment="1">
      <alignment horizontal="center"/>
    </xf>
    <xf numFmtId="168" fontId="10" fillId="0" borderId="58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7" fontId="10" fillId="0" borderId="60" xfId="0" applyNumberFormat="1" applyFont="1" applyBorder="1" applyAlignment="1">
      <alignment horizontal="centerContinuous"/>
    </xf>
    <xf numFmtId="168" fontId="10" fillId="0" borderId="61" xfId="0" applyNumberFormat="1" applyFont="1" applyBorder="1" applyAlignment="1" applyProtection="1" quotePrefix="1">
      <alignment horizontal="center"/>
      <protection/>
    </xf>
    <xf numFmtId="7" fontId="10" fillId="0" borderId="60" xfId="0" applyNumberFormat="1" applyFont="1" applyBorder="1" applyAlignment="1" applyProtection="1">
      <alignment horizontal="centerContinuous"/>
      <protection/>
    </xf>
    <xf numFmtId="2" fontId="22" fillId="0" borderId="66" xfId="0" applyNumberFormat="1" applyFont="1" applyBorder="1" applyAlignment="1">
      <alignment horizontal="centerContinuous"/>
    </xf>
    <xf numFmtId="0" fontId="10" fillId="0" borderId="67" xfId="0" applyFont="1" applyBorder="1" applyAlignment="1" applyProtection="1">
      <alignment horizontal="center"/>
      <protection/>
    </xf>
    <xf numFmtId="7" fontId="10" fillId="0" borderId="68" xfId="0" applyNumberFormat="1" applyFont="1" applyBorder="1" applyAlignment="1" applyProtection="1">
      <alignment horizontal="center"/>
      <protection/>
    </xf>
    <xf numFmtId="7" fontId="10" fillId="0" borderId="67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7" xfId="0" applyNumberFormat="1" applyFont="1" applyBorder="1" applyAlignment="1" applyProtection="1">
      <alignment horizontal="centerContinuous"/>
      <protection/>
    </xf>
    <xf numFmtId="2" fontId="22" fillId="0" borderId="69" xfId="0" applyNumberFormat="1" applyFont="1" applyBorder="1" applyAlignment="1">
      <alignment horizontal="centerContinuous"/>
    </xf>
    <xf numFmtId="7" fontId="10" fillId="0" borderId="63" xfId="0" applyNumberFormat="1" applyFont="1" applyBorder="1" applyAlignment="1">
      <alignment horizontal="centerContinuous"/>
    </xf>
    <xf numFmtId="168" fontId="10" fillId="0" borderId="57" xfId="0" applyNumberFormat="1" applyFont="1" applyBorder="1" applyAlignment="1" applyProtection="1" quotePrefix="1">
      <alignment horizontal="center"/>
      <protection/>
    </xf>
    <xf numFmtId="7" fontId="10" fillId="0" borderId="63" xfId="0" applyNumberFormat="1" applyFont="1" applyBorder="1" applyAlignment="1" applyProtection="1">
      <alignment horizontal="centerContinuous"/>
      <protection/>
    </xf>
    <xf numFmtId="2" fontId="22" fillId="0" borderId="38" xfId="0" applyNumberFormat="1" applyFont="1" applyBorder="1" applyAlignment="1">
      <alignment horizontal="centerContinuous"/>
    </xf>
    <xf numFmtId="7" fontId="10" fillId="0" borderId="58" xfId="0" applyNumberFormat="1" applyFont="1" applyBorder="1" applyAlignment="1" applyProtection="1">
      <alignment horizontal="centerContinuous"/>
      <protection/>
    </xf>
    <xf numFmtId="5" fontId="8" fillId="0" borderId="25" xfId="0" applyNumberFormat="1" applyFont="1" applyBorder="1" applyAlignment="1" applyProtection="1">
      <alignment horizontal="center"/>
      <protection/>
    </xf>
    <xf numFmtId="7" fontId="8" fillId="0" borderId="26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5" fillId="0" borderId="26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6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61" xfId="0" applyNumberFormat="1" applyFont="1" applyBorder="1" applyAlignment="1" applyProtection="1">
      <alignment horizontal="centerContinuous"/>
      <protection/>
    </xf>
    <xf numFmtId="2" fontId="10" fillId="0" borderId="66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9" xfId="0" applyNumberFormat="1" applyFont="1" applyBorder="1" applyAlignment="1" applyProtection="1">
      <alignment horizontal="centerContinuous"/>
      <protection/>
    </xf>
    <xf numFmtId="2" fontId="10" fillId="0" borderId="57" xfId="0" applyNumberFormat="1" applyFont="1" applyBorder="1" applyAlignment="1" applyProtection="1">
      <alignment horizontal="centerContinuous"/>
      <protection/>
    </xf>
    <xf numFmtId="2" fontId="10" fillId="0" borderId="38" xfId="0" applyNumberFormat="1" applyFont="1" applyBorder="1" applyAlignment="1" applyProtection="1">
      <alignment horizontal="centerContinuous"/>
      <protection/>
    </xf>
    <xf numFmtId="0" fontId="61" fillId="0" borderId="0" xfId="0" applyFont="1" applyFill="1" applyAlignment="1">
      <alignment horizontal="right" vertical="top"/>
    </xf>
    <xf numFmtId="0" fontId="0" fillId="0" borderId="25" xfId="0" applyFont="1" applyBorder="1" applyAlignment="1" applyProtection="1">
      <alignment horizontal="center" vertical="center"/>
      <protection/>
    </xf>
    <xf numFmtId="173" fontId="0" fillId="0" borderId="25" xfId="0" applyNumberFormat="1" applyFont="1" applyBorder="1" applyAlignment="1">
      <alignment horizontal="centerContinuous" vertical="center"/>
    </xf>
    <xf numFmtId="0" fontId="1" fillId="0" borderId="26" xfId="0" applyFont="1" applyBorder="1" applyAlignment="1" applyProtection="1">
      <alignment horizontal="centerContinuous" vertical="center"/>
      <protection/>
    </xf>
    <xf numFmtId="167" fontId="0" fillId="0" borderId="26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2" fontId="7" fillId="0" borderId="42" xfId="0" applyNumberFormat="1" applyFont="1" applyBorder="1" applyAlignment="1" applyProtection="1">
      <alignment horizontal="center"/>
      <protection locked="0"/>
    </xf>
    <xf numFmtId="0" fontId="7" fillId="0" borderId="70" xfId="0" applyFont="1" applyBorder="1" applyAlignment="1" applyProtection="1">
      <alignment/>
      <protection locked="0"/>
    </xf>
    <xf numFmtId="0" fontId="7" fillId="0" borderId="71" xfId="0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52" fillId="3" borderId="4" xfId="0" applyNumberFormat="1" applyFont="1" applyFill="1" applyBorder="1" applyAlignment="1" applyProtection="1" quotePrefix="1">
      <alignment horizontal="center"/>
      <protection locked="0"/>
    </xf>
    <xf numFmtId="168" fontId="52" fillId="4" borderId="4" xfId="0" applyNumberFormat="1" applyFont="1" applyFill="1" applyBorder="1" applyAlignment="1" applyProtection="1" quotePrefix="1">
      <alignment horizontal="center"/>
      <protection locked="0"/>
    </xf>
    <xf numFmtId="168" fontId="57" fillId="5" borderId="39" xfId="0" applyNumberFormat="1" applyFont="1" applyFill="1" applyBorder="1" applyAlignment="1" applyProtection="1" quotePrefix="1">
      <alignment horizontal="center"/>
      <protection locked="0"/>
    </xf>
    <xf numFmtId="4" fontId="57" fillId="5" borderId="72" xfId="0" applyNumberFormat="1" applyFont="1" applyFill="1" applyBorder="1" applyAlignment="1" applyProtection="1">
      <alignment horizontal="center"/>
      <protection locked="0"/>
    </xf>
    <xf numFmtId="4" fontId="57" fillId="5" borderId="22" xfId="0" applyNumberFormat="1" applyFont="1" applyFill="1" applyBorder="1" applyAlignment="1" applyProtection="1">
      <alignment horizontal="center"/>
      <protection locked="0"/>
    </xf>
    <xf numFmtId="168" fontId="57" fillId="6" borderId="39" xfId="0" applyNumberFormat="1" applyFont="1" applyFill="1" applyBorder="1" applyAlignment="1" applyProtection="1" quotePrefix="1">
      <alignment horizontal="center"/>
      <protection locked="0"/>
    </xf>
    <xf numFmtId="4" fontId="57" fillId="6" borderId="72" xfId="0" applyNumberFormat="1" applyFont="1" applyFill="1" applyBorder="1" applyAlignment="1" applyProtection="1">
      <alignment horizontal="center"/>
      <protection locked="0"/>
    </xf>
    <xf numFmtId="4" fontId="57" fillId="6" borderId="22" xfId="0" applyNumberFormat="1" applyFont="1" applyFill="1" applyBorder="1" applyAlignment="1" applyProtection="1">
      <alignment horizontal="center"/>
      <protection locked="0"/>
    </xf>
    <xf numFmtId="4" fontId="57" fillId="7" borderId="4" xfId="0" applyNumberFormat="1" applyFont="1" applyFill="1" applyBorder="1" applyAlignment="1" applyProtection="1">
      <alignment horizontal="center"/>
      <protection locked="0"/>
    </xf>
    <xf numFmtId="4" fontId="52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4" fillId="3" borderId="3" xfId="0" applyFont="1" applyFill="1" applyBorder="1" applyAlignment="1" applyProtection="1">
      <alignment/>
      <protection locked="0"/>
    </xf>
    <xf numFmtId="0" fontId="54" fillId="4" borderId="3" xfId="0" applyFont="1" applyFill="1" applyBorder="1" applyAlignment="1" applyProtection="1">
      <alignment/>
      <protection locked="0"/>
    </xf>
    <xf numFmtId="0" fontId="56" fillId="5" borderId="37" xfId="0" applyFont="1" applyFill="1" applyBorder="1" applyAlignment="1" applyProtection="1">
      <alignment horizontal="center"/>
      <protection locked="0"/>
    </xf>
    <xf numFmtId="0" fontId="56" fillId="5" borderId="38" xfId="0" applyFont="1" applyFill="1" applyBorder="1" applyAlignment="1" applyProtection="1">
      <alignment/>
      <protection locked="0"/>
    </xf>
    <xf numFmtId="0" fontId="56" fillId="5" borderId="7" xfId="0" applyFont="1" applyFill="1" applyBorder="1" applyAlignment="1" applyProtection="1">
      <alignment/>
      <protection locked="0"/>
    </xf>
    <xf numFmtId="0" fontId="56" fillId="6" borderId="37" xfId="0" applyFont="1" applyFill="1" applyBorder="1" applyAlignment="1" applyProtection="1">
      <alignment horizontal="center"/>
      <protection locked="0"/>
    </xf>
    <xf numFmtId="0" fontId="56" fillId="6" borderId="38" xfId="0" applyFont="1" applyFill="1" applyBorder="1" applyAlignment="1" applyProtection="1">
      <alignment/>
      <protection locked="0"/>
    </xf>
    <xf numFmtId="0" fontId="56" fillId="6" borderId="7" xfId="0" applyFont="1" applyFill="1" applyBorder="1" applyAlignment="1" applyProtection="1">
      <alignment/>
      <protection locked="0"/>
    </xf>
    <xf numFmtId="0" fontId="56" fillId="7" borderId="3" xfId="0" applyFont="1" applyFill="1" applyBorder="1" applyAlignment="1" applyProtection="1">
      <alignment/>
      <protection locked="0"/>
    </xf>
    <xf numFmtId="0" fontId="54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9" xfId="0" applyNumberFormat="1" applyFont="1" applyBorder="1" applyAlignment="1" applyProtection="1" quotePrefix="1">
      <alignment horizontal="center"/>
      <protection locked="0"/>
    </xf>
    <xf numFmtId="2" fontId="7" fillId="0" borderId="9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52" fillId="8" borderId="4" xfId="0" applyFont="1" applyFill="1" applyBorder="1" applyAlignment="1" applyProtection="1">
      <alignment/>
      <protection locked="0"/>
    </xf>
    <xf numFmtId="0" fontId="52" fillId="3" borderId="39" xfId="0" applyFont="1" applyFill="1" applyBorder="1" applyAlignment="1" applyProtection="1">
      <alignment/>
      <protection locked="0"/>
    </xf>
    <xf numFmtId="0" fontId="52" fillId="3" borderId="40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172" fontId="7" fillId="0" borderId="3" xfId="0" applyNumberFormat="1" applyFont="1" applyFill="1" applyBorder="1" applyAlignment="1" applyProtection="1">
      <alignment horizontal="center"/>
      <protection locked="0"/>
    </xf>
    <xf numFmtId="22" fontId="7" fillId="0" borderId="9" xfId="0" applyNumberFormat="1" applyFont="1" applyFill="1" applyBorder="1" applyAlignment="1" applyProtection="1">
      <alignment horizontal="center"/>
      <protection locked="0"/>
    </xf>
    <xf numFmtId="22" fontId="7" fillId="0" borderId="10" xfId="0" applyNumberFormat="1" applyFont="1" applyFill="1" applyBorder="1" applyAlignment="1" applyProtection="1">
      <alignment horizontal="center"/>
      <protection locked="0"/>
    </xf>
    <xf numFmtId="168" fontId="7" fillId="0" borderId="7" xfId="0" applyNumberFormat="1" applyFont="1" applyFill="1" applyBorder="1" applyAlignment="1" applyProtection="1">
      <alignment horizontal="center"/>
      <protection locked="0"/>
    </xf>
    <xf numFmtId="0" fontId="52" fillId="6" borderId="4" xfId="0" applyFont="1" applyFill="1" applyBorder="1" applyAlignment="1" applyProtection="1">
      <alignment/>
      <protection locked="0"/>
    </xf>
    <xf numFmtId="0" fontId="57" fillId="5" borderId="4" xfId="0" applyFont="1" applyFill="1" applyBorder="1" applyAlignment="1" applyProtection="1">
      <alignment/>
      <protection locked="0"/>
    </xf>
    <xf numFmtId="172" fontId="9" fillId="0" borderId="3" xfId="0" applyNumberFormat="1" applyFont="1" applyFill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3" fillId="0" borderId="70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22" fontId="7" fillId="0" borderId="37" xfId="0" applyNumberFormat="1" applyFont="1" applyBorder="1" applyAlignment="1" applyProtection="1">
      <alignment horizontal="center"/>
      <protection locked="0"/>
    </xf>
    <xf numFmtId="22" fontId="7" fillId="0" borderId="5" xfId="0" applyNumberFormat="1" applyFont="1" applyBorder="1" applyAlignment="1" applyProtection="1">
      <alignment horizontal="center"/>
      <protection locked="0"/>
    </xf>
    <xf numFmtId="168" fontId="7" fillId="0" borderId="22" xfId="0" applyNumberFormat="1" applyFont="1" applyBorder="1" applyAlignment="1" applyProtection="1">
      <alignment horizontal="center"/>
      <protection locked="0"/>
    </xf>
    <xf numFmtId="168" fontId="7" fillId="0" borderId="7" xfId="0" applyNumberFormat="1" applyFont="1" applyBorder="1" applyAlignment="1" applyProtection="1">
      <alignment horizontal="center"/>
      <protection locked="0"/>
    </xf>
    <xf numFmtId="164" fontId="55" fillId="8" borderId="4" xfId="0" applyNumberFormat="1" applyFont="1" applyFill="1" applyBorder="1" applyAlignment="1" applyProtection="1">
      <alignment horizontal="center"/>
      <protection locked="0"/>
    </xf>
    <xf numFmtId="2" fontId="57" fillId="9" borderId="4" xfId="0" applyNumberFormat="1" applyFont="1" applyFill="1" applyBorder="1" applyAlignment="1" applyProtection="1">
      <alignment horizontal="center"/>
      <protection locked="0"/>
    </xf>
    <xf numFmtId="168" fontId="57" fillId="6" borderId="40" xfId="0" applyNumberFormat="1" applyFont="1" applyFill="1" applyBorder="1" applyAlignment="1" applyProtection="1" quotePrefix="1">
      <alignment horizontal="center"/>
      <protection locked="0"/>
    </xf>
    <xf numFmtId="168" fontId="57" fillId="5" borderId="4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168" fontId="11" fillId="0" borderId="50" xfId="0" applyNumberFormat="1" applyFont="1" applyBorder="1" applyAlignment="1" applyProtection="1">
      <alignment horizontal="center"/>
      <protection/>
    </xf>
    <xf numFmtId="168" fontId="64" fillId="0" borderId="0" xfId="0" applyNumberFormat="1" applyFont="1" applyBorder="1" applyAlignment="1" applyProtection="1" quotePrefix="1">
      <alignment horizontal="left"/>
      <protection/>
    </xf>
    <xf numFmtId="168" fontId="64" fillId="0" borderId="61" xfId="0" applyNumberFormat="1" applyFont="1" applyBorder="1" applyAlignment="1" applyProtection="1" quotePrefix="1">
      <alignment horizontal="left"/>
      <protection/>
    </xf>
    <xf numFmtId="168" fontId="64" fillId="0" borderId="57" xfId="0" applyNumberFormat="1" applyFont="1" applyBorder="1" applyAlignment="1" applyProtection="1" quotePrefix="1">
      <alignment horizontal="left"/>
      <protection/>
    </xf>
    <xf numFmtId="168" fontId="11" fillId="0" borderId="50" xfId="0" applyNumberFormat="1" applyFont="1" applyBorder="1" applyAlignment="1" applyProtection="1">
      <alignment horizontal="left"/>
      <protection/>
    </xf>
    <xf numFmtId="177" fontId="11" fillId="0" borderId="50" xfId="0" applyNumberFormat="1" applyFont="1" applyBorder="1" applyAlignment="1" applyProtection="1">
      <alignment horizontal="right"/>
      <protection/>
    </xf>
    <xf numFmtId="177" fontId="11" fillId="0" borderId="59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73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3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52" fillId="3" borderId="3" xfId="0" applyNumberFormat="1" applyFont="1" applyFill="1" applyBorder="1" applyAlignment="1" applyProtection="1">
      <alignment horizontal="center"/>
      <protection/>
    </xf>
    <xf numFmtId="2" fontId="52" fillId="4" borderId="3" xfId="0" applyNumberFormat="1" applyFont="1" applyFill="1" applyBorder="1" applyAlignment="1" applyProtection="1">
      <alignment horizontal="center"/>
      <protection/>
    </xf>
    <xf numFmtId="168" fontId="57" fillId="5" borderId="37" xfId="0" applyNumberFormat="1" applyFont="1" applyFill="1" applyBorder="1" applyAlignment="1" applyProtection="1" quotePrefix="1">
      <alignment horizontal="center"/>
      <protection/>
    </xf>
    <xf numFmtId="168" fontId="57" fillId="5" borderId="38" xfId="0" applyNumberFormat="1" applyFont="1" applyFill="1" applyBorder="1" applyAlignment="1" applyProtection="1" quotePrefix="1">
      <alignment horizontal="center"/>
      <protection/>
    </xf>
    <xf numFmtId="4" fontId="57" fillId="5" borderId="7" xfId="0" applyNumberFormat="1" applyFont="1" applyFill="1" applyBorder="1" applyAlignment="1" applyProtection="1">
      <alignment horizontal="center"/>
      <protection/>
    </xf>
    <xf numFmtId="168" fontId="57" fillId="6" borderId="37" xfId="0" applyNumberFormat="1" applyFont="1" applyFill="1" applyBorder="1" applyAlignment="1" applyProtection="1" quotePrefix="1">
      <alignment horizontal="center"/>
      <protection/>
    </xf>
    <xf numFmtId="168" fontId="57" fillId="6" borderId="38" xfId="0" applyNumberFormat="1" applyFont="1" applyFill="1" applyBorder="1" applyAlignment="1" applyProtection="1" quotePrefix="1">
      <alignment horizontal="center"/>
      <protection/>
    </xf>
    <xf numFmtId="4" fontId="57" fillId="6" borderId="7" xfId="0" applyNumberFormat="1" applyFont="1" applyFill="1" applyBorder="1" applyAlignment="1" applyProtection="1">
      <alignment horizontal="center"/>
      <protection/>
    </xf>
    <xf numFmtId="4" fontId="57" fillId="7" borderId="3" xfId="0" applyNumberFormat="1" applyFont="1" applyFill="1" applyBorder="1" applyAlignment="1" applyProtection="1">
      <alignment horizontal="center"/>
      <protection/>
    </xf>
    <xf numFmtId="4" fontId="52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7" fillId="5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164" fontId="55" fillId="8" borderId="3" xfId="0" applyNumberFormat="1" applyFont="1" applyFill="1" applyBorder="1" applyAlignment="1" applyProtection="1">
      <alignment horizontal="center"/>
      <protection/>
    </xf>
    <xf numFmtId="2" fontId="57" fillId="9" borderId="3" xfId="0" applyNumberFormat="1" applyFont="1" applyFill="1" applyBorder="1" applyAlignment="1" applyProtection="1">
      <alignment horizontal="center"/>
      <protection/>
    </xf>
    <xf numFmtId="168" fontId="57" fillId="6" borderId="10" xfId="0" applyNumberFormat="1" applyFont="1" applyFill="1" applyBorder="1" applyAlignment="1" applyProtection="1" quotePrefix="1">
      <alignment horizontal="center"/>
      <protection/>
    </xf>
    <xf numFmtId="168" fontId="57" fillId="5" borderId="3" xfId="0" applyNumberFormat="1" applyFont="1" applyFill="1" applyBorder="1" applyAlignment="1" applyProtection="1" quotePrefix="1">
      <alignment horizontal="center"/>
      <protection/>
    </xf>
    <xf numFmtId="0" fontId="55" fillId="0" borderId="0" xfId="0" applyFont="1" applyBorder="1" applyAlignment="1">
      <alignment/>
    </xf>
    <xf numFmtId="0" fontId="55" fillId="0" borderId="1" xfId="0" applyFont="1" applyBorder="1" applyAlignment="1">
      <alignment/>
    </xf>
    <xf numFmtId="0" fontId="55" fillId="0" borderId="74" xfId="0" applyFont="1" applyBorder="1" applyAlignment="1">
      <alignment/>
    </xf>
    <xf numFmtId="0" fontId="55" fillId="0" borderId="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1" xfId="0" applyFont="1" applyFill="1" applyBorder="1" applyAlignment="1">
      <alignment/>
    </xf>
    <xf numFmtId="0" fontId="55" fillId="0" borderId="74" xfId="0" applyFont="1" applyFill="1" applyBorder="1" applyAlignment="1">
      <alignment/>
    </xf>
    <xf numFmtId="0" fontId="55" fillId="0" borderId="2" xfId="0" applyFont="1" applyFill="1" applyBorder="1" applyAlignment="1">
      <alignment/>
    </xf>
    <xf numFmtId="165" fontId="7" fillId="0" borderId="9" xfId="0" applyNumberFormat="1" applyFont="1" applyBorder="1" applyAlignment="1" applyProtection="1">
      <alignment horizontal="center"/>
      <protection locked="0"/>
    </xf>
    <xf numFmtId="0" fontId="71" fillId="0" borderId="0" xfId="0" applyFont="1" applyBorder="1" applyAlignment="1">
      <alignment horizontal="left"/>
    </xf>
    <xf numFmtId="0" fontId="71" fillId="0" borderId="27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71" fillId="0" borderId="70" xfId="0" applyFont="1" applyBorder="1" applyAlignment="1" applyProtection="1">
      <alignment/>
      <protection locked="0"/>
    </xf>
    <xf numFmtId="0" fontId="73" fillId="0" borderId="0" xfId="0" applyFont="1" applyAlignment="1">
      <alignment/>
    </xf>
    <xf numFmtId="0" fontId="73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4" fillId="0" borderId="0" xfId="0" applyFont="1" applyBorder="1" applyAlignment="1">
      <alignment horizontal="centerContinuous"/>
    </xf>
    <xf numFmtId="0" fontId="75" fillId="0" borderId="0" xfId="0" applyFont="1" applyBorder="1" applyAlignment="1" applyProtection="1">
      <alignment horizontal="left"/>
      <protection/>
    </xf>
    <xf numFmtId="0" fontId="76" fillId="0" borderId="0" xfId="0" applyFont="1" applyBorder="1" applyAlignment="1" applyProtection="1">
      <alignment horizontal="centerContinuous"/>
      <protection/>
    </xf>
    <xf numFmtId="0" fontId="76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7" fillId="0" borderId="12" xfId="0" applyFont="1" applyBorder="1" applyAlignment="1">
      <alignment/>
    </xf>
    <xf numFmtId="0" fontId="0" fillId="0" borderId="13" xfId="0" applyBorder="1" applyAlignment="1">
      <alignment/>
    </xf>
    <xf numFmtId="0" fontId="7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74" xfId="0" applyBorder="1" applyAlignment="1">
      <alignment/>
    </xf>
    <xf numFmtId="0" fontId="77" fillId="0" borderId="0" xfId="0" applyFont="1" applyBorder="1" applyAlignment="1" applyProtection="1">
      <alignment horizontal="center"/>
      <protection/>
    </xf>
    <xf numFmtId="0" fontId="77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1" borderId="70" xfId="0" applyFont="1" applyFill="1" applyBorder="1" applyAlignment="1">
      <alignment horizontal="centerContinuous" vertical="center"/>
    </xf>
    <xf numFmtId="0" fontId="78" fillId="11" borderId="75" xfId="0" applyFont="1" applyFill="1" applyBorder="1" applyAlignment="1" applyProtection="1">
      <alignment horizontal="centerContinuous" vertical="center"/>
      <protection/>
    </xf>
    <xf numFmtId="0" fontId="78" fillId="11" borderId="75" xfId="0" applyFont="1" applyFill="1" applyBorder="1" applyAlignment="1" applyProtection="1">
      <alignment horizontal="centerContinuous" vertical="center" wrapText="1"/>
      <protection/>
    </xf>
    <xf numFmtId="168" fontId="78" fillId="11" borderId="23" xfId="0" applyNumberFormat="1" applyFont="1" applyFill="1" applyBorder="1" applyAlignment="1" applyProtection="1">
      <alignment horizontal="centerContinuous" vertical="center" wrapText="1"/>
      <protection/>
    </xf>
    <xf numFmtId="17" fontId="78" fillId="11" borderId="2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12" borderId="5" xfId="0" applyFont="1" applyFill="1" applyBorder="1" applyAlignment="1">
      <alignment/>
    </xf>
    <xf numFmtId="0" fontId="77" fillId="12" borderId="76" xfId="0" applyFont="1" applyFill="1" applyBorder="1" applyAlignment="1">
      <alignment/>
    </xf>
    <xf numFmtId="0" fontId="77" fillId="12" borderId="31" xfId="0" applyFont="1" applyFill="1" applyBorder="1" applyAlignment="1">
      <alignment/>
    </xf>
    <xf numFmtId="0" fontId="0" fillId="13" borderId="73" xfId="0" applyFont="1" applyFill="1" applyBorder="1" applyAlignment="1">
      <alignment/>
    </xf>
    <xf numFmtId="0" fontId="0" fillId="0" borderId="73" xfId="0" applyBorder="1" applyAlignment="1">
      <alignment/>
    </xf>
    <xf numFmtId="0" fontId="7" fillId="12" borderId="5" xfId="0" applyFont="1" applyFill="1" applyBorder="1" applyAlignment="1">
      <alignment horizontal="center"/>
    </xf>
    <xf numFmtId="0" fontId="7" fillId="12" borderId="20" xfId="0" applyFont="1" applyFill="1" applyBorder="1" applyAlignment="1" applyProtection="1">
      <alignment horizontal="center"/>
      <protection/>
    </xf>
    <xf numFmtId="2" fontId="7" fillId="12" borderId="9" xfId="0" applyNumberFormat="1" applyFont="1" applyFill="1" applyBorder="1" applyAlignment="1" applyProtection="1">
      <alignment horizontal="center"/>
      <protection/>
    </xf>
    <xf numFmtId="1" fontId="7" fillId="13" borderId="77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10" fillId="14" borderId="5" xfId="0" applyFont="1" applyFill="1" applyBorder="1" applyAlignment="1">
      <alignment horizontal="center"/>
    </xf>
    <xf numFmtId="0" fontId="10" fillId="14" borderId="20" xfId="0" applyFont="1" applyFill="1" applyBorder="1" applyAlignment="1" applyProtection="1">
      <alignment horizontal="center"/>
      <protection/>
    </xf>
    <xf numFmtId="2" fontId="10" fillId="14" borderId="9" xfId="0" applyNumberFormat="1" applyFont="1" applyFill="1" applyBorder="1" applyAlignment="1" applyProtection="1">
      <alignment horizontal="center"/>
      <protection/>
    </xf>
    <xf numFmtId="0" fontId="10" fillId="12" borderId="5" xfId="0" applyFont="1" applyFill="1" applyBorder="1" applyAlignment="1">
      <alignment horizontal="center"/>
    </xf>
    <xf numFmtId="0" fontId="10" fillId="12" borderId="20" xfId="0" applyFont="1" applyFill="1" applyBorder="1" applyAlignment="1" applyProtection="1">
      <alignment horizontal="center"/>
      <protection/>
    </xf>
    <xf numFmtId="2" fontId="10" fillId="12" borderId="9" xfId="0" applyNumberFormat="1" applyFont="1" applyFill="1" applyBorder="1" applyAlignment="1" applyProtection="1">
      <alignment horizontal="center"/>
      <protection/>
    </xf>
    <xf numFmtId="0" fontId="7" fillId="12" borderId="70" xfId="0" applyFont="1" applyFill="1" applyBorder="1" applyAlignment="1">
      <alignment horizontal="center"/>
    </xf>
    <xf numFmtId="0" fontId="7" fillId="12" borderId="78" xfId="0" applyFont="1" applyFill="1" applyBorder="1" applyAlignment="1" applyProtection="1">
      <alignment horizontal="left"/>
      <protection/>
    </xf>
    <xf numFmtId="0" fontId="7" fillId="12" borderId="78" xfId="0" applyFont="1" applyFill="1" applyBorder="1" applyAlignment="1" applyProtection="1">
      <alignment horizontal="center"/>
      <protection/>
    </xf>
    <xf numFmtId="2" fontId="7" fillId="12" borderId="71" xfId="0" applyNumberFormat="1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right"/>
      <protection/>
    </xf>
    <xf numFmtId="168" fontId="5" fillId="0" borderId="71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2" borderId="23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13" borderId="23" xfId="0" applyNumberFormat="1" applyFont="1" applyFill="1" applyBorder="1" applyAlignment="1">
      <alignment horizontal="center"/>
    </xf>
    <xf numFmtId="0" fontId="7" fillId="12" borderId="79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9" fillId="0" borderId="1" xfId="0" applyFont="1" applyBorder="1" applyAlignment="1">
      <alignment/>
    </xf>
    <xf numFmtId="0" fontId="0" fillId="13" borderId="7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Border="1" applyAlignment="1">
      <alignment/>
    </xf>
    <xf numFmtId="2" fontId="80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1" fontId="0" fillId="0" borderId="26" xfId="0" applyNumberFormat="1" applyFont="1" applyFill="1" applyBorder="1" applyAlignment="1">
      <alignment horizontal="center"/>
    </xf>
    <xf numFmtId="0" fontId="79" fillId="0" borderId="14" xfId="0" applyFont="1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15" borderId="0" xfId="0" applyFill="1" applyBorder="1" applyAlignment="1">
      <alignment/>
    </xf>
    <xf numFmtId="0" fontId="0" fillId="15" borderId="1" xfId="0" applyFill="1" applyBorder="1" applyAlignment="1">
      <alignment/>
    </xf>
    <xf numFmtId="0" fontId="7" fillId="15" borderId="3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21" xfId="0" applyFont="1" applyFill="1" applyBorder="1" applyAlignment="1" applyProtection="1">
      <alignment horizontal="center"/>
      <protection locked="0"/>
    </xf>
    <xf numFmtId="2" fontId="7" fillId="15" borderId="42" xfId="0" applyNumberFormat="1" applyFont="1" applyFill="1" applyBorder="1" applyAlignment="1" applyProtection="1">
      <alignment horizontal="center"/>
      <protection locked="0"/>
    </xf>
    <xf numFmtId="168" fontId="48" fillId="15" borderId="3" xfId="0" applyNumberFormat="1" applyFont="1" applyFill="1" applyBorder="1" applyAlignment="1" applyProtection="1">
      <alignment horizontal="center"/>
      <protection/>
    </xf>
    <xf numFmtId="22" fontId="7" fillId="15" borderId="3" xfId="0" applyNumberFormat="1" applyFont="1" applyFill="1" applyBorder="1" applyAlignment="1" applyProtection="1">
      <alignment horizontal="center"/>
      <protection locked="0"/>
    </xf>
    <xf numFmtId="2" fontId="7" fillId="15" borderId="3" xfId="0" applyNumberFormat="1" applyFont="1" applyFill="1" applyBorder="1" applyAlignment="1" applyProtection="1">
      <alignment horizontal="center"/>
      <protection/>
    </xf>
    <xf numFmtId="1" fontId="7" fillId="15" borderId="3" xfId="0" applyNumberFormat="1" applyFont="1" applyFill="1" applyBorder="1" applyAlignment="1" applyProtection="1">
      <alignment horizontal="center"/>
      <protection/>
    </xf>
    <xf numFmtId="168" fontId="7" fillId="15" borderId="3" xfId="0" applyNumberFormat="1" applyFont="1" applyFill="1" applyBorder="1" applyAlignment="1" applyProtection="1">
      <alignment horizontal="center"/>
      <protection locked="0"/>
    </xf>
    <xf numFmtId="168" fontId="7" fillId="15" borderId="3" xfId="0" applyNumberFormat="1" applyFont="1" applyFill="1" applyBorder="1" applyAlignment="1" applyProtection="1">
      <alignment horizontal="center"/>
      <protection/>
    </xf>
    <xf numFmtId="2" fontId="52" fillId="15" borderId="3" xfId="0" applyNumberFormat="1" applyFont="1" applyFill="1" applyBorder="1" applyAlignment="1" applyProtection="1">
      <alignment horizontal="center"/>
      <protection/>
    </xf>
    <xf numFmtId="168" fontId="57" fillId="15" borderId="37" xfId="0" applyNumberFormat="1" applyFont="1" applyFill="1" applyBorder="1" applyAlignment="1" applyProtection="1" quotePrefix="1">
      <alignment horizontal="center"/>
      <protection/>
    </xf>
    <xf numFmtId="168" fontId="57" fillId="15" borderId="38" xfId="0" applyNumberFormat="1" applyFont="1" applyFill="1" applyBorder="1" applyAlignment="1" applyProtection="1" quotePrefix="1">
      <alignment horizontal="center"/>
      <protection/>
    </xf>
    <xf numFmtId="4" fontId="57" fillId="15" borderId="7" xfId="0" applyNumberFormat="1" applyFont="1" applyFill="1" applyBorder="1" applyAlignment="1" applyProtection="1">
      <alignment horizontal="center"/>
      <protection/>
    </xf>
    <xf numFmtId="4" fontId="57" fillId="15" borderId="3" xfId="0" applyNumberFormat="1" applyFont="1" applyFill="1" applyBorder="1" applyAlignment="1" applyProtection="1">
      <alignment horizontal="center"/>
      <protection/>
    </xf>
    <xf numFmtId="4" fontId="52" fillId="15" borderId="3" xfId="0" applyNumberFormat="1" applyFont="1" applyFill="1" applyBorder="1" applyAlignment="1" applyProtection="1">
      <alignment horizontal="center"/>
      <protection/>
    </xf>
    <xf numFmtId="4" fontId="7" fillId="15" borderId="3" xfId="0" applyNumberFormat="1" applyFont="1" applyFill="1" applyBorder="1" applyAlignment="1" applyProtection="1">
      <alignment horizontal="center"/>
      <protection/>
    </xf>
    <xf numFmtId="4" fontId="10" fillId="15" borderId="3" xfId="0" applyNumberFormat="1" applyFont="1" applyFill="1" applyBorder="1" applyAlignment="1">
      <alignment horizontal="right"/>
    </xf>
    <xf numFmtId="0" fontId="0" fillId="15" borderId="2" xfId="0" applyFill="1" applyBorder="1" applyAlignment="1">
      <alignment/>
    </xf>
    <xf numFmtId="0" fontId="0" fillId="15" borderId="0" xfId="0" applyFill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3</xdr:col>
      <xdr:colOff>28575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19400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733425</xdr:colOff>
      <xdr:row>2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DC17" t="str">
            <v>XXXX</v>
          </cell>
          <cell r="DD17" t="str">
            <v>XXXX</v>
          </cell>
          <cell r="DE17" t="str">
            <v>XXXX</v>
          </cell>
          <cell r="DF17" t="str">
            <v>XXXX</v>
          </cell>
          <cell r="DG17" t="str">
            <v>XXXX</v>
          </cell>
          <cell r="DH17" t="str">
            <v>XXXX</v>
          </cell>
          <cell r="DI17" t="str">
            <v>XXXX</v>
          </cell>
          <cell r="DJ17" t="str">
            <v>XXXX</v>
          </cell>
          <cell r="DK17" t="str">
            <v>XXXX</v>
          </cell>
          <cell r="DL17" t="str">
            <v>XXXX</v>
          </cell>
          <cell r="DM17" t="str">
            <v>XXXX</v>
          </cell>
          <cell r="DN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GM18">
            <v>3</v>
          </cell>
          <cell r="GQ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GF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GI25">
            <v>1</v>
          </cell>
          <cell r="GO25">
            <v>2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GL26">
            <v>1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  <cell r="GH29">
            <v>1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GI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GK33">
            <v>1</v>
          </cell>
          <cell r="GN33">
            <v>3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GF34" t="str">
            <v>XXXX</v>
          </cell>
          <cell r="GG34" t="str">
            <v>XXXX</v>
          </cell>
          <cell r="GH34" t="str">
            <v>XXXX</v>
          </cell>
          <cell r="GI34" t="str">
            <v>XXXX</v>
          </cell>
          <cell r="GJ34" t="str">
            <v>XXXX</v>
          </cell>
          <cell r="GK34" t="str">
            <v>XXXX</v>
          </cell>
          <cell r="GL34" t="str">
            <v>XXXX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  <cell r="GQ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GM35" t="str">
            <v>XXXX</v>
          </cell>
          <cell r="GN35" t="str">
            <v>XXXX</v>
          </cell>
          <cell r="GO35" t="str">
            <v>XXXX</v>
          </cell>
          <cell r="GP35" t="str">
            <v>XXXX</v>
          </cell>
          <cell r="GQ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  <cell r="GP36">
            <v>1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  <cell r="GF38" t="str">
            <v>XXXX</v>
          </cell>
          <cell r="GG38" t="str">
            <v>XXXX</v>
          </cell>
          <cell r="GH38" t="str">
            <v>XXXX</v>
          </cell>
          <cell r="GI38" t="str">
            <v>XXXX</v>
          </cell>
          <cell r="GJ38" t="str">
            <v>XXXX</v>
          </cell>
          <cell r="GK38" t="str">
            <v>XXXX</v>
          </cell>
          <cell r="GL38" t="str">
            <v>XXXX</v>
          </cell>
          <cell r="GM38">
            <v>1</v>
          </cell>
          <cell r="GP38">
            <v>1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  <cell r="GH39">
            <v>2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4.85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GH41">
            <v>1</v>
          </cell>
          <cell r="GI41">
            <v>2</v>
          </cell>
          <cell r="GN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  <cell r="GF44" t="str">
            <v>XXXX</v>
          </cell>
          <cell r="GG44" t="str">
            <v>XXXX</v>
          </cell>
          <cell r="GH44" t="str">
            <v>XXXX</v>
          </cell>
          <cell r="GI44" t="str">
            <v>XXXX</v>
          </cell>
          <cell r="GJ44" t="str">
            <v>XXXX</v>
          </cell>
          <cell r="GK44" t="str">
            <v>XXXX</v>
          </cell>
          <cell r="GL44" t="str">
            <v>XXXX</v>
          </cell>
        </row>
        <row r="46">
          <cell r="C46">
            <v>19</v>
          </cell>
          <cell r="D46" t="str">
            <v>PUNTA COLORADA - SIERRA GRANDE</v>
          </cell>
          <cell r="E46">
            <v>132</v>
          </cell>
          <cell r="F46">
            <v>31</v>
          </cell>
        </row>
        <row r="47">
          <cell r="C47">
            <v>20</v>
          </cell>
          <cell r="D47" t="str">
            <v>CARMEN DE PATAGONES - VIEDMA</v>
          </cell>
          <cell r="E47">
            <v>132</v>
          </cell>
          <cell r="F47">
            <v>7</v>
          </cell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  <cell r="GQ47" t="str">
            <v>XXXX</v>
          </cell>
        </row>
        <row r="48">
          <cell r="D48" t="str">
            <v>CARMEN DE PATAGONES - VIEDMA</v>
          </cell>
          <cell r="E48">
            <v>132</v>
          </cell>
          <cell r="F48">
            <v>4.4</v>
          </cell>
          <cell r="GJ48">
            <v>1</v>
          </cell>
        </row>
        <row r="49">
          <cell r="C49">
            <v>21</v>
          </cell>
          <cell r="D49" t="str">
            <v>SAN ANTONIO OESTE - SIERRA GRANDE</v>
          </cell>
          <cell r="E49">
            <v>132</v>
          </cell>
          <cell r="F49">
            <v>110.3</v>
          </cell>
          <cell r="GF49">
            <v>1</v>
          </cell>
          <cell r="GO49">
            <v>1</v>
          </cell>
        </row>
        <row r="50">
          <cell r="C50">
            <v>22</v>
          </cell>
          <cell r="D50" t="str">
            <v>SAN ANTONIO OESTE -VIEDMA-SAN ANTONIO ESTE</v>
          </cell>
          <cell r="E50">
            <v>132</v>
          </cell>
          <cell r="F50">
            <v>185.6</v>
          </cell>
          <cell r="GF50">
            <v>1</v>
          </cell>
          <cell r="GO50">
            <v>3</v>
          </cell>
        </row>
        <row r="51">
          <cell r="GF51" t="str">
            <v>XXXX</v>
          </cell>
          <cell r="GG51" t="str">
            <v>XXXX</v>
          </cell>
          <cell r="GH51" t="str">
            <v>XXXX</v>
          </cell>
          <cell r="GI51" t="str">
            <v>XXXX</v>
          </cell>
          <cell r="GJ51" t="str">
            <v>XXXX</v>
          </cell>
          <cell r="GK51" t="str">
            <v>XXXX</v>
          </cell>
          <cell r="GL51" t="str">
            <v>XXXX</v>
          </cell>
          <cell r="GM51" t="str">
            <v>XXXX</v>
          </cell>
          <cell r="GN51" t="str">
            <v>XXXX</v>
          </cell>
          <cell r="GO51" t="str">
            <v>XXXX</v>
          </cell>
          <cell r="GP51" t="str">
            <v>XXXX</v>
          </cell>
          <cell r="GQ51" t="str">
            <v>XXXX</v>
          </cell>
        </row>
        <row r="72">
          <cell r="GG72">
            <v>1.46</v>
          </cell>
          <cell r="GH72">
            <v>1.43</v>
          </cell>
          <cell r="GI72">
            <v>1.46</v>
          </cell>
          <cell r="GJ72">
            <v>1.18</v>
          </cell>
          <cell r="GK72">
            <v>1.22</v>
          </cell>
          <cell r="GL72">
            <v>1.11</v>
          </cell>
          <cell r="GM72">
            <v>0.87</v>
          </cell>
          <cell r="GN72">
            <v>0.93</v>
          </cell>
          <cell r="GO72">
            <v>1.03</v>
          </cell>
          <cell r="GP72">
            <v>1.24</v>
          </cell>
          <cell r="GQ72">
            <v>1.27</v>
          </cell>
          <cell r="GR72">
            <v>1.2</v>
          </cell>
          <cell r="GS72">
            <v>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0"/>
  <sheetViews>
    <sheetView zoomScale="70" zoomScaleNormal="70" workbookViewId="0" topLeftCell="A1">
      <selection activeCell="F5" sqref="F5"/>
    </sheetView>
  </sheetViews>
  <sheetFormatPr defaultColWidth="11.421875" defaultRowHeight="12.75"/>
  <cols>
    <col min="1" max="1" width="25.7109375" style="12" customWidth="1"/>
    <col min="2" max="2" width="7.7109375" style="12" customWidth="1"/>
    <col min="3" max="3" width="9.8515625" style="12" customWidth="1"/>
    <col min="4" max="4" width="10.7109375" style="12" customWidth="1"/>
    <col min="5" max="5" width="10.57421875" style="12" customWidth="1"/>
    <col min="6" max="6" width="15.7109375" style="12" customWidth="1"/>
    <col min="7" max="7" width="24.28125" style="12" customWidth="1"/>
    <col min="8" max="8" width="11.00390625" style="12" customWidth="1"/>
    <col min="9" max="9" width="15.7109375" style="12" customWidth="1"/>
    <col min="10" max="10" width="15.00390625" style="12" customWidth="1"/>
    <col min="11" max="11" width="15.7109375" style="12" customWidth="1"/>
    <col min="12" max="13" width="11.421875" style="12" customWidth="1"/>
    <col min="14" max="14" width="14.140625" style="12" customWidth="1"/>
    <col min="15" max="15" width="11.421875" style="12" customWidth="1"/>
    <col min="16" max="16" width="14.7109375" style="12" customWidth="1"/>
    <col min="17" max="17" width="11.421875" style="12" customWidth="1"/>
    <col min="18" max="18" width="12.00390625" style="12" customWidth="1"/>
    <col min="19" max="16384" width="11.421875" style="12" customWidth="1"/>
  </cols>
  <sheetData>
    <row r="1" spans="2:11" s="125" customFormat="1" ht="26.25">
      <c r="B1" s="126"/>
      <c r="K1" s="467"/>
    </row>
    <row r="2" spans="2:10" s="125" customFormat="1" ht="26.25">
      <c r="B2" s="126" t="s">
        <v>181</v>
      </c>
      <c r="C2" s="143"/>
      <c r="D2" s="127"/>
      <c r="E2" s="127"/>
      <c r="F2" s="127"/>
      <c r="G2" s="127"/>
      <c r="H2" s="127"/>
      <c r="I2" s="127"/>
      <c r="J2" s="127"/>
    </row>
    <row r="3" spans="3:19" ht="15.75" customHeight="1">
      <c r="C3"/>
      <c r="D3" s="41"/>
      <c r="E3" s="41"/>
      <c r="F3" s="41"/>
      <c r="G3" s="41"/>
      <c r="H3" s="41"/>
      <c r="I3" s="41"/>
      <c r="J3" s="41"/>
      <c r="P3" s="10"/>
      <c r="Q3" s="10"/>
      <c r="R3" s="10"/>
      <c r="S3" s="10"/>
    </row>
    <row r="4" spans="1:19" s="128" customFormat="1" ht="11.25">
      <c r="A4" s="144" t="s">
        <v>17</v>
      </c>
      <c r="B4" s="14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s="128" customFormat="1" ht="11.25">
      <c r="A5" s="144" t="s">
        <v>18</v>
      </c>
      <c r="B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2:19" s="125" customFormat="1" ht="26.25">
      <c r="B6" s="147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2:19" s="130" customFormat="1" ht="21">
      <c r="B7" s="186" t="s">
        <v>0</v>
      </c>
      <c r="C7" s="149"/>
      <c r="D7" s="150"/>
      <c r="E7" s="150"/>
      <c r="F7" s="151"/>
      <c r="G7" s="151"/>
      <c r="H7" s="151"/>
      <c r="I7" s="151"/>
      <c r="J7" s="151"/>
      <c r="K7" s="47"/>
      <c r="L7" s="47"/>
      <c r="M7" s="47"/>
      <c r="N7" s="47"/>
      <c r="O7" s="47"/>
      <c r="P7" s="47"/>
      <c r="Q7" s="47"/>
      <c r="R7" s="47"/>
      <c r="S7" s="47"/>
    </row>
    <row r="8" spans="9:19" ht="12.75"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s="130" customFormat="1" ht="21">
      <c r="B9" s="186" t="s">
        <v>1</v>
      </c>
      <c r="C9" s="149"/>
      <c r="D9" s="150"/>
      <c r="E9" s="150"/>
      <c r="F9" s="150"/>
      <c r="G9" s="150"/>
      <c r="H9" s="150"/>
      <c r="I9" s="151"/>
      <c r="J9" s="151"/>
      <c r="K9" s="47"/>
      <c r="L9" s="47"/>
      <c r="M9" s="47"/>
      <c r="N9" s="47"/>
      <c r="O9" s="47"/>
      <c r="P9" s="47"/>
      <c r="Q9" s="47"/>
      <c r="R9" s="47"/>
      <c r="S9" s="47"/>
    </row>
    <row r="10" spans="4:19" ht="12.75">
      <c r="D10" s="152"/>
      <c r="E10" s="15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30" customFormat="1" ht="20.25">
      <c r="B11" s="186" t="s">
        <v>173</v>
      </c>
      <c r="C11" s="89"/>
      <c r="D11" s="42"/>
      <c r="E11" s="42"/>
      <c r="F11" s="150"/>
      <c r="G11" s="150"/>
      <c r="H11" s="150"/>
      <c r="I11" s="151"/>
      <c r="J11" s="151"/>
      <c r="K11" s="47"/>
      <c r="L11" s="47"/>
      <c r="M11" s="47"/>
      <c r="N11" s="47"/>
      <c r="O11" s="47"/>
      <c r="P11" s="47"/>
      <c r="Q11" s="47"/>
      <c r="R11" s="47"/>
      <c r="S11" s="47"/>
    </row>
    <row r="12" spans="4:19" s="153" customFormat="1" ht="16.5" thickBot="1">
      <c r="D12" s="9"/>
      <c r="E12" s="9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</row>
    <row r="13" spans="2:19" s="153" customFormat="1" ht="16.5" thickTop="1">
      <c r="B13" s="420">
        <v>1</v>
      </c>
      <c r="C13" s="464"/>
      <c r="D13" s="155"/>
      <c r="E13" s="155"/>
      <c r="F13" s="155"/>
      <c r="G13" s="155"/>
      <c r="H13" s="155"/>
      <c r="I13" s="155"/>
      <c r="J13" s="156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2:19" s="137" customFormat="1" ht="19.5">
      <c r="B14" s="267" t="s">
        <v>139</v>
      </c>
      <c r="C14" s="157"/>
      <c r="D14" s="158"/>
      <c r="E14" s="159"/>
      <c r="F14" s="159"/>
      <c r="G14" s="159"/>
      <c r="H14" s="159"/>
      <c r="I14" s="133"/>
      <c r="J14" s="136"/>
      <c r="K14" s="49"/>
      <c r="L14" s="49"/>
      <c r="M14" s="49"/>
      <c r="N14" s="49"/>
      <c r="O14" s="49"/>
      <c r="P14" s="49"/>
      <c r="Q14" s="49"/>
      <c r="R14" s="49"/>
      <c r="S14" s="49"/>
    </row>
    <row r="15" spans="2:19" s="137" customFormat="1" ht="9" customHeight="1">
      <c r="B15" s="160"/>
      <c r="C15" s="161"/>
      <c r="D15" s="161"/>
      <c r="E15" s="49"/>
      <c r="F15" s="162"/>
      <c r="G15" s="162"/>
      <c r="H15" s="162"/>
      <c r="I15" s="49"/>
      <c r="J15" s="163"/>
      <c r="K15" s="49"/>
      <c r="L15" s="49"/>
      <c r="M15" s="49"/>
      <c r="N15" s="49"/>
      <c r="O15" s="49"/>
      <c r="P15" s="49"/>
      <c r="Q15" s="49"/>
      <c r="R15" s="49"/>
      <c r="S15" s="49"/>
    </row>
    <row r="16" spans="2:18" s="137" customFormat="1" ht="9" customHeight="1">
      <c r="B16" s="267">
        <f>IF(B13=2,"Sanciones duplicadas por tasa de falla &gt; 4 Sal. x año/100km.","")</f>
      </c>
      <c r="C16" s="270"/>
      <c r="D16" s="270"/>
      <c r="E16" s="133"/>
      <c r="F16" s="159"/>
      <c r="G16" s="159"/>
      <c r="H16" s="133"/>
      <c r="I16" s="89"/>
      <c r="J16" s="136"/>
      <c r="K16" s="49"/>
      <c r="L16" s="49"/>
      <c r="M16" s="49"/>
      <c r="N16" s="49"/>
      <c r="O16" s="49"/>
      <c r="P16" s="49"/>
      <c r="Q16" s="49"/>
      <c r="R16" s="49"/>
    </row>
    <row r="17" spans="2:18" s="137" customFormat="1" ht="9" customHeight="1">
      <c r="B17" s="160"/>
      <c r="C17" s="161"/>
      <c r="D17" s="161"/>
      <c r="E17" s="49"/>
      <c r="F17" s="162"/>
      <c r="G17" s="162"/>
      <c r="H17" s="49"/>
      <c r="I17"/>
      <c r="J17" s="163"/>
      <c r="K17" s="49"/>
      <c r="L17" s="49"/>
      <c r="M17" s="49"/>
      <c r="N17" s="49"/>
      <c r="O17" s="49"/>
      <c r="P17" s="49"/>
      <c r="Q17" s="49"/>
      <c r="R17" s="49"/>
    </row>
    <row r="18" spans="2:19" s="137" customFormat="1" ht="19.5">
      <c r="B18" s="160"/>
      <c r="C18" s="164" t="s">
        <v>19</v>
      </c>
      <c r="D18" s="165" t="s">
        <v>20</v>
      </c>
      <c r="E18" s="49"/>
      <c r="F18" s="162"/>
      <c r="G18" s="162"/>
      <c r="H18" s="162"/>
      <c r="I18" s="48"/>
      <c r="J18" s="163"/>
      <c r="K18" s="49"/>
      <c r="L18" s="49"/>
      <c r="M18" s="49"/>
      <c r="N18" s="49"/>
      <c r="O18" s="49"/>
      <c r="P18" s="49"/>
      <c r="Q18" s="49"/>
      <c r="R18" s="49"/>
      <c r="S18" s="49"/>
    </row>
    <row r="19" spans="2:19" s="137" customFormat="1" ht="19.5">
      <c r="B19" s="160"/>
      <c r="C19"/>
      <c r="D19" s="164" t="s">
        <v>21</v>
      </c>
      <c r="E19" s="165" t="s">
        <v>22</v>
      </c>
      <c r="F19" s="162"/>
      <c r="G19" s="162"/>
      <c r="H19" s="162"/>
      <c r="I19" s="48">
        <f>'LI-01 (1)'!AA43</f>
        <v>7.69</v>
      </c>
      <c r="J19" s="163"/>
      <c r="K19" s="49"/>
      <c r="L19" s="49"/>
      <c r="M19" s="49"/>
      <c r="N19" s="49"/>
      <c r="O19" s="49"/>
      <c r="P19" s="49"/>
      <c r="Q19" s="49"/>
      <c r="R19" s="49"/>
      <c r="S19" s="49"/>
    </row>
    <row r="20" spans="2:19" s="137" customFormat="1" ht="19.5">
      <c r="B20" s="160"/>
      <c r="C20" s="164"/>
      <c r="D20" s="164" t="s">
        <v>23</v>
      </c>
      <c r="E20" s="165" t="s">
        <v>24</v>
      </c>
      <c r="F20" s="162"/>
      <c r="G20" s="162"/>
      <c r="H20" s="162"/>
      <c r="I20" s="48">
        <f>'LI-EDERSA-01 (1)'!AA41</f>
        <v>62876.86</v>
      </c>
      <c r="J20" s="163"/>
      <c r="K20" s="49"/>
      <c r="L20" s="49"/>
      <c r="M20" s="49"/>
      <c r="N20" s="49"/>
      <c r="O20" s="49"/>
      <c r="P20" s="49"/>
      <c r="Q20" s="49"/>
      <c r="R20" s="49"/>
      <c r="S20" s="49"/>
    </row>
    <row r="21" spans="2:19" ht="13.5">
      <c r="B21" s="46"/>
      <c r="C21" s="166"/>
      <c r="D21" s="167"/>
      <c r="E21" s="10"/>
      <c r="F21" s="168"/>
      <c r="G21" s="168"/>
      <c r="H21" s="168"/>
      <c r="I21" s="169"/>
      <c r="J21" s="13"/>
      <c r="K21" s="10"/>
      <c r="L21" s="10"/>
      <c r="M21" s="10"/>
      <c r="N21" s="10"/>
      <c r="O21" s="10"/>
      <c r="P21" s="10"/>
      <c r="Q21" s="10"/>
      <c r="R21" s="10"/>
      <c r="S21" s="10"/>
    </row>
    <row r="22" spans="2:19" s="137" customFormat="1" ht="19.5">
      <c r="B22" s="160"/>
      <c r="C22" s="164" t="s">
        <v>25</v>
      </c>
      <c r="D22" s="165" t="s">
        <v>26</v>
      </c>
      <c r="E22" s="49"/>
      <c r="F22" s="162"/>
      <c r="G22" s="162"/>
      <c r="H22" s="162"/>
      <c r="I22" s="48"/>
      <c r="J22" s="163"/>
      <c r="K22" s="49"/>
      <c r="L22" s="49"/>
      <c r="M22" s="49"/>
      <c r="N22" s="49"/>
      <c r="O22" s="49"/>
      <c r="P22" s="49"/>
      <c r="Q22" s="49"/>
      <c r="R22" s="49"/>
      <c r="S22" s="49"/>
    </row>
    <row r="23" spans="2:19" ht="8.25" customHeight="1">
      <c r="B23" s="46"/>
      <c r="C23" s="166"/>
      <c r="D23" s="166"/>
      <c r="E23" s="10"/>
      <c r="F23" s="168"/>
      <c r="G23" s="168"/>
      <c r="H23" s="168"/>
      <c r="I23" s="170"/>
      <c r="J23" s="13"/>
      <c r="K23" s="10"/>
      <c r="L23" s="10"/>
      <c r="M23" s="10"/>
      <c r="N23" s="10"/>
      <c r="O23" s="10"/>
      <c r="P23" s="10"/>
      <c r="Q23" s="10"/>
      <c r="R23" s="10"/>
      <c r="S23" s="10"/>
    </row>
    <row r="24" spans="2:19" s="137" customFormat="1" ht="19.5">
      <c r="B24" s="160"/>
      <c r="C24" s="164"/>
      <c r="D24" s="164" t="s">
        <v>27</v>
      </c>
      <c r="E24" s="11" t="s">
        <v>28</v>
      </c>
      <c r="F24" s="162"/>
      <c r="G24" s="162"/>
      <c r="H24" s="162"/>
      <c r="I24" s="48"/>
      <c r="J24" s="163"/>
      <c r="K24" s="49"/>
      <c r="L24" s="49"/>
      <c r="M24" s="49"/>
      <c r="N24" s="49"/>
      <c r="O24" s="49"/>
      <c r="P24" s="49"/>
      <c r="Q24" s="49"/>
      <c r="R24" s="49"/>
      <c r="S24" s="49"/>
    </row>
    <row r="25" spans="2:19" s="137" customFormat="1" ht="19.5">
      <c r="B25" s="160"/>
      <c r="C25" s="164"/>
      <c r="D25" s="164"/>
      <c r="E25" s="164" t="s">
        <v>29</v>
      </c>
      <c r="F25" s="165" t="s">
        <v>24</v>
      </c>
      <c r="G25" s="162"/>
      <c r="H25" s="162"/>
      <c r="I25" s="48">
        <f>'TR-EDERSA-01 (1)'!AC45</f>
        <v>1142.71</v>
      </c>
      <c r="J25" s="163"/>
      <c r="K25" s="49"/>
      <c r="L25" s="49"/>
      <c r="M25" s="49"/>
      <c r="N25" s="49"/>
      <c r="O25" s="49"/>
      <c r="P25" s="49"/>
      <c r="Q25" s="49"/>
      <c r="R25" s="49"/>
      <c r="S25" s="49"/>
    </row>
    <row r="26" spans="2:19" ht="13.5">
      <c r="B26" s="46"/>
      <c r="C26" s="166"/>
      <c r="D26" s="166"/>
      <c r="E26" s="10"/>
      <c r="F26" s="168"/>
      <c r="G26" s="168"/>
      <c r="H26" s="168"/>
      <c r="I26" s="170"/>
      <c r="J26" s="13"/>
      <c r="K26" s="10"/>
      <c r="L26" s="10"/>
      <c r="M26" s="10"/>
      <c r="N26" s="10"/>
      <c r="O26" s="10"/>
      <c r="P26" s="10"/>
      <c r="Q26" s="10"/>
      <c r="R26" s="10"/>
      <c r="S26" s="10"/>
    </row>
    <row r="27" spans="2:19" s="137" customFormat="1" ht="19.5">
      <c r="B27" s="160"/>
      <c r="C27" s="164"/>
      <c r="D27" s="164" t="s">
        <v>30</v>
      </c>
      <c r="E27" s="11" t="s">
        <v>31</v>
      </c>
      <c r="F27" s="162"/>
      <c r="G27" s="162"/>
      <c r="H27" s="162"/>
      <c r="I27" s="48"/>
      <c r="J27" s="163"/>
      <c r="K27" s="49"/>
      <c r="L27" s="49"/>
      <c r="M27" s="49"/>
      <c r="N27" s="49"/>
      <c r="O27" s="49"/>
      <c r="P27" s="49"/>
      <c r="Q27" s="49"/>
      <c r="R27" s="49"/>
      <c r="S27" s="49"/>
    </row>
    <row r="28" spans="2:19" s="137" customFormat="1" ht="19.5">
      <c r="B28" s="160"/>
      <c r="C28" s="164"/>
      <c r="D28" s="164"/>
      <c r="E28" s="164" t="s">
        <v>32</v>
      </c>
      <c r="F28" s="165" t="s">
        <v>24</v>
      </c>
      <c r="G28" s="162"/>
      <c r="H28" s="162"/>
      <c r="I28" s="48">
        <f>'SA-EDERSA-01 (1)'!V45</f>
        <v>37.7115</v>
      </c>
      <c r="J28" s="163"/>
      <c r="K28" s="49"/>
      <c r="L28" s="49"/>
      <c r="M28" s="49"/>
      <c r="N28" s="49"/>
      <c r="O28" s="49"/>
      <c r="P28" s="49"/>
      <c r="Q28" s="49"/>
      <c r="R28" s="49"/>
      <c r="S28" s="49"/>
    </row>
    <row r="29" spans="2:19" ht="13.5">
      <c r="B29" s="46"/>
      <c r="C29" s="166"/>
      <c r="D29" s="167"/>
      <c r="E29" s="10"/>
      <c r="F29" s="168"/>
      <c r="G29" s="168"/>
      <c r="H29" s="168"/>
      <c r="I29" s="169"/>
      <c r="J29" s="13"/>
      <c r="K29" s="10"/>
      <c r="L29" s="10"/>
      <c r="M29" s="10"/>
      <c r="N29" s="10"/>
      <c r="O29" s="10"/>
      <c r="P29" s="10"/>
      <c r="Q29" s="10"/>
      <c r="R29" s="10"/>
      <c r="S29" s="10"/>
    </row>
    <row r="30" spans="2:19" s="137" customFormat="1" ht="19.5">
      <c r="B30" s="160"/>
      <c r="C30" s="164" t="s">
        <v>33</v>
      </c>
      <c r="D30" s="165" t="s">
        <v>34</v>
      </c>
      <c r="E30" s="49"/>
      <c r="F30" s="162"/>
      <c r="G30" s="162"/>
      <c r="H30" s="162"/>
      <c r="J30" s="163"/>
      <c r="K30" s="49"/>
      <c r="L30" s="49"/>
      <c r="M30" s="49"/>
      <c r="N30" s="49"/>
      <c r="O30" s="49"/>
      <c r="P30" s="49"/>
      <c r="Q30" s="49"/>
      <c r="R30" s="49"/>
      <c r="S30" s="49"/>
    </row>
    <row r="31" spans="2:19" s="137" customFormat="1" ht="19.5">
      <c r="B31" s="160"/>
      <c r="C31" s="164"/>
      <c r="D31" s="165"/>
      <c r="E31" s="164" t="s">
        <v>177</v>
      </c>
      <c r="F31" s="165" t="s">
        <v>24</v>
      </c>
      <c r="G31" s="162"/>
      <c r="H31" s="162"/>
      <c r="I31" s="48">
        <f>'RE-EDERSA-01 (1)'!V43</f>
        <v>2.33</v>
      </c>
      <c r="J31" s="163"/>
      <c r="K31" s="49"/>
      <c r="L31" s="49"/>
      <c r="M31" s="49"/>
      <c r="N31" s="49"/>
      <c r="O31" s="49"/>
      <c r="P31" s="49"/>
      <c r="Q31" s="49"/>
      <c r="R31" s="49"/>
      <c r="S31" s="49"/>
    </row>
    <row r="32" spans="2:19" s="137" customFormat="1" ht="19.5">
      <c r="B32" s="160"/>
      <c r="C32" s="164"/>
      <c r="D32" s="165"/>
      <c r="E32" s="49"/>
      <c r="F32" s="162"/>
      <c r="G32" s="162"/>
      <c r="H32" s="162"/>
      <c r="I32" s="48"/>
      <c r="J32" s="163"/>
      <c r="K32" s="49"/>
      <c r="L32" s="49"/>
      <c r="M32" s="49"/>
      <c r="N32" s="49"/>
      <c r="O32" s="49"/>
      <c r="P32" s="49"/>
      <c r="Q32" s="49"/>
      <c r="R32" s="49"/>
      <c r="S32" s="49"/>
    </row>
    <row r="33" spans="2:19" s="137" customFormat="1" ht="19.5">
      <c r="B33" s="160"/>
      <c r="C33" s="164" t="s">
        <v>35</v>
      </c>
      <c r="D33" s="11" t="s">
        <v>36</v>
      </c>
      <c r="E33" s="162"/>
      <c r="F33"/>
      <c r="G33" s="162"/>
      <c r="H33" s="162"/>
      <c r="I33" s="48"/>
      <c r="J33" s="163"/>
      <c r="K33" s="49"/>
      <c r="L33" s="49"/>
      <c r="M33" s="49"/>
      <c r="N33" s="49"/>
      <c r="O33" s="49"/>
      <c r="P33" s="49"/>
      <c r="Q33" s="49"/>
      <c r="R33" s="49"/>
      <c r="S33" s="49"/>
    </row>
    <row r="34" spans="2:19" s="137" customFormat="1" ht="19.5">
      <c r="B34" s="160"/>
      <c r="C34" s="164"/>
      <c r="D34" s="164" t="s">
        <v>37</v>
      </c>
      <c r="E34" s="165" t="s">
        <v>24</v>
      </c>
      <c r="F34"/>
      <c r="G34" s="162"/>
      <c r="H34" s="162"/>
      <c r="I34" s="48">
        <f>'SUP-EDERSA'!I58</f>
        <v>16014.902875000002</v>
      </c>
      <c r="J34" s="163"/>
      <c r="K34" s="49"/>
      <c r="L34" s="49"/>
      <c r="M34" s="49"/>
      <c r="N34" s="49"/>
      <c r="O34" s="49"/>
      <c r="P34" s="49"/>
      <c r="Q34" s="49"/>
      <c r="R34" s="49"/>
      <c r="S34" s="49"/>
    </row>
    <row r="35" spans="2:19" s="137" customFormat="1" ht="20.25" thickBot="1">
      <c r="B35" s="160"/>
      <c r="C35" s="161"/>
      <c r="D35" s="161"/>
      <c r="E35" s="49"/>
      <c r="F35" s="162"/>
      <c r="G35" s="162"/>
      <c r="H35" s="162"/>
      <c r="I35" s="49"/>
      <c r="J35" s="163"/>
      <c r="K35" s="49"/>
      <c r="L35" s="49"/>
      <c r="M35" s="49"/>
      <c r="N35" s="49"/>
      <c r="O35" s="49"/>
      <c r="P35" s="49"/>
      <c r="Q35" s="49"/>
      <c r="R35" s="49"/>
      <c r="S35" s="49"/>
    </row>
    <row r="36" spans="2:19" s="137" customFormat="1" ht="20.25" thickBot="1" thickTop="1">
      <c r="B36" s="160"/>
      <c r="C36" s="164"/>
      <c r="D36" s="164"/>
      <c r="F36" s="171" t="s">
        <v>38</v>
      </c>
      <c r="G36" s="172">
        <f>SUM(I19:I34)</f>
        <v>80082.204375</v>
      </c>
      <c r="H36" s="269"/>
      <c r="J36" s="163"/>
      <c r="K36" s="49"/>
      <c r="L36" s="49"/>
      <c r="M36" s="49"/>
      <c r="N36" s="49"/>
      <c r="O36" s="49"/>
      <c r="P36" s="49"/>
      <c r="Q36" s="49"/>
      <c r="R36" s="49"/>
      <c r="S36" s="49"/>
    </row>
    <row r="37" spans="2:19" s="137" customFormat="1" ht="8.25" customHeight="1" thickTop="1">
      <c r="B37" s="160"/>
      <c r="C37" s="164"/>
      <c r="D37" s="164"/>
      <c r="F37" s="631"/>
      <c r="G37" s="269"/>
      <c r="H37" s="269"/>
      <c r="J37" s="163"/>
      <c r="K37" s="49"/>
      <c r="L37" s="49"/>
      <c r="M37" s="49"/>
      <c r="N37" s="49"/>
      <c r="O37" s="49"/>
      <c r="P37" s="49"/>
      <c r="Q37" s="49"/>
      <c r="R37" s="49"/>
      <c r="S37" s="49"/>
    </row>
    <row r="38" spans="2:19" s="137" customFormat="1" ht="18.75">
      <c r="B38" s="160"/>
      <c r="C38" s="632" t="s">
        <v>138</v>
      </c>
      <c r="D38" s="164"/>
      <c r="F38" s="631"/>
      <c r="G38" s="269"/>
      <c r="H38" s="269"/>
      <c r="J38" s="163"/>
      <c r="K38" s="49"/>
      <c r="L38" s="49"/>
      <c r="M38" s="49"/>
      <c r="N38" s="49"/>
      <c r="O38" s="49"/>
      <c r="P38" s="49"/>
      <c r="Q38" s="49"/>
      <c r="R38" s="49"/>
      <c r="S38" s="49"/>
    </row>
    <row r="39" spans="2:19" s="153" customFormat="1" ht="6.75" customHeight="1" thickBot="1">
      <c r="B39" s="173"/>
      <c r="C39" s="174"/>
      <c r="D39" s="174"/>
      <c r="E39" s="175"/>
      <c r="F39" s="175"/>
      <c r="G39" s="175"/>
      <c r="H39" s="175"/>
      <c r="I39" s="175"/>
      <c r="J39" s="176"/>
      <c r="K39" s="154"/>
      <c r="L39" s="154"/>
      <c r="M39" s="87"/>
      <c r="N39" s="177"/>
      <c r="O39" s="177"/>
      <c r="P39" s="178"/>
      <c r="Q39" s="179"/>
      <c r="R39" s="154"/>
      <c r="S39" s="154"/>
    </row>
    <row r="40" spans="4:19" ht="13.5" thickTop="1">
      <c r="D40" s="10"/>
      <c r="F40" s="10"/>
      <c r="G40" s="10"/>
      <c r="H40" s="10"/>
      <c r="I40" s="10"/>
      <c r="J40" s="10"/>
      <c r="K40" s="10"/>
      <c r="L40" s="10"/>
      <c r="M40" s="32"/>
      <c r="N40" s="180"/>
      <c r="O40" s="180"/>
      <c r="P40" s="10"/>
      <c r="Q40" s="38"/>
      <c r="R40" s="10"/>
      <c r="S40" s="10"/>
    </row>
    <row r="41" spans="4:19" ht="12.75">
      <c r="D41" s="10"/>
      <c r="F41" s="10"/>
      <c r="G41" s="10"/>
      <c r="H41" s="10"/>
      <c r="I41" s="10"/>
      <c r="J41" s="10"/>
      <c r="K41" s="10"/>
      <c r="L41" s="10"/>
      <c r="M41" s="10"/>
      <c r="N41" s="181"/>
      <c r="O41" s="181"/>
      <c r="P41" s="182"/>
      <c r="Q41" s="38"/>
      <c r="R41" s="10"/>
      <c r="S41" s="10"/>
    </row>
    <row r="42" spans="4:19" ht="12.7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81"/>
      <c r="O42" s="181"/>
      <c r="P42" s="182"/>
      <c r="Q42" s="38"/>
      <c r="R42" s="10"/>
      <c r="S42" s="10"/>
    </row>
    <row r="43" spans="4:19" ht="12.75">
      <c r="D43" s="10"/>
      <c r="E43" s="10"/>
      <c r="L43" s="10"/>
      <c r="M43" s="10"/>
      <c r="N43" s="10"/>
      <c r="O43" s="10"/>
      <c r="P43" s="10"/>
      <c r="Q43" s="10"/>
      <c r="R43" s="10"/>
      <c r="S43" s="10"/>
    </row>
    <row r="44" spans="4:19" ht="12.75">
      <c r="D44" s="10"/>
      <c r="E44" s="10"/>
      <c r="P44" s="10"/>
      <c r="Q44" s="10"/>
      <c r="R44" s="10"/>
      <c r="S44" s="10"/>
    </row>
    <row r="45" spans="4:19" ht="12.75">
      <c r="D45" s="10"/>
      <c r="E45" s="10"/>
      <c r="P45" s="10"/>
      <c r="Q45" s="10"/>
      <c r="R45" s="10"/>
      <c r="S45" s="10"/>
    </row>
    <row r="46" spans="4:19" ht="12.75">
      <c r="D46" s="10"/>
      <c r="E46" s="10"/>
      <c r="P46" s="10"/>
      <c r="Q46" s="10"/>
      <c r="R46" s="10"/>
      <c r="S46" s="10"/>
    </row>
    <row r="47" spans="4:19" ht="12.75">
      <c r="D47" s="10"/>
      <c r="E47" s="10"/>
      <c r="P47" s="10"/>
      <c r="Q47" s="10"/>
      <c r="R47" s="10"/>
      <c r="S47" s="10"/>
    </row>
    <row r="48" spans="4:19" ht="12.75">
      <c r="D48" s="10"/>
      <c r="E48" s="10"/>
      <c r="P48" s="10"/>
      <c r="Q48" s="10"/>
      <c r="R48" s="10"/>
      <c r="S48" s="10"/>
    </row>
    <row r="49" spans="16:19" ht="12.75">
      <c r="P49" s="10"/>
      <c r="Q49" s="10"/>
      <c r="R49" s="10"/>
      <c r="S49" s="10"/>
    </row>
    <row r="50" spans="16:19" ht="12.75">
      <c r="P50" s="10"/>
      <c r="Q50" s="10"/>
      <c r="R50" s="10"/>
      <c r="S50" s="10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70" zoomScaleNormal="70" workbookViewId="0" topLeftCell="A1">
      <selection activeCell="K33" sqref="K33"/>
    </sheetView>
  </sheetViews>
  <sheetFormatPr defaultColWidth="11.421875" defaultRowHeight="12.75"/>
  <cols>
    <col min="1" max="1" width="5.7109375" style="0" customWidth="1"/>
    <col min="2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25" customFormat="1" ht="26.25">
      <c r="AB1" s="467"/>
    </row>
    <row r="2" spans="2:28" s="125" customFormat="1" ht="26.25">
      <c r="B2" s="126" t="str">
        <f>+'TOT-0111'!B2</f>
        <v>ANEXO I al Memoranum D.T.E.E.  N°   482  /2012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="12" customFormat="1" ht="15.75" customHeight="1"/>
    <row r="4" spans="1:3" s="128" customFormat="1" ht="11.25">
      <c r="A4" s="652" t="s">
        <v>17</v>
      </c>
      <c r="C4" s="651"/>
    </row>
    <row r="5" spans="1:3" s="128" customFormat="1" ht="11.25">
      <c r="A5" s="652" t="s">
        <v>134</v>
      </c>
      <c r="C5" s="651"/>
    </row>
    <row r="6" s="12" customFormat="1" ht="13.5" thickBot="1"/>
    <row r="7" spans="1:28" s="12" customFormat="1" ht="13.5" thickTop="1">
      <c r="A7" s="10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s="130" customFormat="1" ht="20.25">
      <c r="A8" s="47"/>
      <c r="B8" s="129"/>
      <c r="C8" s="47"/>
      <c r="D8" s="47"/>
      <c r="E8" s="47"/>
      <c r="F8" s="23" t="s">
        <v>39</v>
      </c>
      <c r="G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31"/>
    </row>
    <row r="9" spans="1:28" s="12" customFormat="1" ht="12.75">
      <c r="A9" s="10"/>
      <c r="B9" s="46"/>
      <c r="C9" s="10"/>
      <c r="D9" s="10"/>
      <c r="E9" s="10"/>
      <c r="F9" s="142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30" customFormat="1" ht="20.25">
      <c r="A10" s="47"/>
      <c r="B10" s="129"/>
      <c r="C10" s="47"/>
      <c r="D10" s="47"/>
      <c r="E10" s="47"/>
      <c r="F10" s="23" t="s">
        <v>40</v>
      </c>
      <c r="G10" s="23"/>
      <c r="H10" s="47"/>
      <c r="I10" s="132"/>
      <c r="J10" s="132"/>
      <c r="K10" s="132"/>
      <c r="L10" s="132"/>
      <c r="M10" s="132"/>
      <c r="N10" s="132"/>
      <c r="O10" s="132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131"/>
    </row>
    <row r="11" spans="1:28" s="12" customFormat="1" ht="12.75">
      <c r="A11" s="10"/>
      <c r="B11" s="46"/>
      <c r="C11" s="10"/>
      <c r="D11" s="10"/>
      <c r="E11" s="10"/>
      <c r="F11" s="141"/>
      <c r="G11" s="139"/>
      <c r="H11" s="10"/>
      <c r="I11" s="138"/>
      <c r="J11" s="138"/>
      <c r="K11" s="138"/>
      <c r="L11" s="138"/>
      <c r="M11" s="138"/>
      <c r="N11" s="138"/>
      <c r="O11" s="13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30" customFormat="1" ht="20.25">
      <c r="A12" s="47"/>
      <c r="B12" s="129"/>
      <c r="C12" s="47"/>
      <c r="D12" s="47"/>
      <c r="E12" s="47"/>
      <c r="F12" s="23" t="s">
        <v>41</v>
      </c>
      <c r="G12" s="23"/>
      <c r="H12" s="47"/>
      <c r="I12" s="132"/>
      <c r="J12" s="132"/>
      <c r="K12" s="132"/>
      <c r="L12" s="132"/>
      <c r="M12" s="132"/>
      <c r="N12" s="132"/>
      <c r="O12" s="132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131"/>
    </row>
    <row r="13" spans="1:28" s="12" customFormat="1" ht="12.75">
      <c r="A13" s="10"/>
      <c r="B13" s="46"/>
      <c r="C13" s="10"/>
      <c r="D13" s="10"/>
      <c r="E13" s="10"/>
      <c r="F13" s="141"/>
      <c r="G13" s="139"/>
      <c r="H13" s="10"/>
      <c r="I13" s="138"/>
      <c r="J13" s="138"/>
      <c r="K13" s="138"/>
      <c r="L13" s="138"/>
      <c r="M13" s="138"/>
      <c r="N13" s="138"/>
      <c r="O13" s="13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3"/>
    </row>
    <row r="14" spans="1:28" s="137" customFormat="1" ht="19.5">
      <c r="A14" s="49"/>
      <c r="B14" s="103" t="str">
        <f>+'TOT-0111'!B14</f>
        <v>Desde el 01 al 31 de enero de 2011</v>
      </c>
      <c r="C14" s="133"/>
      <c r="D14" s="133"/>
      <c r="E14" s="133"/>
      <c r="F14" s="133"/>
      <c r="G14" s="134"/>
      <c r="H14" s="134"/>
      <c r="I14" s="135"/>
      <c r="J14" s="135"/>
      <c r="K14" s="135"/>
      <c r="L14" s="135"/>
      <c r="M14" s="135"/>
      <c r="N14" s="135"/>
      <c r="O14" s="135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6"/>
    </row>
    <row r="15" spans="1:28" s="12" customFormat="1" ht="13.5" thickBot="1">
      <c r="A15" s="10"/>
      <c r="B15" s="46"/>
      <c r="C15" s="10"/>
      <c r="D15" s="10"/>
      <c r="E15" s="10"/>
      <c r="F15" s="10"/>
      <c r="G15" s="139"/>
      <c r="H15" s="140"/>
      <c r="I15" s="138"/>
      <c r="J15" s="138"/>
      <c r="K15" s="138"/>
      <c r="L15" s="138"/>
      <c r="M15" s="138"/>
      <c r="N15" s="138"/>
      <c r="O15" s="13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3"/>
    </row>
    <row r="16" spans="1:28" s="111" customFormat="1" ht="16.5" customHeight="1" thickBot="1" thickTop="1">
      <c r="A16" s="107"/>
      <c r="B16" s="108"/>
      <c r="C16" s="107"/>
      <c r="D16" s="107"/>
      <c r="E16" s="107"/>
      <c r="F16" s="559" t="s">
        <v>42</v>
      </c>
      <c r="G16" s="560">
        <v>72.965</v>
      </c>
      <c r="H16" s="561"/>
      <c r="I16" s="112"/>
      <c r="J16" s="112"/>
      <c r="K16" s="112"/>
      <c r="L16" s="112"/>
      <c r="M16" s="112"/>
      <c r="N16" s="112"/>
      <c r="O16" s="112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10"/>
    </row>
    <row r="17" spans="1:28" s="111" customFormat="1" ht="16.5" customHeight="1" thickBot="1" thickTop="1">
      <c r="A17" s="107"/>
      <c r="B17" s="108"/>
      <c r="C17" s="107"/>
      <c r="D17" s="107"/>
      <c r="E17" s="107"/>
      <c r="F17" s="559" t="s">
        <v>43</v>
      </c>
      <c r="G17" s="560">
        <v>69.722</v>
      </c>
      <c r="H17" s="562"/>
      <c r="I17" s="107"/>
      <c r="K17" s="113" t="s">
        <v>44</v>
      </c>
      <c r="L17" s="114">
        <f>30*'TOT-0111'!B13</f>
        <v>30</v>
      </c>
      <c r="M17" s="268" t="str">
        <f>IF(L17=30," ",IF(L17=60,"Coeficiente duplicado por tasa de falla &gt;4 Sal. x año/100 km.","REVISAR COEFICIENTE"))</f>
        <v> 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10"/>
    </row>
    <row r="18" spans="1:28" s="677" customFormat="1" ht="14.25" thickBot="1" thickTop="1">
      <c r="A18" s="673"/>
      <c r="B18" s="674"/>
      <c r="C18" s="675">
        <v>3</v>
      </c>
      <c r="D18" s="675">
        <v>4</v>
      </c>
      <c r="E18" s="675">
        <v>5</v>
      </c>
      <c r="F18" s="675">
        <v>6</v>
      </c>
      <c r="G18" s="675">
        <v>7</v>
      </c>
      <c r="H18" s="675">
        <v>8</v>
      </c>
      <c r="I18" s="675">
        <v>9</v>
      </c>
      <c r="J18" s="675">
        <v>10</v>
      </c>
      <c r="K18" s="675">
        <v>11</v>
      </c>
      <c r="L18" s="675">
        <v>12</v>
      </c>
      <c r="M18" s="675">
        <v>13</v>
      </c>
      <c r="N18" s="675">
        <v>14</v>
      </c>
      <c r="O18" s="675">
        <v>15</v>
      </c>
      <c r="P18" s="675">
        <v>16</v>
      </c>
      <c r="Q18" s="675">
        <v>17</v>
      </c>
      <c r="R18" s="675">
        <v>18</v>
      </c>
      <c r="S18" s="675">
        <v>19</v>
      </c>
      <c r="T18" s="675">
        <v>20</v>
      </c>
      <c r="U18" s="675">
        <v>21</v>
      </c>
      <c r="V18" s="675">
        <v>22</v>
      </c>
      <c r="W18" s="675">
        <v>23</v>
      </c>
      <c r="X18" s="675">
        <v>24</v>
      </c>
      <c r="Y18" s="675">
        <v>25</v>
      </c>
      <c r="Z18" s="675">
        <v>26</v>
      </c>
      <c r="AA18" s="675">
        <v>27</v>
      </c>
      <c r="AB18" s="676"/>
    </row>
    <row r="19" spans="1:28" s="124" customFormat="1" ht="33.75" customHeight="1" thickBot="1" thickTop="1">
      <c r="A19" s="115"/>
      <c r="B19" s="116"/>
      <c r="C19" s="117" t="s">
        <v>45</v>
      </c>
      <c r="D19" s="117" t="s">
        <v>133</v>
      </c>
      <c r="E19" s="117" t="s">
        <v>132</v>
      </c>
      <c r="F19" s="118" t="s">
        <v>20</v>
      </c>
      <c r="G19" s="119" t="s">
        <v>46</v>
      </c>
      <c r="H19" s="120" t="s">
        <v>47</v>
      </c>
      <c r="I19" s="299" t="s">
        <v>48</v>
      </c>
      <c r="J19" s="118" t="s">
        <v>49</v>
      </c>
      <c r="K19" s="118" t="s">
        <v>50</v>
      </c>
      <c r="L19" s="119" t="s">
        <v>51</v>
      </c>
      <c r="M19" s="119" t="s">
        <v>52</v>
      </c>
      <c r="N19" s="121" t="s">
        <v>53</v>
      </c>
      <c r="O19" s="119" t="s">
        <v>54</v>
      </c>
      <c r="P19" s="329" t="s">
        <v>55</v>
      </c>
      <c r="Q19" s="332" t="s">
        <v>56</v>
      </c>
      <c r="R19" s="335" t="s">
        <v>57</v>
      </c>
      <c r="S19" s="336"/>
      <c r="T19" s="337"/>
      <c r="U19" s="346" t="s">
        <v>58</v>
      </c>
      <c r="V19" s="347"/>
      <c r="W19" s="348"/>
      <c r="X19" s="356" t="s">
        <v>59</v>
      </c>
      <c r="Y19" s="359" t="s">
        <v>60</v>
      </c>
      <c r="Z19" s="122" t="s">
        <v>61</v>
      </c>
      <c r="AA19" s="122" t="s">
        <v>62</v>
      </c>
      <c r="AB19" s="123"/>
    </row>
    <row r="20" spans="1:28" ht="16.5" customHeight="1" thickTop="1">
      <c r="A20" s="1"/>
      <c r="B20" s="2"/>
      <c r="C20" s="53"/>
      <c r="D20" s="650"/>
      <c r="E20" s="650"/>
      <c r="F20" s="465"/>
      <c r="G20" s="55"/>
      <c r="H20" s="55"/>
      <c r="I20" s="454"/>
      <c r="J20" s="55"/>
      <c r="K20" s="56"/>
      <c r="L20" s="56"/>
      <c r="M20" s="56"/>
      <c r="N20" s="54"/>
      <c r="O20" s="55"/>
      <c r="P20" s="330"/>
      <c r="Q20" s="333"/>
      <c r="R20" s="338"/>
      <c r="S20" s="339"/>
      <c r="T20" s="340"/>
      <c r="U20" s="349"/>
      <c r="V20" s="350"/>
      <c r="W20" s="351"/>
      <c r="X20" s="357"/>
      <c r="Y20" s="360"/>
      <c r="Z20" s="344"/>
      <c r="AA20" s="466"/>
      <c r="AB20" s="3"/>
    </row>
    <row r="21" spans="1:28" ht="16.5" customHeight="1">
      <c r="A21" s="1"/>
      <c r="B21" s="2"/>
      <c r="C21" s="585"/>
      <c r="D21" s="648"/>
      <c r="E21" s="648"/>
      <c r="F21" s="585"/>
      <c r="G21" s="586"/>
      <c r="H21" s="586"/>
      <c r="I21" s="455"/>
      <c r="J21" s="585"/>
      <c r="K21" s="587"/>
      <c r="L21" s="106"/>
      <c r="M21" s="106"/>
      <c r="N21" s="588"/>
      <c r="O21" s="585"/>
      <c r="P21" s="589"/>
      <c r="Q21" s="590"/>
      <c r="R21" s="591"/>
      <c r="S21" s="592"/>
      <c r="T21" s="593"/>
      <c r="U21" s="594"/>
      <c r="V21" s="595"/>
      <c r="W21" s="596"/>
      <c r="X21" s="597"/>
      <c r="Y21" s="598"/>
      <c r="Z21" s="599"/>
      <c r="AA21" s="106"/>
      <c r="AB21" s="3"/>
    </row>
    <row r="22" spans="1:28" ht="16.5" customHeight="1">
      <c r="A22" s="1"/>
      <c r="B22" s="2"/>
      <c r="C22" s="563">
        <v>1</v>
      </c>
      <c r="D22" s="563">
        <v>231070</v>
      </c>
      <c r="E22" s="563">
        <v>3792</v>
      </c>
      <c r="F22" s="564" t="s">
        <v>149</v>
      </c>
      <c r="G22" s="565">
        <v>132</v>
      </c>
      <c r="H22" s="566">
        <v>8.9</v>
      </c>
      <c r="I22" s="456">
        <f aca="true" t="shared" si="0" ref="I22:I41">IF(H22&gt;25,H22,25)*IF(G22=330,$G$16,$G$17)/100</f>
        <v>17.4305</v>
      </c>
      <c r="J22" s="571">
        <v>40569.395833333336</v>
      </c>
      <c r="K22" s="571">
        <v>40569.45694444444</v>
      </c>
      <c r="L22" s="15">
        <f aca="true" t="shared" si="1" ref="L22:L41">IF(F22="","",(K22-J22)*24)</f>
        <v>1.4666666665580124</v>
      </c>
      <c r="M22" s="16">
        <f aca="true" t="shared" si="2" ref="M22:M41">IF(F22="","",ROUND((K22-J22)*24*60,0))</f>
        <v>88</v>
      </c>
      <c r="N22" s="572" t="s">
        <v>140</v>
      </c>
      <c r="O22" s="668" t="s">
        <v>142</v>
      </c>
      <c r="P22" s="655">
        <f aca="true" t="shared" si="3" ref="P22:P41">IF(N22="P",ROUND(M22/60,2)*I22*$L$17*0.01,"--")</f>
        <v>7.686850499999999</v>
      </c>
      <c r="Q22" s="656" t="str">
        <f aca="true" t="shared" si="4" ref="Q22:Q41">IF(N22="RP",ROUND(M22/60,2)*I22*$L$17*0.01*O22/100,"--")</f>
        <v>--</v>
      </c>
      <c r="R22" s="657" t="str">
        <f aca="true" t="shared" si="5" ref="R22:R41">IF(N22="F",I22*$L$17,"--")</f>
        <v>--</v>
      </c>
      <c r="S22" s="658" t="str">
        <f aca="true" t="shared" si="6" ref="S22:S41">IF(AND(M22&gt;10,N22="F"),I22*$L$17*IF(M22&gt;180,3,ROUND(M22/60,2)),"--")</f>
        <v>--</v>
      </c>
      <c r="T22" s="659" t="str">
        <f aca="true" t="shared" si="7" ref="T22:T41">IF(AND(M22&gt;180,N22="F"),(ROUND(M22/60,2)-3)*I22*$L$17*0.1,"--")</f>
        <v>--</v>
      </c>
      <c r="U22" s="660" t="str">
        <f aca="true" t="shared" si="8" ref="U22:U41">IF(N22="R",I22*$L$17*O22/100,"--")</f>
        <v>--</v>
      </c>
      <c r="V22" s="661" t="str">
        <f aca="true" t="shared" si="9" ref="V22:V41">IF(AND(M22&gt;10,N22="R"),I22*$L$17*O22/100*IF(M22&gt;180,3,ROUND(M22/60,2)),"--")</f>
        <v>--</v>
      </c>
      <c r="W22" s="662" t="str">
        <f aca="true" t="shared" si="10" ref="W22:W41">IF(AND(M22&gt;180,N22="R"),(ROUND(M22/60,2)-3)*O22/100*I22*$L$17*0.1,"--")</f>
        <v>--</v>
      </c>
      <c r="X22" s="663" t="str">
        <f aca="true" t="shared" si="11" ref="X22:X41">IF(N22="RF",ROUND(M22/60,2)*I22*$L$17*0.1,"--")</f>
        <v>--</v>
      </c>
      <c r="Y22" s="664" t="str">
        <f aca="true" t="shared" si="12" ref="Y22:Y41">IF(N22="RR",ROUND(M22/60,2)*O22/100*I22*$L$17*0.1,"--")</f>
        <v>--</v>
      </c>
      <c r="Z22" s="665" t="s">
        <v>141</v>
      </c>
      <c r="AA22" s="57">
        <f aca="true" t="shared" si="13" ref="AA22:AA41">IF(F22="","",SUM(P22:Y22)*IF(Z22="SI",1,2))</f>
        <v>7.686850499999999</v>
      </c>
      <c r="AB22" s="3"/>
    </row>
    <row r="23" spans="1:28" ht="16.5" customHeight="1">
      <c r="A23" s="1"/>
      <c r="B23" s="2"/>
      <c r="C23" s="563"/>
      <c r="D23" s="563"/>
      <c r="E23" s="563"/>
      <c r="F23" s="564"/>
      <c r="G23" s="565"/>
      <c r="H23" s="566"/>
      <c r="I23" s="456">
        <f t="shared" si="0"/>
        <v>17.4305</v>
      </c>
      <c r="J23" s="571"/>
      <c r="K23" s="571"/>
      <c r="L23" s="15">
        <f t="shared" si="1"/>
      </c>
      <c r="M23" s="16">
        <f t="shared" si="2"/>
      </c>
      <c r="N23" s="572"/>
      <c r="O23" s="654">
        <f aca="true" t="shared" si="14" ref="O23:O41">IF(F23="","","--")</f>
      </c>
      <c r="P23" s="655" t="str">
        <f t="shared" si="3"/>
        <v>--</v>
      </c>
      <c r="Q23" s="656" t="str">
        <f t="shared" si="4"/>
        <v>--</v>
      </c>
      <c r="R23" s="657" t="str">
        <f t="shared" si="5"/>
        <v>--</v>
      </c>
      <c r="S23" s="658" t="str">
        <f t="shared" si="6"/>
        <v>--</v>
      </c>
      <c r="T23" s="659" t="str">
        <f t="shared" si="7"/>
        <v>--</v>
      </c>
      <c r="U23" s="660" t="str">
        <f t="shared" si="8"/>
        <v>--</v>
      </c>
      <c r="V23" s="661" t="str">
        <f t="shared" si="9"/>
        <v>--</v>
      </c>
      <c r="W23" s="662" t="str">
        <f t="shared" si="10"/>
        <v>--</v>
      </c>
      <c r="X23" s="663" t="str">
        <f t="shared" si="11"/>
        <v>--</v>
      </c>
      <c r="Y23" s="664" t="str">
        <f t="shared" si="12"/>
        <v>--</v>
      </c>
      <c r="Z23" s="665">
        <f aca="true" t="shared" si="15" ref="Z23:Z41">IF(F23="","","SI")</f>
      </c>
      <c r="AA23" s="57">
        <f t="shared" si="13"/>
      </c>
      <c r="AB23" s="3"/>
    </row>
    <row r="24" spans="1:28" ht="16.5" customHeight="1">
      <c r="A24" s="1"/>
      <c r="B24" s="2"/>
      <c r="C24" s="563"/>
      <c r="D24" s="563"/>
      <c r="E24" s="563"/>
      <c r="F24" s="564"/>
      <c r="G24" s="565"/>
      <c r="H24" s="566"/>
      <c r="I24" s="456">
        <f t="shared" si="0"/>
        <v>17.4305</v>
      </c>
      <c r="J24" s="571"/>
      <c r="K24" s="571"/>
      <c r="L24" s="15">
        <f t="shared" si="1"/>
      </c>
      <c r="M24" s="16">
        <f t="shared" si="2"/>
      </c>
      <c r="N24" s="572"/>
      <c r="O24" s="654">
        <f t="shared" si="14"/>
      </c>
      <c r="P24" s="655" t="str">
        <f t="shared" si="3"/>
        <v>--</v>
      </c>
      <c r="Q24" s="656" t="str">
        <f t="shared" si="4"/>
        <v>--</v>
      </c>
      <c r="R24" s="657" t="str">
        <f t="shared" si="5"/>
        <v>--</v>
      </c>
      <c r="S24" s="658" t="str">
        <f t="shared" si="6"/>
        <v>--</v>
      </c>
      <c r="T24" s="659" t="str">
        <f t="shared" si="7"/>
        <v>--</v>
      </c>
      <c r="U24" s="660" t="str">
        <f t="shared" si="8"/>
        <v>--</v>
      </c>
      <c r="V24" s="661" t="str">
        <f t="shared" si="9"/>
        <v>--</v>
      </c>
      <c r="W24" s="662" t="str">
        <f t="shared" si="10"/>
        <v>--</v>
      </c>
      <c r="X24" s="663" t="str">
        <f t="shared" si="11"/>
        <v>--</v>
      </c>
      <c r="Y24" s="664" t="str">
        <f t="shared" si="12"/>
        <v>--</v>
      </c>
      <c r="Z24" s="665">
        <f t="shared" si="15"/>
      </c>
      <c r="AA24" s="57">
        <f t="shared" si="13"/>
      </c>
      <c r="AB24" s="3"/>
    </row>
    <row r="25" spans="1:28" ht="16.5" customHeight="1">
      <c r="A25" s="1"/>
      <c r="B25" s="2"/>
      <c r="C25" s="563"/>
      <c r="D25" s="563"/>
      <c r="E25" s="563"/>
      <c r="F25" s="564"/>
      <c r="G25" s="565"/>
      <c r="H25" s="566"/>
      <c r="I25" s="456">
        <f t="shared" si="0"/>
        <v>17.4305</v>
      </c>
      <c r="J25" s="571"/>
      <c r="K25" s="571"/>
      <c r="L25" s="15">
        <f t="shared" si="1"/>
      </c>
      <c r="M25" s="16">
        <f t="shared" si="2"/>
      </c>
      <c r="N25" s="572"/>
      <c r="O25" s="654">
        <f t="shared" si="14"/>
      </c>
      <c r="P25" s="655" t="str">
        <f t="shared" si="3"/>
        <v>--</v>
      </c>
      <c r="Q25" s="656" t="str">
        <f t="shared" si="4"/>
        <v>--</v>
      </c>
      <c r="R25" s="657" t="str">
        <f t="shared" si="5"/>
        <v>--</v>
      </c>
      <c r="S25" s="658" t="str">
        <f t="shared" si="6"/>
        <v>--</v>
      </c>
      <c r="T25" s="659" t="str">
        <f t="shared" si="7"/>
        <v>--</v>
      </c>
      <c r="U25" s="660" t="str">
        <f t="shared" si="8"/>
        <v>--</v>
      </c>
      <c r="V25" s="661" t="str">
        <f t="shared" si="9"/>
        <v>--</v>
      </c>
      <c r="W25" s="662" t="str">
        <f t="shared" si="10"/>
        <v>--</v>
      </c>
      <c r="X25" s="663" t="str">
        <f t="shared" si="11"/>
        <v>--</v>
      </c>
      <c r="Y25" s="664" t="str">
        <f t="shared" si="12"/>
        <v>--</v>
      </c>
      <c r="Z25" s="665">
        <f t="shared" si="15"/>
      </c>
      <c r="AA25" s="57">
        <f t="shared" si="13"/>
      </c>
      <c r="AB25" s="3"/>
    </row>
    <row r="26" spans="1:28" ht="16.5" customHeight="1">
      <c r="A26" s="1"/>
      <c r="B26" s="2"/>
      <c r="C26" s="563"/>
      <c r="D26" s="563"/>
      <c r="E26" s="563"/>
      <c r="F26" s="564"/>
      <c r="G26" s="565"/>
      <c r="H26" s="566"/>
      <c r="I26" s="456">
        <f t="shared" si="0"/>
        <v>17.4305</v>
      </c>
      <c r="J26" s="571"/>
      <c r="K26" s="571"/>
      <c r="L26" s="15">
        <f t="shared" si="1"/>
      </c>
      <c r="M26" s="16">
        <f t="shared" si="2"/>
      </c>
      <c r="N26" s="572"/>
      <c r="O26" s="654">
        <f t="shared" si="14"/>
      </c>
      <c r="P26" s="655" t="str">
        <f t="shared" si="3"/>
        <v>--</v>
      </c>
      <c r="Q26" s="656" t="str">
        <f t="shared" si="4"/>
        <v>--</v>
      </c>
      <c r="R26" s="657" t="str">
        <f t="shared" si="5"/>
        <v>--</v>
      </c>
      <c r="S26" s="658" t="str">
        <f t="shared" si="6"/>
        <v>--</v>
      </c>
      <c r="T26" s="659" t="str">
        <f t="shared" si="7"/>
        <v>--</v>
      </c>
      <c r="U26" s="660" t="str">
        <f t="shared" si="8"/>
        <v>--</v>
      </c>
      <c r="V26" s="661" t="str">
        <f t="shared" si="9"/>
        <v>--</v>
      </c>
      <c r="W26" s="662" t="str">
        <f t="shared" si="10"/>
        <v>--</v>
      </c>
      <c r="X26" s="663" t="str">
        <f t="shared" si="11"/>
        <v>--</v>
      </c>
      <c r="Y26" s="664" t="str">
        <f t="shared" si="12"/>
        <v>--</v>
      </c>
      <c r="Z26" s="665">
        <f t="shared" si="15"/>
      </c>
      <c r="AA26" s="57">
        <f t="shared" si="13"/>
      </c>
      <c r="AB26" s="3"/>
    </row>
    <row r="27" spans="1:28" ht="16.5" customHeight="1">
      <c r="A27" s="1"/>
      <c r="B27" s="2"/>
      <c r="C27" s="563"/>
      <c r="D27" s="563"/>
      <c r="E27" s="563"/>
      <c r="F27" s="564"/>
      <c r="G27" s="565"/>
      <c r="H27" s="566"/>
      <c r="I27" s="456">
        <f t="shared" si="0"/>
        <v>17.4305</v>
      </c>
      <c r="J27" s="571"/>
      <c r="K27" s="571"/>
      <c r="L27" s="15">
        <f t="shared" si="1"/>
      </c>
      <c r="M27" s="16">
        <f t="shared" si="2"/>
      </c>
      <c r="N27" s="572"/>
      <c r="O27" s="654">
        <f t="shared" si="14"/>
      </c>
      <c r="P27" s="655" t="str">
        <f t="shared" si="3"/>
        <v>--</v>
      </c>
      <c r="Q27" s="656" t="str">
        <f t="shared" si="4"/>
        <v>--</v>
      </c>
      <c r="R27" s="657" t="str">
        <f t="shared" si="5"/>
        <v>--</v>
      </c>
      <c r="S27" s="658" t="str">
        <f t="shared" si="6"/>
        <v>--</v>
      </c>
      <c r="T27" s="659" t="str">
        <f t="shared" si="7"/>
        <v>--</v>
      </c>
      <c r="U27" s="660" t="str">
        <f t="shared" si="8"/>
        <v>--</v>
      </c>
      <c r="V27" s="661" t="str">
        <f t="shared" si="9"/>
        <v>--</v>
      </c>
      <c r="W27" s="662" t="str">
        <f t="shared" si="10"/>
        <v>--</v>
      </c>
      <c r="X27" s="663" t="str">
        <f t="shared" si="11"/>
        <v>--</v>
      </c>
      <c r="Y27" s="664" t="str">
        <f t="shared" si="12"/>
        <v>--</v>
      </c>
      <c r="Z27" s="665">
        <f t="shared" si="15"/>
      </c>
      <c r="AA27" s="57">
        <f t="shared" si="13"/>
      </c>
      <c r="AB27" s="3"/>
    </row>
    <row r="28" spans="1:28" ht="16.5" customHeight="1">
      <c r="A28" s="1"/>
      <c r="B28" s="2"/>
      <c r="C28" s="563"/>
      <c r="D28" s="563"/>
      <c r="E28" s="563"/>
      <c r="F28" s="564"/>
      <c r="G28" s="565"/>
      <c r="H28" s="566"/>
      <c r="I28" s="456">
        <f t="shared" si="0"/>
        <v>17.4305</v>
      </c>
      <c r="J28" s="571"/>
      <c r="K28" s="571"/>
      <c r="L28" s="15">
        <f t="shared" si="1"/>
      </c>
      <c r="M28" s="16">
        <f t="shared" si="2"/>
      </c>
      <c r="N28" s="572"/>
      <c r="O28" s="654">
        <f t="shared" si="14"/>
      </c>
      <c r="P28" s="655" t="str">
        <f t="shared" si="3"/>
        <v>--</v>
      </c>
      <c r="Q28" s="656" t="str">
        <f t="shared" si="4"/>
        <v>--</v>
      </c>
      <c r="R28" s="657" t="str">
        <f t="shared" si="5"/>
        <v>--</v>
      </c>
      <c r="S28" s="658" t="str">
        <f t="shared" si="6"/>
        <v>--</v>
      </c>
      <c r="T28" s="659" t="str">
        <f t="shared" si="7"/>
        <v>--</v>
      </c>
      <c r="U28" s="660" t="str">
        <f t="shared" si="8"/>
        <v>--</v>
      </c>
      <c r="V28" s="661" t="str">
        <f t="shared" si="9"/>
        <v>--</v>
      </c>
      <c r="W28" s="662" t="str">
        <f t="shared" si="10"/>
        <v>--</v>
      </c>
      <c r="X28" s="663" t="str">
        <f t="shared" si="11"/>
        <v>--</v>
      </c>
      <c r="Y28" s="664" t="str">
        <f t="shared" si="12"/>
        <v>--</v>
      </c>
      <c r="Z28" s="665">
        <f t="shared" si="15"/>
      </c>
      <c r="AA28" s="57">
        <f t="shared" si="13"/>
      </c>
      <c r="AB28" s="3"/>
    </row>
    <row r="29" spans="1:28" ht="16.5" customHeight="1">
      <c r="A29" s="1"/>
      <c r="B29" s="2"/>
      <c r="C29" s="563"/>
      <c r="D29" s="563"/>
      <c r="E29" s="563"/>
      <c r="F29" s="564"/>
      <c r="G29" s="565"/>
      <c r="H29" s="566"/>
      <c r="I29" s="456">
        <f t="shared" si="0"/>
        <v>17.4305</v>
      </c>
      <c r="J29" s="571"/>
      <c r="K29" s="571"/>
      <c r="L29" s="15">
        <f t="shared" si="1"/>
      </c>
      <c r="M29" s="16">
        <f t="shared" si="2"/>
      </c>
      <c r="N29" s="572"/>
      <c r="O29" s="654">
        <f t="shared" si="14"/>
      </c>
      <c r="P29" s="655" t="str">
        <f t="shared" si="3"/>
        <v>--</v>
      </c>
      <c r="Q29" s="656" t="str">
        <f t="shared" si="4"/>
        <v>--</v>
      </c>
      <c r="R29" s="657" t="str">
        <f t="shared" si="5"/>
        <v>--</v>
      </c>
      <c r="S29" s="658" t="str">
        <f t="shared" si="6"/>
        <v>--</v>
      </c>
      <c r="T29" s="659" t="str">
        <f t="shared" si="7"/>
        <v>--</v>
      </c>
      <c r="U29" s="660" t="str">
        <f t="shared" si="8"/>
        <v>--</v>
      </c>
      <c r="V29" s="661" t="str">
        <f t="shared" si="9"/>
        <v>--</v>
      </c>
      <c r="W29" s="662" t="str">
        <f t="shared" si="10"/>
        <v>--</v>
      </c>
      <c r="X29" s="663" t="str">
        <f t="shared" si="11"/>
        <v>--</v>
      </c>
      <c r="Y29" s="664" t="str">
        <f t="shared" si="12"/>
        <v>--</v>
      </c>
      <c r="Z29" s="665">
        <f t="shared" si="15"/>
      </c>
      <c r="AA29" s="57">
        <f t="shared" si="13"/>
      </c>
      <c r="AB29" s="3"/>
    </row>
    <row r="30" spans="1:28" ht="16.5" customHeight="1">
      <c r="A30" s="1"/>
      <c r="B30" s="2"/>
      <c r="C30" s="563"/>
      <c r="D30" s="563"/>
      <c r="E30" s="563"/>
      <c r="F30" s="564"/>
      <c r="G30" s="565"/>
      <c r="H30" s="566"/>
      <c r="I30" s="456">
        <f t="shared" si="0"/>
        <v>17.4305</v>
      </c>
      <c r="J30" s="571"/>
      <c r="K30" s="571"/>
      <c r="L30" s="15">
        <f t="shared" si="1"/>
      </c>
      <c r="M30" s="16">
        <f t="shared" si="2"/>
      </c>
      <c r="N30" s="572"/>
      <c r="O30" s="654">
        <f t="shared" si="14"/>
      </c>
      <c r="P30" s="655" t="str">
        <f t="shared" si="3"/>
        <v>--</v>
      </c>
      <c r="Q30" s="656" t="str">
        <f t="shared" si="4"/>
        <v>--</v>
      </c>
      <c r="R30" s="657" t="str">
        <f t="shared" si="5"/>
        <v>--</v>
      </c>
      <c r="S30" s="658" t="str">
        <f t="shared" si="6"/>
        <v>--</v>
      </c>
      <c r="T30" s="659" t="str">
        <f t="shared" si="7"/>
        <v>--</v>
      </c>
      <c r="U30" s="660" t="str">
        <f t="shared" si="8"/>
        <v>--</v>
      </c>
      <c r="V30" s="661" t="str">
        <f t="shared" si="9"/>
        <v>--</v>
      </c>
      <c r="W30" s="662" t="str">
        <f t="shared" si="10"/>
        <v>--</v>
      </c>
      <c r="X30" s="663" t="str">
        <f t="shared" si="11"/>
        <v>--</v>
      </c>
      <c r="Y30" s="664" t="str">
        <f t="shared" si="12"/>
        <v>--</v>
      </c>
      <c r="Z30" s="665">
        <f t="shared" si="15"/>
      </c>
      <c r="AA30" s="57">
        <f t="shared" si="13"/>
      </c>
      <c r="AB30" s="3"/>
    </row>
    <row r="31" spans="1:28" ht="16.5" customHeight="1">
      <c r="A31" s="1"/>
      <c r="B31" s="2"/>
      <c r="C31" s="563"/>
      <c r="D31" s="563"/>
      <c r="E31" s="563"/>
      <c r="F31" s="564"/>
      <c r="G31" s="565"/>
      <c r="H31" s="566"/>
      <c r="I31" s="456">
        <f t="shared" si="0"/>
        <v>17.4305</v>
      </c>
      <c r="J31" s="571"/>
      <c r="K31" s="571"/>
      <c r="L31" s="15">
        <f t="shared" si="1"/>
      </c>
      <c r="M31" s="16">
        <f t="shared" si="2"/>
      </c>
      <c r="N31" s="572"/>
      <c r="O31" s="654">
        <f t="shared" si="14"/>
      </c>
      <c r="P31" s="655" t="str">
        <f t="shared" si="3"/>
        <v>--</v>
      </c>
      <c r="Q31" s="656" t="str">
        <f t="shared" si="4"/>
        <v>--</v>
      </c>
      <c r="R31" s="657" t="str">
        <f t="shared" si="5"/>
        <v>--</v>
      </c>
      <c r="S31" s="658" t="str">
        <f t="shared" si="6"/>
        <v>--</v>
      </c>
      <c r="T31" s="659" t="str">
        <f t="shared" si="7"/>
        <v>--</v>
      </c>
      <c r="U31" s="660" t="str">
        <f t="shared" si="8"/>
        <v>--</v>
      </c>
      <c r="V31" s="661" t="str">
        <f t="shared" si="9"/>
        <v>--</v>
      </c>
      <c r="W31" s="662" t="str">
        <f t="shared" si="10"/>
        <v>--</v>
      </c>
      <c r="X31" s="663" t="str">
        <f t="shared" si="11"/>
        <v>--</v>
      </c>
      <c r="Y31" s="664" t="str">
        <f t="shared" si="12"/>
        <v>--</v>
      </c>
      <c r="Z31" s="665">
        <f t="shared" si="15"/>
      </c>
      <c r="AA31" s="57">
        <f t="shared" si="13"/>
      </c>
      <c r="AB31" s="3"/>
    </row>
    <row r="32" spans="1:28" ht="16.5" customHeight="1">
      <c r="A32" s="1"/>
      <c r="B32" s="2"/>
      <c r="C32" s="563"/>
      <c r="D32" s="563"/>
      <c r="E32" s="563"/>
      <c r="F32" s="564"/>
      <c r="G32" s="565"/>
      <c r="H32" s="566"/>
      <c r="I32" s="456">
        <f t="shared" si="0"/>
        <v>17.4305</v>
      </c>
      <c r="J32" s="571"/>
      <c r="K32" s="571"/>
      <c r="L32" s="15">
        <f t="shared" si="1"/>
      </c>
      <c r="M32" s="16">
        <f t="shared" si="2"/>
      </c>
      <c r="N32" s="572"/>
      <c r="O32" s="654">
        <f t="shared" si="14"/>
      </c>
      <c r="P32" s="655" t="str">
        <f t="shared" si="3"/>
        <v>--</v>
      </c>
      <c r="Q32" s="656" t="str">
        <f t="shared" si="4"/>
        <v>--</v>
      </c>
      <c r="R32" s="657" t="str">
        <f t="shared" si="5"/>
        <v>--</v>
      </c>
      <c r="S32" s="658" t="str">
        <f t="shared" si="6"/>
        <v>--</v>
      </c>
      <c r="T32" s="659" t="str">
        <f t="shared" si="7"/>
        <v>--</v>
      </c>
      <c r="U32" s="660" t="str">
        <f t="shared" si="8"/>
        <v>--</v>
      </c>
      <c r="V32" s="661" t="str">
        <f t="shared" si="9"/>
        <v>--</v>
      </c>
      <c r="W32" s="662" t="str">
        <f t="shared" si="10"/>
        <v>--</v>
      </c>
      <c r="X32" s="663" t="str">
        <f t="shared" si="11"/>
        <v>--</v>
      </c>
      <c r="Y32" s="664" t="str">
        <f t="shared" si="12"/>
        <v>--</v>
      </c>
      <c r="Z32" s="665">
        <f t="shared" si="15"/>
      </c>
      <c r="AA32" s="57">
        <f t="shared" si="13"/>
      </c>
      <c r="AB32" s="3"/>
    </row>
    <row r="33" spans="1:28" ht="16.5" customHeight="1">
      <c r="A33" s="1"/>
      <c r="B33" s="2"/>
      <c r="C33" s="563"/>
      <c r="D33" s="563"/>
      <c r="E33" s="563"/>
      <c r="F33" s="564"/>
      <c r="G33" s="565"/>
      <c r="H33" s="566"/>
      <c r="I33" s="456">
        <f t="shared" si="0"/>
        <v>17.4305</v>
      </c>
      <c r="J33" s="571"/>
      <c r="K33" s="571"/>
      <c r="L33" s="15">
        <f t="shared" si="1"/>
      </c>
      <c r="M33" s="16">
        <f t="shared" si="2"/>
      </c>
      <c r="N33" s="572"/>
      <c r="O33" s="654">
        <f t="shared" si="14"/>
      </c>
      <c r="P33" s="655" t="str">
        <f t="shared" si="3"/>
        <v>--</v>
      </c>
      <c r="Q33" s="656" t="str">
        <f t="shared" si="4"/>
        <v>--</v>
      </c>
      <c r="R33" s="657" t="str">
        <f t="shared" si="5"/>
        <v>--</v>
      </c>
      <c r="S33" s="658" t="str">
        <f t="shared" si="6"/>
        <v>--</v>
      </c>
      <c r="T33" s="659" t="str">
        <f t="shared" si="7"/>
        <v>--</v>
      </c>
      <c r="U33" s="660" t="str">
        <f t="shared" si="8"/>
        <v>--</v>
      </c>
      <c r="V33" s="661" t="str">
        <f t="shared" si="9"/>
        <v>--</v>
      </c>
      <c r="W33" s="662" t="str">
        <f t="shared" si="10"/>
        <v>--</v>
      </c>
      <c r="X33" s="663" t="str">
        <f t="shared" si="11"/>
        <v>--</v>
      </c>
      <c r="Y33" s="664" t="str">
        <f t="shared" si="12"/>
        <v>--</v>
      </c>
      <c r="Z33" s="665">
        <f t="shared" si="15"/>
      </c>
      <c r="AA33" s="57">
        <f t="shared" si="13"/>
      </c>
      <c r="AB33" s="3"/>
    </row>
    <row r="34" spans="1:28" ht="16.5" customHeight="1">
      <c r="A34" s="1"/>
      <c r="B34" s="2"/>
      <c r="C34" s="563"/>
      <c r="D34" s="563"/>
      <c r="E34" s="563"/>
      <c r="F34" s="564"/>
      <c r="G34" s="565"/>
      <c r="H34" s="566"/>
      <c r="I34" s="456">
        <f t="shared" si="0"/>
        <v>17.4305</v>
      </c>
      <c r="J34" s="571"/>
      <c r="K34" s="571"/>
      <c r="L34" s="15">
        <f t="shared" si="1"/>
      </c>
      <c r="M34" s="16">
        <f t="shared" si="2"/>
      </c>
      <c r="N34" s="572"/>
      <c r="O34" s="654">
        <f t="shared" si="14"/>
      </c>
      <c r="P34" s="655" t="str">
        <f t="shared" si="3"/>
        <v>--</v>
      </c>
      <c r="Q34" s="656" t="str">
        <f t="shared" si="4"/>
        <v>--</v>
      </c>
      <c r="R34" s="657" t="str">
        <f t="shared" si="5"/>
        <v>--</v>
      </c>
      <c r="S34" s="658" t="str">
        <f t="shared" si="6"/>
        <v>--</v>
      </c>
      <c r="T34" s="659" t="str">
        <f t="shared" si="7"/>
        <v>--</v>
      </c>
      <c r="U34" s="660" t="str">
        <f t="shared" si="8"/>
        <v>--</v>
      </c>
      <c r="V34" s="661" t="str">
        <f t="shared" si="9"/>
        <v>--</v>
      </c>
      <c r="W34" s="662" t="str">
        <f t="shared" si="10"/>
        <v>--</v>
      </c>
      <c r="X34" s="663" t="str">
        <f t="shared" si="11"/>
        <v>--</v>
      </c>
      <c r="Y34" s="664" t="str">
        <f t="shared" si="12"/>
        <v>--</v>
      </c>
      <c r="Z34" s="665">
        <f t="shared" si="15"/>
      </c>
      <c r="AA34" s="57">
        <f t="shared" si="13"/>
      </c>
      <c r="AB34" s="3"/>
    </row>
    <row r="35" spans="1:28" ht="16.5" customHeight="1">
      <c r="A35" s="1"/>
      <c r="B35" s="2"/>
      <c r="C35" s="563"/>
      <c r="D35" s="563"/>
      <c r="E35" s="563"/>
      <c r="F35" s="564"/>
      <c r="G35" s="565"/>
      <c r="H35" s="566"/>
      <c r="I35" s="456">
        <f t="shared" si="0"/>
        <v>17.4305</v>
      </c>
      <c r="J35" s="571"/>
      <c r="K35" s="571"/>
      <c r="L35" s="15">
        <f t="shared" si="1"/>
      </c>
      <c r="M35" s="16">
        <f t="shared" si="2"/>
      </c>
      <c r="N35" s="572"/>
      <c r="O35" s="654">
        <f t="shared" si="14"/>
      </c>
      <c r="P35" s="655" t="str">
        <f t="shared" si="3"/>
        <v>--</v>
      </c>
      <c r="Q35" s="656" t="str">
        <f t="shared" si="4"/>
        <v>--</v>
      </c>
      <c r="R35" s="657" t="str">
        <f t="shared" si="5"/>
        <v>--</v>
      </c>
      <c r="S35" s="658" t="str">
        <f t="shared" si="6"/>
        <v>--</v>
      </c>
      <c r="T35" s="659" t="str">
        <f t="shared" si="7"/>
        <v>--</v>
      </c>
      <c r="U35" s="660" t="str">
        <f t="shared" si="8"/>
        <v>--</v>
      </c>
      <c r="V35" s="661" t="str">
        <f t="shared" si="9"/>
        <v>--</v>
      </c>
      <c r="W35" s="662" t="str">
        <f t="shared" si="10"/>
        <v>--</v>
      </c>
      <c r="X35" s="663" t="str">
        <f t="shared" si="11"/>
        <v>--</v>
      </c>
      <c r="Y35" s="664" t="str">
        <f t="shared" si="12"/>
        <v>--</v>
      </c>
      <c r="Z35" s="665">
        <f t="shared" si="15"/>
      </c>
      <c r="AA35" s="57">
        <f t="shared" si="13"/>
      </c>
      <c r="AB35" s="3"/>
    </row>
    <row r="36" spans="1:28" ht="16.5" customHeight="1">
      <c r="A36" s="1"/>
      <c r="B36" s="2"/>
      <c r="C36" s="563"/>
      <c r="D36" s="563"/>
      <c r="E36" s="563"/>
      <c r="F36" s="564"/>
      <c r="G36" s="565"/>
      <c r="H36" s="566"/>
      <c r="I36" s="456">
        <f t="shared" si="0"/>
        <v>17.4305</v>
      </c>
      <c r="J36" s="571"/>
      <c r="K36" s="571"/>
      <c r="L36" s="15">
        <f t="shared" si="1"/>
      </c>
      <c r="M36" s="16">
        <f t="shared" si="2"/>
      </c>
      <c r="N36" s="572"/>
      <c r="O36" s="654">
        <f t="shared" si="14"/>
      </c>
      <c r="P36" s="655" t="str">
        <f t="shared" si="3"/>
        <v>--</v>
      </c>
      <c r="Q36" s="656" t="str">
        <f t="shared" si="4"/>
        <v>--</v>
      </c>
      <c r="R36" s="657" t="str">
        <f t="shared" si="5"/>
        <v>--</v>
      </c>
      <c r="S36" s="658" t="str">
        <f t="shared" si="6"/>
        <v>--</v>
      </c>
      <c r="T36" s="659" t="str">
        <f t="shared" si="7"/>
        <v>--</v>
      </c>
      <c r="U36" s="660" t="str">
        <f t="shared" si="8"/>
        <v>--</v>
      </c>
      <c r="V36" s="661" t="str">
        <f t="shared" si="9"/>
        <v>--</v>
      </c>
      <c r="W36" s="662" t="str">
        <f t="shared" si="10"/>
        <v>--</v>
      </c>
      <c r="X36" s="663" t="str">
        <f t="shared" si="11"/>
        <v>--</v>
      </c>
      <c r="Y36" s="664" t="str">
        <f t="shared" si="12"/>
        <v>--</v>
      </c>
      <c r="Z36" s="665">
        <f t="shared" si="15"/>
      </c>
      <c r="AA36" s="57">
        <f t="shared" si="13"/>
      </c>
      <c r="AB36" s="3"/>
    </row>
    <row r="37" spans="1:28" ht="16.5" customHeight="1">
      <c r="A37" s="1"/>
      <c r="B37" s="2"/>
      <c r="C37" s="563"/>
      <c r="D37" s="563"/>
      <c r="E37" s="563"/>
      <c r="F37" s="564"/>
      <c r="G37" s="565"/>
      <c r="H37" s="566"/>
      <c r="I37" s="456">
        <f t="shared" si="0"/>
        <v>17.4305</v>
      </c>
      <c r="J37" s="571"/>
      <c r="K37" s="571"/>
      <c r="L37" s="15">
        <f t="shared" si="1"/>
      </c>
      <c r="M37" s="16">
        <f t="shared" si="2"/>
      </c>
      <c r="N37" s="572"/>
      <c r="O37" s="654">
        <f t="shared" si="14"/>
      </c>
      <c r="P37" s="655" t="str">
        <f t="shared" si="3"/>
        <v>--</v>
      </c>
      <c r="Q37" s="656" t="str">
        <f t="shared" si="4"/>
        <v>--</v>
      </c>
      <c r="R37" s="657" t="str">
        <f t="shared" si="5"/>
        <v>--</v>
      </c>
      <c r="S37" s="658" t="str">
        <f t="shared" si="6"/>
        <v>--</v>
      </c>
      <c r="T37" s="659" t="str">
        <f t="shared" si="7"/>
        <v>--</v>
      </c>
      <c r="U37" s="660" t="str">
        <f t="shared" si="8"/>
        <v>--</v>
      </c>
      <c r="V37" s="661" t="str">
        <f t="shared" si="9"/>
        <v>--</v>
      </c>
      <c r="W37" s="662" t="str">
        <f t="shared" si="10"/>
        <v>--</v>
      </c>
      <c r="X37" s="663" t="str">
        <f t="shared" si="11"/>
        <v>--</v>
      </c>
      <c r="Y37" s="664" t="str">
        <f t="shared" si="12"/>
        <v>--</v>
      </c>
      <c r="Z37" s="665">
        <f t="shared" si="15"/>
      </c>
      <c r="AA37" s="57">
        <f t="shared" si="13"/>
      </c>
      <c r="AB37" s="3"/>
    </row>
    <row r="38" spans="2:28" ht="16.5" customHeight="1">
      <c r="B38" s="58"/>
      <c r="C38" s="563"/>
      <c r="D38" s="563"/>
      <c r="E38" s="563"/>
      <c r="F38" s="564"/>
      <c r="G38" s="565"/>
      <c r="H38" s="566"/>
      <c r="I38" s="456">
        <f t="shared" si="0"/>
        <v>17.4305</v>
      </c>
      <c r="J38" s="571"/>
      <c r="K38" s="571"/>
      <c r="L38" s="15">
        <f t="shared" si="1"/>
      </c>
      <c r="M38" s="16">
        <f t="shared" si="2"/>
      </c>
      <c r="N38" s="572"/>
      <c r="O38" s="654">
        <f t="shared" si="14"/>
      </c>
      <c r="P38" s="655" t="str">
        <f t="shared" si="3"/>
        <v>--</v>
      </c>
      <c r="Q38" s="656" t="str">
        <f t="shared" si="4"/>
        <v>--</v>
      </c>
      <c r="R38" s="657" t="str">
        <f t="shared" si="5"/>
        <v>--</v>
      </c>
      <c r="S38" s="658" t="str">
        <f t="shared" si="6"/>
        <v>--</v>
      </c>
      <c r="T38" s="659" t="str">
        <f t="shared" si="7"/>
        <v>--</v>
      </c>
      <c r="U38" s="660" t="str">
        <f t="shared" si="8"/>
        <v>--</v>
      </c>
      <c r="V38" s="661" t="str">
        <f t="shared" si="9"/>
        <v>--</v>
      </c>
      <c r="W38" s="662" t="str">
        <f t="shared" si="10"/>
        <v>--</v>
      </c>
      <c r="X38" s="663" t="str">
        <f t="shared" si="11"/>
        <v>--</v>
      </c>
      <c r="Y38" s="664" t="str">
        <f t="shared" si="12"/>
        <v>--</v>
      </c>
      <c r="Z38" s="665">
        <f t="shared" si="15"/>
      </c>
      <c r="AA38" s="57">
        <f t="shared" si="13"/>
      </c>
      <c r="AB38" s="3"/>
    </row>
    <row r="39" spans="2:28" ht="16.5" customHeight="1">
      <c r="B39" s="58"/>
      <c r="C39" s="563"/>
      <c r="D39" s="563"/>
      <c r="E39" s="563"/>
      <c r="F39" s="564"/>
      <c r="G39" s="565"/>
      <c r="H39" s="566"/>
      <c r="I39" s="456">
        <f t="shared" si="0"/>
        <v>17.4305</v>
      </c>
      <c r="J39" s="571"/>
      <c r="K39" s="571"/>
      <c r="L39" s="15">
        <f t="shared" si="1"/>
      </c>
      <c r="M39" s="16">
        <f t="shared" si="2"/>
      </c>
      <c r="N39" s="572"/>
      <c r="O39" s="654">
        <f t="shared" si="14"/>
      </c>
      <c r="P39" s="655" t="str">
        <f t="shared" si="3"/>
        <v>--</v>
      </c>
      <c r="Q39" s="656" t="str">
        <f t="shared" si="4"/>
        <v>--</v>
      </c>
      <c r="R39" s="657" t="str">
        <f t="shared" si="5"/>
        <v>--</v>
      </c>
      <c r="S39" s="658" t="str">
        <f t="shared" si="6"/>
        <v>--</v>
      </c>
      <c r="T39" s="659" t="str">
        <f t="shared" si="7"/>
        <v>--</v>
      </c>
      <c r="U39" s="660" t="str">
        <f t="shared" si="8"/>
        <v>--</v>
      </c>
      <c r="V39" s="661" t="str">
        <f t="shared" si="9"/>
        <v>--</v>
      </c>
      <c r="W39" s="662" t="str">
        <f t="shared" si="10"/>
        <v>--</v>
      </c>
      <c r="X39" s="663" t="str">
        <f t="shared" si="11"/>
        <v>--</v>
      </c>
      <c r="Y39" s="664" t="str">
        <f t="shared" si="12"/>
        <v>--</v>
      </c>
      <c r="Z39" s="665">
        <f t="shared" si="15"/>
      </c>
      <c r="AA39" s="57">
        <f t="shared" si="13"/>
      </c>
      <c r="AB39" s="3"/>
    </row>
    <row r="40" spans="2:28" ht="16.5" customHeight="1">
      <c r="B40" s="58"/>
      <c r="C40" s="563"/>
      <c r="D40" s="563"/>
      <c r="E40" s="563"/>
      <c r="F40" s="564"/>
      <c r="G40" s="565"/>
      <c r="H40" s="566"/>
      <c r="I40" s="456">
        <f t="shared" si="0"/>
        <v>17.4305</v>
      </c>
      <c r="J40" s="571"/>
      <c r="K40" s="571"/>
      <c r="L40" s="15">
        <f t="shared" si="1"/>
      </c>
      <c r="M40" s="16">
        <f t="shared" si="2"/>
      </c>
      <c r="N40" s="572"/>
      <c r="O40" s="654">
        <f t="shared" si="14"/>
      </c>
      <c r="P40" s="655" t="str">
        <f t="shared" si="3"/>
        <v>--</v>
      </c>
      <c r="Q40" s="656" t="str">
        <f t="shared" si="4"/>
        <v>--</v>
      </c>
      <c r="R40" s="657" t="str">
        <f t="shared" si="5"/>
        <v>--</v>
      </c>
      <c r="S40" s="658" t="str">
        <f t="shared" si="6"/>
        <v>--</v>
      </c>
      <c r="T40" s="659" t="str">
        <f t="shared" si="7"/>
        <v>--</v>
      </c>
      <c r="U40" s="660" t="str">
        <f t="shared" si="8"/>
        <v>--</v>
      </c>
      <c r="V40" s="661" t="str">
        <f t="shared" si="9"/>
        <v>--</v>
      </c>
      <c r="W40" s="662" t="str">
        <f t="shared" si="10"/>
        <v>--</v>
      </c>
      <c r="X40" s="663" t="str">
        <f t="shared" si="11"/>
        <v>--</v>
      </c>
      <c r="Y40" s="664" t="str">
        <f t="shared" si="12"/>
        <v>--</v>
      </c>
      <c r="Z40" s="665">
        <f t="shared" si="15"/>
      </c>
      <c r="AA40" s="57">
        <f t="shared" si="13"/>
      </c>
      <c r="AB40" s="3"/>
    </row>
    <row r="41" spans="2:28" ht="16.5" customHeight="1">
      <c r="B41" s="58"/>
      <c r="C41" s="563"/>
      <c r="D41" s="563"/>
      <c r="E41" s="563"/>
      <c r="F41" s="564"/>
      <c r="G41" s="565"/>
      <c r="H41" s="566"/>
      <c r="I41" s="456">
        <f t="shared" si="0"/>
        <v>17.4305</v>
      </c>
      <c r="J41" s="571"/>
      <c r="K41" s="571"/>
      <c r="L41" s="15">
        <f t="shared" si="1"/>
      </c>
      <c r="M41" s="16">
        <f t="shared" si="2"/>
      </c>
      <c r="N41" s="572"/>
      <c r="O41" s="654">
        <f t="shared" si="14"/>
      </c>
      <c r="P41" s="655" t="str">
        <f t="shared" si="3"/>
        <v>--</v>
      </c>
      <c r="Q41" s="656" t="str">
        <f t="shared" si="4"/>
        <v>--</v>
      </c>
      <c r="R41" s="657" t="str">
        <f t="shared" si="5"/>
        <v>--</v>
      </c>
      <c r="S41" s="658" t="str">
        <f t="shared" si="6"/>
        <v>--</v>
      </c>
      <c r="T41" s="659" t="str">
        <f t="shared" si="7"/>
        <v>--</v>
      </c>
      <c r="U41" s="660" t="str">
        <f t="shared" si="8"/>
        <v>--</v>
      </c>
      <c r="V41" s="661" t="str">
        <f t="shared" si="9"/>
        <v>--</v>
      </c>
      <c r="W41" s="662" t="str">
        <f t="shared" si="10"/>
        <v>--</v>
      </c>
      <c r="X41" s="663" t="str">
        <f t="shared" si="11"/>
        <v>--</v>
      </c>
      <c r="Y41" s="664" t="str">
        <f t="shared" si="12"/>
        <v>--</v>
      </c>
      <c r="Z41" s="665">
        <f t="shared" si="15"/>
      </c>
      <c r="AA41" s="57">
        <f t="shared" si="13"/>
      </c>
      <c r="AB41" s="3"/>
    </row>
    <row r="42" spans="1:28" ht="16.5" customHeight="1" thickBot="1">
      <c r="A42" s="1"/>
      <c r="B42" s="2"/>
      <c r="C42" s="567"/>
      <c r="D42" s="686"/>
      <c r="E42" s="567"/>
      <c r="F42" s="568"/>
      <c r="G42" s="569"/>
      <c r="H42" s="570"/>
      <c r="I42" s="457"/>
      <c r="J42" s="570"/>
      <c r="K42" s="570"/>
      <c r="L42" s="17"/>
      <c r="M42" s="17"/>
      <c r="N42" s="570"/>
      <c r="O42" s="573"/>
      <c r="P42" s="574"/>
      <c r="Q42" s="575"/>
      <c r="R42" s="576"/>
      <c r="S42" s="577"/>
      <c r="T42" s="578"/>
      <c r="U42" s="579"/>
      <c r="V42" s="580"/>
      <c r="W42" s="581"/>
      <c r="X42" s="582"/>
      <c r="Y42" s="583"/>
      <c r="Z42" s="584"/>
      <c r="AA42" s="59"/>
      <c r="AB42" s="3"/>
    </row>
    <row r="43" spans="1:28" ht="16.5" customHeight="1" thickBot="1" thickTop="1">
      <c r="A43" s="1"/>
      <c r="B43" s="2"/>
      <c r="C43" s="684" t="s">
        <v>154</v>
      </c>
      <c r="D43" s="683" t="s">
        <v>153</v>
      </c>
      <c r="E43" s="649"/>
      <c r="F43" s="273"/>
      <c r="G43" s="18"/>
      <c r="H43" s="19"/>
      <c r="I43" s="60"/>
      <c r="J43" s="60"/>
      <c r="K43" s="60"/>
      <c r="L43" s="60"/>
      <c r="M43" s="60"/>
      <c r="N43" s="60"/>
      <c r="O43" s="61"/>
      <c r="P43" s="362">
        <f aca="true" t="shared" si="16" ref="P43:Y43">ROUND(SUM(P20:P42),2)</f>
        <v>7.69</v>
      </c>
      <c r="Q43" s="363">
        <f t="shared" si="16"/>
        <v>0</v>
      </c>
      <c r="R43" s="364">
        <f t="shared" si="16"/>
        <v>0</v>
      </c>
      <c r="S43" s="364">
        <f t="shared" si="16"/>
        <v>0</v>
      </c>
      <c r="T43" s="365">
        <f t="shared" si="16"/>
        <v>0</v>
      </c>
      <c r="U43" s="366">
        <f t="shared" si="16"/>
        <v>0</v>
      </c>
      <c r="V43" s="366">
        <f t="shared" si="16"/>
        <v>0</v>
      </c>
      <c r="W43" s="367">
        <f t="shared" si="16"/>
        <v>0</v>
      </c>
      <c r="X43" s="368">
        <f t="shared" si="16"/>
        <v>0</v>
      </c>
      <c r="Y43" s="369">
        <f t="shared" si="16"/>
        <v>0</v>
      </c>
      <c r="Z43" s="62"/>
      <c r="AA43" s="653">
        <f>ROUND(SUM(AA20:AA42),2)</f>
        <v>7.69</v>
      </c>
      <c r="AB43" s="63"/>
    </row>
    <row r="44" spans="1:28" s="287" customFormat="1" ht="9.75" thickTop="1">
      <c r="A44" s="276"/>
      <c r="B44" s="277"/>
      <c r="C44" s="274"/>
      <c r="D44" s="274"/>
      <c r="E44" s="274"/>
      <c r="F44" s="275"/>
      <c r="G44" s="278"/>
      <c r="H44" s="279"/>
      <c r="I44" s="280"/>
      <c r="J44" s="280"/>
      <c r="K44" s="280"/>
      <c r="L44" s="280"/>
      <c r="M44" s="280"/>
      <c r="N44" s="280"/>
      <c r="O44" s="281"/>
      <c r="P44" s="282"/>
      <c r="Q44" s="282"/>
      <c r="R44" s="283"/>
      <c r="S44" s="283"/>
      <c r="T44" s="284"/>
      <c r="U44" s="284"/>
      <c r="V44" s="284"/>
      <c r="W44" s="284"/>
      <c r="X44" s="284"/>
      <c r="Y44" s="284"/>
      <c r="Z44" s="284"/>
      <c r="AA44" s="285"/>
      <c r="AB44" s="286"/>
    </row>
    <row r="45" spans="1:28" s="12" customFormat="1" ht="16.5" customHeight="1" thickBot="1">
      <c r="A45" s="1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46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D89"/>
  <sheetViews>
    <sheetView zoomScale="70" zoomScaleNormal="70" workbookViewId="0" topLeftCell="A1">
      <selection activeCell="F10" sqref="F10"/>
    </sheetView>
  </sheetViews>
  <sheetFormatPr defaultColWidth="11.421875" defaultRowHeight="12.75"/>
  <cols>
    <col min="1" max="1" width="2.7109375" style="0" customWidth="1"/>
    <col min="2" max="2" width="4.140625" style="0" customWidth="1"/>
    <col min="3" max="3" width="4.7109375" style="0" customWidth="1"/>
    <col min="4" max="4" width="15.7109375" style="0" customWidth="1"/>
    <col min="5" max="5" width="11.5742187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2.00390625" style="0" customWidth="1"/>
    <col min="27" max="27" width="13.57421875" style="0" customWidth="1"/>
    <col min="28" max="28" width="4.140625" style="0" customWidth="1"/>
  </cols>
  <sheetData>
    <row r="1" s="125" customFormat="1" ht="26.25">
      <c r="AB1" s="467"/>
    </row>
    <row r="2" spans="2:28" s="125" customFormat="1" ht="26.25">
      <c r="B2" s="126" t="str">
        <f>+'TOT-0111'!B2</f>
        <v>ANEXO I al Memoranum D.T.E.E.  N°   482  /2012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="12" customFormat="1" ht="12.75"/>
    <row r="4" spans="1:4" s="128" customFormat="1" ht="11.25">
      <c r="A4" s="652" t="s">
        <v>17</v>
      </c>
      <c r="C4" s="651"/>
      <c r="D4" s="651"/>
    </row>
    <row r="5" spans="1:4" s="128" customFormat="1" ht="11.25">
      <c r="A5" s="652" t="s">
        <v>134</v>
      </c>
      <c r="C5" s="651"/>
      <c r="D5" s="651"/>
    </row>
    <row r="6" s="12" customFormat="1" ht="13.5" thickBot="1"/>
    <row r="7" spans="1:28" s="12" customFormat="1" ht="13.5" thickTop="1">
      <c r="A7" s="10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s="130" customFormat="1" ht="20.25">
      <c r="A8" s="47"/>
      <c r="B8" s="129"/>
      <c r="C8" s="47"/>
      <c r="D8" s="47"/>
      <c r="E8" s="47"/>
      <c r="F8" s="23" t="s">
        <v>39</v>
      </c>
      <c r="G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31"/>
    </row>
    <row r="9" spans="1:28" s="12" customFormat="1" ht="12.75">
      <c r="A9" s="10"/>
      <c r="B9" s="46"/>
      <c r="C9" s="10"/>
      <c r="D9" s="10"/>
      <c r="E9" s="10"/>
      <c r="F9" s="142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30" customFormat="1" ht="20.25">
      <c r="A10" s="47"/>
      <c r="B10" s="129"/>
      <c r="C10" s="47"/>
      <c r="D10" s="47"/>
      <c r="E10" s="47"/>
      <c r="F10" s="23" t="s">
        <v>131</v>
      </c>
      <c r="G10" s="23"/>
      <c r="H10" s="47"/>
      <c r="I10" s="132"/>
      <c r="J10" s="132"/>
      <c r="K10" s="132"/>
      <c r="L10" s="132"/>
      <c r="M10" s="132"/>
      <c r="N10" s="132"/>
      <c r="O10" s="132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131"/>
    </row>
    <row r="11" spans="1:28" s="12" customFormat="1" ht="12.75">
      <c r="A11" s="10"/>
      <c r="B11" s="46"/>
      <c r="C11" s="10"/>
      <c r="D11" s="10"/>
      <c r="E11" s="10"/>
      <c r="F11" s="141"/>
      <c r="G11" s="139"/>
      <c r="H11" s="10"/>
      <c r="I11" s="138"/>
      <c r="J11" s="138"/>
      <c r="K11" s="138"/>
      <c r="L11" s="138"/>
      <c r="M11" s="138"/>
      <c r="N11" s="138"/>
      <c r="O11" s="13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37" customFormat="1" ht="19.5">
      <c r="A12" s="49"/>
      <c r="B12" s="103" t="str">
        <f>+'TOT-0111'!B14</f>
        <v>Desde el 01 al 31 de enero de 2011</v>
      </c>
      <c r="C12" s="133"/>
      <c r="D12" s="133"/>
      <c r="E12" s="133"/>
      <c r="F12" s="133"/>
      <c r="G12" s="134"/>
      <c r="H12" s="134"/>
      <c r="I12" s="135"/>
      <c r="J12" s="135"/>
      <c r="K12" s="135"/>
      <c r="L12" s="135"/>
      <c r="M12" s="135"/>
      <c r="N12" s="135"/>
      <c r="O12" s="135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6"/>
    </row>
    <row r="13" spans="1:28" s="137" customFormat="1" ht="7.5" customHeight="1">
      <c r="A13" s="49"/>
      <c r="B13" s="103"/>
      <c r="C13" s="133"/>
      <c r="D13" s="133"/>
      <c r="E13" s="133"/>
      <c r="F13" s="133"/>
      <c r="G13" s="134"/>
      <c r="H13" s="134"/>
      <c r="I13" s="135"/>
      <c r="J13" s="135"/>
      <c r="K13" s="135"/>
      <c r="L13" s="135"/>
      <c r="M13" s="135"/>
      <c r="N13" s="135"/>
      <c r="O13" s="135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6"/>
    </row>
    <row r="14" spans="1:28" s="12" customFormat="1" ht="7.5" customHeight="1" thickBot="1">
      <c r="A14" s="10"/>
      <c r="B14" s="46"/>
      <c r="C14" s="10"/>
      <c r="D14" s="10"/>
      <c r="E14" s="10"/>
      <c r="F14" s="10"/>
      <c r="G14" s="139"/>
      <c r="H14" s="140"/>
      <c r="I14" s="138"/>
      <c r="J14" s="138"/>
      <c r="K14" s="138"/>
      <c r="L14" s="138"/>
      <c r="M14" s="138"/>
      <c r="N14" s="138"/>
      <c r="O14" s="13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</row>
    <row r="15" spans="1:28" s="111" customFormat="1" ht="16.5" customHeight="1" thickBot="1" thickTop="1">
      <c r="A15" s="107"/>
      <c r="B15" s="108"/>
      <c r="C15" s="107"/>
      <c r="D15" s="107"/>
      <c r="E15" s="107"/>
      <c r="F15" s="559" t="s">
        <v>42</v>
      </c>
      <c r="G15" s="560">
        <v>72.965</v>
      </c>
      <c r="H15" s="271"/>
      <c r="I15" s="112"/>
      <c r="J15" s="112"/>
      <c r="K15" s="112"/>
      <c r="L15" s="112"/>
      <c r="M15" s="112"/>
      <c r="N15" s="112"/>
      <c r="O15" s="112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10"/>
    </row>
    <row r="16" spans="1:28" s="111" customFormat="1" ht="16.5" customHeight="1" thickBot="1" thickTop="1">
      <c r="A16" s="107"/>
      <c r="B16" s="108"/>
      <c r="C16" s="107"/>
      <c r="D16" s="107"/>
      <c r="E16" s="107"/>
      <c r="F16" s="559" t="s">
        <v>43</v>
      </c>
      <c r="G16" s="560">
        <v>69.722</v>
      </c>
      <c r="H16" s="272"/>
      <c r="I16" s="107"/>
      <c r="K16" s="113" t="s">
        <v>44</v>
      </c>
      <c r="L16" s="114">
        <f>30*'TOT-0111'!B13</f>
        <v>30</v>
      </c>
      <c r="M16" s="268" t="str">
        <f>IF(L16=30," ",IF(L16=60,"Coeficiente duplicado por tasa de falla &gt;4 Sal. x año/100 km.","REVISAR COEFICIENTE"))</f>
        <v> 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10"/>
    </row>
    <row r="17" spans="1:28" s="111" customFormat="1" ht="7.5" customHeight="1" thickTop="1">
      <c r="A17" s="107"/>
      <c r="B17" s="108"/>
      <c r="C17" s="107"/>
      <c r="D17" s="107"/>
      <c r="E17" s="107"/>
      <c r="F17" s="640"/>
      <c r="G17" s="641"/>
      <c r="H17" s="642"/>
      <c r="I17" s="107"/>
      <c r="K17" s="113"/>
      <c r="L17" s="114"/>
      <c r="M17" s="268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10"/>
    </row>
    <row r="18" spans="1:28" s="677" customFormat="1" ht="15" customHeight="1" thickBot="1">
      <c r="A18" s="673"/>
      <c r="B18" s="674"/>
      <c r="C18" s="675">
        <v>3</v>
      </c>
      <c r="D18" s="675">
        <v>4</v>
      </c>
      <c r="E18" s="675">
        <v>5</v>
      </c>
      <c r="F18" s="675">
        <v>6</v>
      </c>
      <c r="G18" s="675">
        <v>7</v>
      </c>
      <c r="H18" s="675">
        <v>8</v>
      </c>
      <c r="I18" s="675">
        <v>9</v>
      </c>
      <c r="J18" s="675">
        <v>10</v>
      </c>
      <c r="K18" s="675">
        <v>11</v>
      </c>
      <c r="L18" s="675">
        <v>12</v>
      </c>
      <c r="M18" s="675">
        <v>13</v>
      </c>
      <c r="N18" s="675">
        <v>14</v>
      </c>
      <c r="O18" s="675">
        <v>15</v>
      </c>
      <c r="P18" s="675">
        <v>16</v>
      </c>
      <c r="Q18" s="675">
        <v>17</v>
      </c>
      <c r="R18" s="675">
        <v>18</v>
      </c>
      <c r="S18" s="675">
        <v>19</v>
      </c>
      <c r="T18" s="675">
        <v>20</v>
      </c>
      <c r="U18" s="675">
        <v>21</v>
      </c>
      <c r="V18" s="675">
        <v>22</v>
      </c>
      <c r="W18" s="675">
        <v>23</v>
      </c>
      <c r="X18" s="675">
        <v>24</v>
      </c>
      <c r="Y18" s="675">
        <v>25</v>
      </c>
      <c r="Z18" s="675">
        <v>26</v>
      </c>
      <c r="AA18" s="675">
        <v>27</v>
      </c>
      <c r="AB18" s="676"/>
    </row>
    <row r="19" spans="1:28" s="124" customFormat="1" ht="33.75" customHeight="1" thickBot="1" thickTop="1">
      <c r="A19" s="115"/>
      <c r="B19" s="116"/>
      <c r="C19" s="117" t="s">
        <v>45</v>
      </c>
      <c r="D19" s="117" t="s">
        <v>133</v>
      </c>
      <c r="E19" s="117" t="s">
        <v>132</v>
      </c>
      <c r="F19" s="118" t="s">
        <v>20</v>
      </c>
      <c r="G19" s="119" t="s">
        <v>46</v>
      </c>
      <c r="H19" s="120" t="s">
        <v>47</v>
      </c>
      <c r="I19" s="299" t="s">
        <v>48</v>
      </c>
      <c r="J19" s="118" t="s">
        <v>49</v>
      </c>
      <c r="K19" s="118" t="s">
        <v>50</v>
      </c>
      <c r="L19" s="119" t="s">
        <v>51</v>
      </c>
      <c r="M19" s="119" t="s">
        <v>52</v>
      </c>
      <c r="N19" s="121" t="s">
        <v>53</v>
      </c>
      <c r="O19" s="119" t="s">
        <v>54</v>
      </c>
      <c r="P19" s="329" t="s">
        <v>55</v>
      </c>
      <c r="Q19" s="332" t="s">
        <v>56</v>
      </c>
      <c r="R19" s="335" t="s">
        <v>57</v>
      </c>
      <c r="S19" s="336"/>
      <c r="T19" s="337"/>
      <c r="U19" s="346" t="s">
        <v>58</v>
      </c>
      <c r="V19" s="347"/>
      <c r="W19" s="348"/>
      <c r="X19" s="356" t="s">
        <v>59</v>
      </c>
      <c r="Y19" s="359" t="s">
        <v>60</v>
      </c>
      <c r="Z19" s="122" t="s">
        <v>61</v>
      </c>
      <c r="AA19" s="122" t="s">
        <v>62</v>
      </c>
      <c r="AB19" s="123"/>
    </row>
    <row r="20" spans="1:28" ht="16.5" customHeight="1" thickTop="1">
      <c r="A20" s="1"/>
      <c r="B20" s="2"/>
      <c r="C20" s="53"/>
      <c r="D20" s="104"/>
      <c r="E20" s="104"/>
      <c r="F20" s="54"/>
      <c r="G20" s="55"/>
      <c r="H20" s="55"/>
      <c r="I20" s="300"/>
      <c r="J20" s="55"/>
      <c r="K20" s="56"/>
      <c r="L20" s="56"/>
      <c r="M20" s="56"/>
      <c r="N20" s="54"/>
      <c r="O20" s="55"/>
      <c r="P20" s="330"/>
      <c r="Q20" s="333"/>
      <c r="R20" s="338"/>
      <c r="S20" s="339"/>
      <c r="T20" s="340"/>
      <c r="U20" s="349"/>
      <c r="V20" s="350"/>
      <c r="W20" s="351"/>
      <c r="X20" s="357"/>
      <c r="Y20" s="360"/>
      <c r="Z20" s="344"/>
      <c r="AA20" s="56"/>
      <c r="AB20" s="3"/>
    </row>
    <row r="21" spans="1:28" ht="16.5" customHeight="1">
      <c r="A21" s="1"/>
      <c r="B21" s="2"/>
      <c r="C21" s="53"/>
      <c r="D21" s="53"/>
      <c r="E21" s="53"/>
      <c r="F21" s="53"/>
      <c r="G21" s="105"/>
      <c r="H21" s="105"/>
      <c r="I21" s="301"/>
      <c r="J21" s="53"/>
      <c r="K21" s="106"/>
      <c r="L21" s="106"/>
      <c r="M21" s="106"/>
      <c r="N21" s="104"/>
      <c r="O21" s="53"/>
      <c r="P21" s="331"/>
      <c r="Q21" s="334"/>
      <c r="R21" s="341"/>
      <c r="S21" s="342"/>
      <c r="T21" s="343"/>
      <c r="U21" s="352"/>
      <c r="V21" s="353"/>
      <c r="W21" s="354"/>
      <c r="X21" s="358"/>
      <c r="Y21" s="361"/>
      <c r="Z21" s="345"/>
      <c r="AA21" s="106"/>
      <c r="AB21" s="3"/>
    </row>
    <row r="22" spans="1:28" ht="16.5" customHeight="1">
      <c r="A22" s="1"/>
      <c r="B22" s="2"/>
      <c r="C22" s="563">
        <v>2</v>
      </c>
      <c r="D22" s="563">
        <v>230445</v>
      </c>
      <c r="E22" s="563">
        <v>1635</v>
      </c>
      <c r="F22" s="564" t="s">
        <v>143</v>
      </c>
      <c r="G22" s="565">
        <v>132</v>
      </c>
      <c r="H22" s="566">
        <v>162.60000610351562</v>
      </c>
      <c r="I22" s="302">
        <f aca="true" t="shared" si="0" ref="I22:I39">IF(H22&gt;25,H22,25)*IF(G22=330,$G$15,$G$16)/100</f>
        <v>113.36797625549316</v>
      </c>
      <c r="J22" s="571">
        <v>40549.1375</v>
      </c>
      <c r="K22" s="571">
        <v>40549.51527777778</v>
      </c>
      <c r="L22" s="15">
        <f aca="true" t="shared" si="1" ref="L22:L39">IF(F22="","",(K22-J22)*24)</f>
        <v>9.066666666709352</v>
      </c>
      <c r="M22" s="16">
        <f aca="true" t="shared" si="2" ref="M22:M39">IF(F22="","",ROUND((K22-J22)*24*60,0))</f>
        <v>544</v>
      </c>
      <c r="N22" s="572" t="s">
        <v>144</v>
      </c>
      <c r="O22" s="668" t="s">
        <v>142</v>
      </c>
      <c r="P22" s="655" t="str">
        <f aca="true" t="shared" si="3" ref="P22:P39">IF(N22="P",ROUND(M22/60,2)*I22*$L$16*0.01,"--")</f>
        <v>--</v>
      </c>
      <c r="Q22" s="656" t="str">
        <f aca="true" t="shared" si="4" ref="Q22:Q39">IF(N22="RP",ROUND(M22/60,2)*I22*$L$16*0.01*O22/100,"--")</f>
        <v>--</v>
      </c>
      <c r="R22" s="657">
        <f aca="true" t="shared" si="5" ref="R22:R39">IF(N22="F",I22*$L$16,"--")</f>
        <v>3401.0392876647948</v>
      </c>
      <c r="S22" s="658">
        <f aca="true" t="shared" si="6" ref="S22:S39">IF(AND(M22&gt;10,N22="F"),I22*$L$16*IF(M22&gt;180,3,ROUND(M22/60,2)),"--")</f>
        <v>10203.117862994384</v>
      </c>
      <c r="T22" s="659">
        <f aca="true" t="shared" si="7" ref="T22:T39">IF(AND(M22&gt;180,N22="F"),(ROUND(M22/60,2)-3)*I22*$L$16*0.1,"--")</f>
        <v>2064.4308476125307</v>
      </c>
      <c r="U22" s="660" t="str">
        <f aca="true" t="shared" si="8" ref="U22:U39">IF(N22="R",I22*$L$16*O22/100,"--")</f>
        <v>--</v>
      </c>
      <c r="V22" s="661" t="str">
        <f aca="true" t="shared" si="9" ref="V22:V39">IF(AND(M22&gt;10,N22="R"),I22*$L$16*O22/100*IF(M22&gt;180,3,ROUND(M22/60,2)),"--")</f>
        <v>--</v>
      </c>
      <c r="W22" s="662" t="str">
        <f aca="true" t="shared" si="10" ref="W22:W39">IF(AND(M22&gt;180,N22="R"),(ROUND(M22/60,2)-3)*O22/100*I22*$L$16*0.1,"--")</f>
        <v>--</v>
      </c>
      <c r="X22" s="663" t="str">
        <f aca="true" t="shared" si="11" ref="X22:X39">IF(N22="RF",ROUND(M22/60,2)*I22*$L$16*0.1,"--")</f>
        <v>--</v>
      </c>
      <c r="Y22" s="664" t="str">
        <f aca="true" t="shared" si="12" ref="Y22:Y39">IF(N22="RR",ROUND(M22/60,2)*O22/100*I22*$L$16*0.1,"--")</f>
        <v>--</v>
      </c>
      <c r="Z22" s="665" t="s">
        <v>141</v>
      </c>
      <c r="AA22" s="57">
        <f aca="true" t="shared" si="13" ref="AA22:AA39">IF(F22="","",SUM(P22:Y22)*IF(Z22="SI",1,2))</f>
        <v>15668.587998271709</v>
      </c>
      <c r="AB22" s="3"/>
    </row>
    <row r="23" spans="1:28" ht="16.5" customHeight="1">
      <c r="A23" s="1"/>
      <c r="B23" s="2"/>
      <c r="C23" s="563">
        <v>3</v>
      </c>
      <c r="D23" s="563">
        <v>230446</v>
      </c>
      <c r="E23" s="563">
        <v>1636</v>
      </c>
      <c r="F23" s="564" t="s">
        <v>7</v>
      </c>
      <c r="G23" s="565">
        <v>132</v>
      </c>
      <c r="H23" s="566">
        <v>4.400000095367432</v>
      </c>
      <c r="I23" s="302">
        <f t="shared" si="0"/>
        <v>17.4305</v>
      </c>
      <c r="J23" s="571">
        <v>40549.1375</v>
      </c>
      <c r="K23" s="571">
        <v>40549.16458333333</v>
      </c>
      <c r="L23" s="15">
        <f t="shared" si="1"/>
        <v>0.6500000000232831</v>
      </c>
      <c r="M23" s="16">
        <f t="shared" si="2"/>
        <v>39</v>
      </c>
      <c r="N23" s="572" t="s">
        <v>144</v>
      </c>
      <c r="O23" s="668" t="s">
        <v>142</v>
      </c>
      <c r="P23" s="655" t="str">
        <f t="shared" si="3"/>
        <v>--</v>
      </c>
      <c r="Q23" s="656" t="str">
        <f t="shared" si="4"/>
        <v>--</v>
      </c>
      <c r="R23" s="657">
        <f t="shared" si="5"/>
        <v>522.915</v>
      </c>
      <c r="S23" s="658">
        <f t="shared" si="6"/>
        <v>339.89475</v>
      </c>
      <c r="T23" s="659" t="str">
        <f t="shared" si="7"/>
        <v>--</v>
      </c>
      <c r="U23" s="660" t="str">
        <f t="shared" si="8"/>
        <v>--</v>
      </c>
      <c r="V23" s="661" t="str">
        <f t="shared" si="9"/>
        <v>--</v>
      </c>
      <c r="W23" s="662" t="str">
        <f t="shared" si="10"/>
        <v>--</v>
      </c>
      <c r="X23" s="663" t="str">
        <f t="shared" si="11"/>
        <v>--</v>
      </c>
      <c r="Y23" s="664" t="str">
        <f t="shared" si="12"/>
        <v>--</v>
      </c>
      <c r="Z23" s="665" t="s">
        <v>141</v>
      </c>
      <c r="AA23" s="57">
        <f t="shared" si="13"/>
        <v>862.8097499999999</v>
      </c>
      <c r="AB23" s="3"/>
    </row>
    <row r="24" spans="1:28" ht="16.5" customHeight="1">
      <c r="A24" s="1"/>
      <c r="B24" s="2"/>
      <c r="C24" s="563">
        <v>4</v>
      </c>
      <c r="D24" s="563">
        <v>230663</v>
      </c>
      <c r="E24" s="563">
        <v>1633</v>
      </c>
      <c r="F24" s="564" t="s">
        <v>5</v>
      </c>
      <c r="G24" s="565">
        <v>132</v>
      </c>
      <c r="H24" s="566">
        <v>110.30000305175781</v>
      </c>
      <c r="I24" s="302">
        <f t="shared" si="0"/>
        <v>76.90336812774657</v>
      </c>
      <c r="J24" s="571">
        <v>40554.36944444444</v>
      </c>
      <c r="K24" s="571">
        <v>40554.54652777778</v>
      </c>
      <c r="L24" s="15">
        <f t="shared" si="1"/>
        <v>4.250000000058208</v>
      </c>
      <c r="M24" s="16">
        <f t="shared" si="2"/>
        <v>255</v>
      </c>
      <c r="N24" s="572" t="s">
        <v>140</v>
      </c>
      <c r="O24" s="668" t="s">
        <v>142</v>
      </c>
      <c r="P24" s="655">
        <f t="shared" si="3"/>
        <v>98.05179436287688</v>
      </c>
      <c r="Q24" s="656" t="str">
        <f t="shared" si="4"/>
        <v>--</v>
      </c>
      <c r="R24" s="657" t="str">
        <f t="shared" si="5"/>
        <v>--</v>
      </c>
      <c r="S24" s="658" t="str">
        <f t="shared" si="6"/>
        <v>--</v>
      </c>
      <c r="T24" s="659" t="str">
        <f t="shared" si="7"/>
        <v>--</v>
      </c>
      <c r="U24" s="660" t="str">
        <f t="shared" si="8"/>
        <v>--</v>
      </c>
      <c r="V24" s="661" t="str">
        <f t="shared" si="9"/>
        <v>--</v>
      </c>
      <c r="W24" s="662" t="str">
        <f t="shared" si="10"/>
        <v>--</v>
      </c>
      <c r="X24" s="663" t="str">
        <f t="shared" si="11"/>
        <v>--</v>
      </c>
      <c r="Y24" s="664" t="str">
        <f t="shared" si="12"/>
        <v>--</v>
      </c>
      <c r="Z24" s="665" t="s">
        <v>141</v>
      </c>
      <c r="AA24" s="57">
        <f t="shared" si="13"/>
        <v>98.05179436287688</v>
      </c>
      <c r="AB24" s="3"/>
    </row>
    <row r="25" spans="1:28" ht="16.5" customHeight="1">
      <c r="A25" s="1"/>
      <c r="B25" s="2"/>
      <c r="C25" s="563">
        <v>5</v>
      </c>
      <c r="D25" s="563">
        <v>230665</v>
      </c>
      <c r="E25" s="563">
        <v>1633</v>
      </c>
      <c r="F25" s="564" t="s">
        <v>5</v>
      </c>
      <c r="G25" s="565">
        <v>132</v>
      </c>
      <c r="H25" s="566">
        <v>110.30000305175781</v>
      </c>
      <c r="I25" s="302">
        <f t="shared" si="0"/>
        <v>76.90336812774657</v>
      </c>
      <c r="J25" s="571">
        <v>40557.59097222222</v>
      </c>
      <c r="K25" s="571">
        <v>40557.59722222222</v>
      </c>
      <c r="L25" s="15">
        <f t="shared" si="1"/>
        <v>0.1499999999650754</v>
      </c>
      <c r="M25" s="16">
        <f t="shared" si="2"/>
        <v>9</v>
      </c>
      <c r="N25" s="572" t="s">
        <v>144</v>
      </c>
      <c r="O25" s="668" t="s">
        <v>142</v>
      </c>
      <c r="P25" s="655" t="str">
        <f t="shared" si="3"/>
        <v>--</v>
      </c>
      <c r="Q25" s="656" t="str">
        <f t="shared" si="4"/>
        <v>--</v>
      </c>
      <c r="R25" s="657">
        <f t="shared" si="5"/>
        <v>2307.1010438323974</v>
      </c>
      <c r="S25" s="658" t="str">
        <f t="shared" si="6"/>
        <v>--</v>
      </c>
      <c r="T25" s="659" t="str">
        <f t="shared" si="7"/>
        <v>--</v>
      </c>
      <c r="U25" s="660" t="str">
        <f t="shared" si="8"/>
        <v>--</v>
      </c>
      <c r="V25" s="661" t="str">
        <f t="shared" si="9"/>
        <v>--</v>
      </c>
      <c r="W25" s="662" t="str">
        <f t="shared" si="10"/>
        <v>--</v>
      </c>
      <c r="X25" s="663" t="str">
        <f t="shared" si="11"/>
        <v>--</v>
      </c>
      <c r="Y25" s="664" t="str">
        <f t="shared" si="12"/>
        <v>--</v>
      </c>
      <c r="Z25" s="665" t="s">
        <v>141</v>
      </c>
      <c r="AA25" s="57">
        <f t="shared" si="13"/>
        <v>2307.1010438323974</v>
      </c>
      <c r="AB25" s="3"/>
    </row>
    <row r="26" spans="1:28" ht="16.5" customHeight="1">
      <c r="A26" s="1"/>
      <c r="B26" s="2"/>
      <c r="C26" s="563">
        <v>6</v>
      </c>
      <c r="D26" s="563">
        <v>230685</v>
      </c>
      <c r="E26" s="563">
        <v>1636</v>
      </c>
      <c r="F26" s="564" t="s">
        <v>7</v>
      </c>
      <c r="G26" s="565">
        <v>132</v>
      </c>
      <c r="H26" s="566">
        <v>4.400000095367432</v>
      </c>
      <c r="I26" s="302">
        <f t="shared" si="0"/>
        <v>17.4305</v>
      </c>
      <c r="J26" s="571">
        <v>40558.76180555556</v>
      </c>
      <c r="K26" s="571">
        <v>40558.80902777778</v>
      </c>
      <c r="L26" s="15">
        <f t="shared" si="1"/>
        <v>1.133333333360497</v>
      </c>
      <c r="M26" s="16">
        <f t="shared" si="2"/>
        <v>68</v>
      </c>
      <c r="N26" s="572" t="s">
        <v>144</v>
      </c>
      <c r="O26" s="668" t="s">
        <v>142</v>
      </c>
      <c r="P26" s="655" t="str">
        <f t="shared" si="3"/>
        <v>--</v>
      </c>
      <c r="Q26" s="656" t="str">
        <f t="shared" si="4"/>
        <v>--</v>
      </c>
      <c r="R26" s="657">
        <f t="shared" si="5"/>
        <v>522.915</v>
      </c>
      <c r="S26" s="658">
        <f t="shared" si="6"/>
        <v>590.8939499999999</v>
      </c>
      <c r="T26" s="659" t="str">
        <f t="shared" si="7"/>
        <v>--</v>
      </c>
      <c r="U26" s="660" t="str">
        <f t="shared" si="8"/>
        <v>--</v>
      </c>
      <c r="V26" s="661" t="str">
        <f t="shared" si="9"/>
        <v>--</v>
      </c>
      <c r="W26" s="662" t="str">
        <f t="shared" si="10"/>
        <v>--</v>
      </c>
      <c r="X26" s="663" t="str">
        <f t="shared" si="11"/>
        <v>--</v>
      </c>
      <c r="Y26" s="664" t="str">
        <f t="shared" si="12"/>
        <v>--</v>
      </c>
      <c r="Z26" s="665" t="s">
        <v>141</v>
      </c>
      <c r="AA26" s="57">
        <f t="shared" si="13"/>
        <v>1113.8089499999999</v>
      </c>
      <c r="AB26" s="3"/>
    </row>
    <row r="27" spans="1:28" ht="16.5" customHeight="1">
      <c r="A27" s="1"/>
      <c r="B27" s="2"/>
      <c r="C27" s="563">
        <v>7</v>
      </c>
      <c r="D27" s="563" t="s">
        <v>160</v>
      </c>
      <c r="E27" s="563" t="s">
        <v>159</v>
      </c>
      <c r="F27" s="564" t="s">
        <v>158</v>
      </c>
      <c r="G27" s="565">
        <v>132</v>
      </c>
      <c r="H27" s="566">
        <v>185.6</v>
      </c>
      <c r="I27" s="302">
        <f t="shared" si="0"/>
        <v>129.404032</v>
      </c>
      <c r="J27" s="571">
        <v>40558.81180555555</v>
      </c>
      <c r="K27" s="571">
        <v>40558.813888888886</v>
      </c>
      <c r="L27" s="15">
        <f t="shared" si="1"/>
        <v>0.04999999998835847</v>
      </c>
      <c r="M27" s="16">
        <f t="shared" si="2"/>
        <v>3</v>
      </c>
      <c r="N27" s="572" t="s">
        <v>144</v>
      </c>
      <c r="O27" s="668" t="s">
        <v>142</v>
      </c>
      <c r="P27" s="655" t="str">
        <f t="shared" si="3"/>
        <v>--</v>
      </c>
      <c r="Q27" s="656" t="str">
        <f t="shared" si="4"/>
        <v>--</v>
      </c>
      <c r="R27" s="657">
        <f t="shared" si="5"/>
        <v>3882.12096</v>
      </c>
      <c r="S27" s="658" t="str">
        <f t="shared" si="6"/>
        <v>--</v>
      </c>
      <c r="T27" s="659" t="str">
        <f t="shared" si="7"/>
        <v>--</v>
      </c>
      <c r="U27" s="660" t="str">
        <f t="shared" si="8"/>
        <v>--</v>
      </c>
      <c r="V27" s="661" t="str">
        <f t="shared" si="9"/>
        <v>--</v>
      </c>
      <c r="W27" s="662" t="str">
        <f t="shared" si="10"/>
        <v>--</v>
      </c>
      <c r="X27" s="663" t="str">
        <f t="shared" si="11"/>
        <v>--</v>
      </c>
      <c r="Y27" s="664" t="str">
        <f t="shared" si="12"/>
        <v>--</v>
      </c>
      <c r="Z27" s="665" t="s">
        <v>141</v>
      </c>
      <c r="AA27" s="57">
        <f t="shared" si="13"/>
        <v>3882.12096</v>
      </c>
      <c r="AB27" s="3"/>
    </row>
    <row r="28" spans="1:28" ht="16.5" customHeight="1">
      <c r="A28" s="1"/>
      <c r="B28" s="2"/>
      <c r="C28" s="563">
        <v>8</v>
      </c>
      <c r="D28" s="563">
        <v>230897</v>
      </c>
      <c r="E28" s="563">
        <v>1633</v>
      </c>
      <c r="F28" s="564" t="s">
        <v>5</v>
      </c>
      <c r="G28" s="565">
        <v>132</v>
      </c>
      <c r="H28" s="566">
        <v>110.30000305175781</v>
      </c>
      <c r="I28" s="302">
        <f t="shared" si="0"/>
        <v>76.90336812774657</v>
      </c>
      <c r="J28" s="571">
        <v>40562.37847222222</v>
      </c>
      <c r="K28" s="571">
        <v>40562.61944444444</v>
      </c>
      <c r="L28" s="15">
        <f t="shared" si="1"/>
        <v>5.783333333325572</v>
      </c>
      <c r="M28" s="16">
        <f t="shared" si="2"/>
        <v>347</v>
      </c>
      <c r="N28" s="572" t="s">
        <v>140</v>
      </c>
      <c r="O28" s="668" t="s">
        <v>142</v>
      </c>
      <c r="P28" s="655">
        <f t="shared" si="3"/>
        <v>133.35044033351255</v>
      </c>
      <c r="Q28" s="656" t="str">
        <f t="shared" si="4"/>
        <v>--</v>
      </c>
      <c r="R28" s="657" t="str">
        <f t="shared" si="5"/>
        <v>--</v>
      </c>
      <c r="S28" s="658" t="str">
        <f t="shared" si="6"/>
        <v>--</v>
      </c>
      <c r="T28" s="659" t="str">
        <f t="shared" si="7"/>
        <v>--</v>
      </c>
      <c r="U28" s="660" t="str">
        <f t="shared" si="8"/>
        <v>--</v>
      </c>
      <c r="V28" s="661" t="str">
        <f t="shared" si="9"/>
        <v>--</v>
      </c>
      <c r="W28" s="662" t="str">
        <f t="shared" si="10"/>
        <v>--</v>
      </c>
      <c r="X28" s="663" t="str">
        <f t="shared" si="11"/>
        <v>--</v>
      </c>
      <c r="Y28" s="664" t="str">
        <f t="shared" si="12"/>
        <v>--</v>
      </c>
      <c r="Z28" s="665" t="s">
        <v>141</v>
      </c>
      <c r="AA28" s="57">
        <f t="shared" si="13"/>
        <v>133.35044033351255</v>
      </c>
      <c r="AB28" s="3"/>
    </row>
    <row r="29" spans="1:28" s="780" customFormat="1" ht="16.5" customHeight="1">
      <c r="A29" s="759"/>
      <c r="B29" s="760"/>
      <c r="C29" s="761">
        <v>9</v>
      </c>
      <c r="D29" s="761">
        <v>230898</v>
      </c>
      <c r="E29" s="761">
        <v>1634</v>
      </c>
      <c r="F29" s="762" t="s">
        <v>174</v>
      </c>
      <c r="G29" s="763">
        <v>132</v>
      </c>
      <c r="H29" s="764">
        <v>185.6</v>
      </c>
      <c r="I29" s="765">
        <f t="shared" si="0"/>
        <v>129.404032</v>
      </c>
      <c r="J29" s="766">
        <v>40563.37847222222</v>
      </c>
      <c r="K29" s="766">
        <v>40563.72777777778</v>
      </c>
      <c r="L29" s="767">
        <f t="shared" si="1"/>
        <v>8.383333333418705</v>
      </c>
      <c r="M29" s="768">
        <f t="shared" si="2"/>
        <v>503</v>
      </c>
      <c r="N29" s="769" t="s">
        <v>144</v>
      </c>
      <c r="O29" s="770" t="s">
        <v>142</v>
      </c>
      <c r="P29" s="771" t="str">
        <f t="shared" si="3"/>
        <v>--</v>
      </c>
      <c r="Q29" s="771" t="str">
        <f t="shared" si="4"/>
        <v>--</v>
      </c>
      <c r="R29" s="772">
        <f t="shared" si="5"/>
        <v>3882.12096</v>
      </c>
      <c r="S29" s="773">
        <f t="shared" si="6"/>
        <v>11646.36288</v>
      </c>
      <c r="T29" s="774">
        <f t="shared" si="7"/>
        <v>2088.5810764800003</v>
      </c>
      <c r="U29" s="772" t="str">
        <f t="shared" si="8"/>
        <v>--</v>
      </c>
      <c r="V29" s="773" t="str">
        <f t="shared" si="9"/>
        <v>--</v>
      </c>
      <c r="W29" s="774" t="str">
        <f t="shared" si="10"/>
        <v>--</v>
      </c>
      <c r="X29" s="775" t="str">
        <f t="shared" si="11"/>
        <v>--</v>
      </c>
      <c r="Y29" s="776" t="str">
        <f t="shared" si="12"/>
        <v>--</v>
      </c>
      <c r="Z29" s="777" t="s">
        <v>141</v>
      </c>
      <c r="AA29" s="778">
        <f t="shared" si="13"/>
        <v>17617.06491648</v>
      </c>
      <c r="AB29" s="779"/>
    </row>
    <row r="30" spans="1:30" s="780" customFormat="1" ht="16.5" customHeight="1">
      <c r="A30" s="759"/>
      <c r="B30" s="760"/>
      <c r="C30" s="761" t="s">
        <v>176</v>
      </c>
      <c r="D30" s="761">
        <v>230899</v>
      </c>
      <c r="E30" s="761">
        <v>1635</v>
      </c>
      <c r="F30" s="762" t="s">
        <v>175</v>
      </c>
      <c r="G30" s="763">
        <v>132</v>
      </c>
      <c r="H30" s="764">
        <v>185.6</v>
      </c>
      <c r="I30" s="765">
        <f>IF(H30&gt;25,H30,25)*IF(G30=330,$G$15,$G$16)/100</f>
        <v>129.404032</v>
      </c>
      <c r="J30" s="766">
        <v>40563.37847222222</v>
      </c>
      <c r="K30" s="766">
        <v>40563.39513888889</v>
      </c>
      <c r="L30" s="767">
        <f>IF(F30="","",(K30-J30)*24)</f>
        <v>0.4000000000814907</v>
      </c>
      <c r="M30" s="768">
        <f>IF(F30="","",ROUND((K30-J30)*24*60,0))</f>
        <v>24</v>
      </c>
      <c r="N30" s="769" t="s">
        <v>144</v>
      </c>
      <c r="O30" s="770" t="s">
        <v>142</v>
      </c>
      <c r="P30" s="771" t="str">
        <f>IF(N30="P",ROUND(M30/60,2)*I30*$L$16*0.01,"--")</f>
        <v>--</v>
      </c>
      <c r="Q30" s="771" t="str">
        <f>IF(N30="RP",ROUND(M30/60,2)*I30*$L$16*0.01*O30/100,"--")</f>
        <v>--</v>
      </c>
      <c r="R30" s="772">
        <f>IF(N30="F",I30*$L$16,"--")</f>
        <v>3882.12096</v>
      </c>
      <c r="S30" s="773">
        <f>IF(AND(M30&gt;10,N30="F"),I30*$L$16*IF(M30&gt;180,3,ROUND(M30/60,2)),"--")</f>
        <v>1552.8483840000001</v>
      </c>
      <c r="T30" s="774" t="str">
        <f>IF(AND(M30&gt;180,N30="F"),(ROUND(M30/60,2)-3)*I30*$L$16*0.1,"--")</f>
        <v>--</v>
      </c>
      <c r="U30" s="772" t="str">
        <f>IF(N30="R",I30*$L$16*O30/100,"--")</f>
        <v>--</v>
      </c>
      <c r="V30" s="773" t="str">
        <f>IF(AND(M30&gt;10,N30="R"),I30*$L$16*O30/100*IF(M30&gt;180,3,ROUND(M30/60,2)),"--")</f>
        <v>--</v>
      </c>
      <c r="W30" s="774" t="str">
        <f>IF(AND(M30&gt;180,N30="R"),(ROUND(M30/60,2)-3)*O30/100*I30*$L$16*0.1,"--")</f>
        <v>--</v>
      </c>
      <c r="X30" s="775" t="str">
        <f>IF(N30="RF",ROUND(M30/60,2)*I30*$L$16*0.1,"--")</f>
        <v>--</v>
      </c>
      <c r="Y30" s="776" t="str">
        <f>IF(N30="RR",ROUND(M30/60,2)*O30/100*I30*$L$16*0.1,"--")</f>
        <v>--</v>
      </c>
      <c r="Z30" s="777" t="s">
        <v>141</v>
      </c>
      <c r="AA30" s="778">
        <f>IF(F30="","",SUM(P30:Y30)*IF(Z30="SI",1,2))</f>
        <v>5434.969344</v>
      </c>
      <c r="AB30" s="779"/>
      <c r="AD30" s="780">
        <v>17617.06491648</v>
      </c>
    </row>
    <row r="31" spans="1:28" ht="16.5" customHeight="1">
      <c r="A31" s="1"/>
      <c r="B31" s="2"/>
      <c r="C31" s="563">
        <v>10</v>
      </c>
      <c r="D31" s="563">
        <v>230907</v>
      </c>
      <c r="E31" s="563">
        <v>1633</v>
      </c>
      <c r="F31" s="564" t="s">
        <v>5</v>
      </c>
      <c r="G31" s="565">
        <v>132</v>
      </c>
      <c r="H31" s="566">
        <v>110.30000305175781</v>
      </c>
      <c r="I31" s="302">
        <f t="shared" si="0"/>
        <v>76.90336812774657</v>
      </c>
      <c r="J31" s="571">
        <v>40564.365277777775</v>
      </c>
      <c r="K31" s="571">
        <v>40564.74652777778</v>
      </c>
      <c r="L31" s="15">
        <f t="shared" si="1"/>
        <v>9.150000000139698</v>
      </c>
      <c r="M31" s="16">
        <f t="shared" si="2"/>
        <v>549</v>
      </c>
      <c r="N31" s="572" t="s">
        <v>140</v>
      </c>
      <c r="O31" s="668" t="s">
        <v>142</v>
      </c>
      <c r="P31" s="655">
        <f t="shared" si="3"/>
        <v>211.09974551066438</v>
      </c>
      <c r="Q31" s="656" t="str">
        <f t="shared" si="4"/>
        <v>--</v>
      </c>
      <c r="R31" s="657" t="str">
        <f t="shared" si="5"/>
        <v>--</v>
      </c>
      <c r="S31" s="658" t="str">
        <f t="shared" si="6"/>
        <v>--</v>
      </c>
      <c r="T31" s="659" t="str">
        <f t="shared" si="7"/>
        <v>--</v>
      </c>
      <c r="U31" s="660" t="str">
        <f t="shared" si="8"/>
        <v>--</v>
      </c>
      <c r="V31" s="661" t="str">
        <f t="shared" si="9"/>
        <v>--</v>
      </c>
      <c r="W31" s="662" t="str">
        <f t="shared" si="10"/>
        <v>--</v>
      </c>
      <c r="X31" s="663" t="str">
        <f t="shared" si="11"/>
        <v>--</v>
      </c>
      <c r="Y31" s="664" t="str">
        <f t="shared" si="12"/>
        <v>--</v>
      </c>
      <c r="Z31" s="665" t="s">
        <v>141</v>
      </c>
      <c r="AA31" s="57">
        <f t="shared" si="13"/>
        <v>211.09974551066438</v>
      </c>
      <c r="AB31" s="3"/>
    </row>
    <row r="32" spans="1:30" ht="16.5" customHeight="1">
      <c r="A32" s="1"/>
      <c r="B32" s="2"/>
      <c r="C32" s="563">
        <v>11</v>
      </c>
      <c r="D32" s="563" t="s">
        <v>161</v>
      </c>
      <c r="E32" s="563" t="s">
        <v>159</v>
      </c>
      <c r="F32" s="564" t="s">
        <v>145</v>
      </c>
      <c r="G32" s="565">
        <v>132</v>
      </c>
      <c r="H32" s="566">
        <v>185.6</v>
      </c>
      <c r="I32" s="302">
        <f t="shared" si="0"/>
        <v>129.404032</v>
      </c>
      <c r="J32" s="571">
        <v>40567.57916666667</v>
      </c>
      <c r="K32" s="571">
        <v>40567.70625</v>
      </c>
      <c r="L32" s="15">
        <f t="shared" si="1"/>
        <v>3.0499999999883585</v>
      </c>
      <c r="M32" s="16">
        <f t="shared" si="2"/>
        <v>183</v>
      </c>
      <c r="N32" s="572" t="s">
        <v>144</v>
      </c>
      <c r="O32" s="668" t="s">
        <v>142</v>
      </c>
      <c r="P32" s="655" t="str">
        <f t="shared" si="3"/>
        <v>--</v>
      </c>
      <c r="Q32" s="656" t="str">
        <f t="shared" si="4"/>
        <v>--</v>
      </c>
      <c r="R32" s="657">
        <f t="shared" si="5"/>
        <v>3882.12096</v>
      </c>
      <c r="S32" s="658">
        <f t="shared" si="6"/>
        <v>11646.36288</v>
      </c>
      <c r="T32" s="659">
        <f t="shared" si="7"/>
        <v>19.41060479999993</v>
      </c>
      <c r="U32" s="660" t="str">
        <f t="shared" si="8"/>
        <v>--</v>
      </c>
      <c r="V32" s="661" t="str">
        <f t="shared" si="9"/>
        <v>--</v>
      </c>
      <c r="W32" s="662" t="str">
        <f t="shared" si="10"/>
        <v>--</v>
      </c>
      <c r="X32" s="663" t="str">
        <f t="shared" si="11"/>
        <v>--</v>
      </c>
      <c r="Y32" s="664" t="str">
        <f t="shared" si="12"/>
        <v>--</v>
      </c>
      <c r="Z32" s="665" t="s">
        <v>141</v>
      </c>
      <c r="AA32" s="57">
        <f t="shared" si="13"/>
        <v>15547.8944448</v>
      </c>
      <c r="AB32" s="3"/>
      <c r="AD32" s="781"/>
    </row>
    <row r="33" spans="1:28" ht="16.5" customHeight="1">
      <c r="A33" s="1"/>
      <c r="B33" s="2"/>
      <c r="C33" s="563"/>
      <c r="D33" s="563"/>
      <c r="E33" s="563"/>
      <c r="F33" s="564"/>
      <c r="G33" s="565"/>
      <c r="H33" s="566"/>
      <c r="I33" s="302">
        <f t="shared" si="0"/>
        <v>17.4305</v>
      </c>
      <c r="J33" s="571"/>
      <c r="K33" s="571"/>
      <c r="L33" s="15">
        <f t="shared" si="1"/>
      </c>
      <c r="M33" s="16">
        <f t="shared" si="2"/>
      </c>
      <c r="N33" s="572"/>
      <c r="O33" s="654">
        <f aca="true" t="shared" si="14" ref="O33:O39">IF(F33="","","--")</f>
      </c>
      <c r="P33" s="655" t="str">
        <f t="shared" si="3"/>
        <v>--</v>
      </c>
      <c r="Q33" s="656" t="str">
        <f t="shared" si="4"/>
        <v>--</v>
      </c>
      <c r="R33" s="657" t="str">
        <f t="shared" si="5"/>
        <v>--</v>
      </c>
      <c r="S33" s="658" t="str">
        <f t="shared" si="6"/>
        <v>--</v>
      </c>
      <c r="T33" s="659" t="str">
        <f t="shared" si="7"/>
        <v>--</v>
      </c>
      <c r="U33" s="660" t="str">
        <f t="shared" si="8"/>
        <v>--</v>
      </c>
      <c r="V33" s="661" t="str">
        <f t="shared" si="9"/>
        <v>--</v>
      </c>
      <c r="W33" s="662" t="str">
        <f t="shared" si="10"/>
        <v>--</v>
      </c>
      <c r="X33" s="663" t="str">
        <f t="shared" si="11"/>
        <v>--</v>
      </c>
      <c r="Y33" s="664" t="str">
        <f t="shared" si="12"/>
        <v>--</v>
      </c>
      <c r="Z33" s="665">
        <f aca="true" t="shared" si="15" ref="Z33:Z39">IF(F33="","","SI")</f>
      </c>
      <c r="AA33" s="57">
        <f t="shared" si="13"/>
      </c>
      <c r="AB33" s="3"/>
    </row>
    <row r="34" spans="1:28" ht="16.5" customHeight="1">
      <c r="A34" s="1"/>
      <c r="B34" s="2"/>
      <c r="C34" s="563"/>
      <c r="D34" s="563"/>
      <c r="E34" s="563"/>
      <c r="F34" s="564"/>
      <c r="G34" s="565"/>
      <c r="H34" s="566"/>
      <c r="I34" s="302">
        <f t="shared" si="0"/>
        <v>17.4305</v>
      </c>
      <c r="J34" s="571"/>
      <c r="K34" s="571"/>
      <c r="L34" s="15">
        <f t="shared" si="1"/>
      </c>
      <c r="M34" s="16">
        <f t="shared" si="2"/>
      </c>
      <c r="N34" s="572"/>
      <c r="O34" s="654">
        <f t="shared" si="14"/>
      </c>
      <c r="P34" s="655" t="str">
        <f t="shared" si="3"/>
        <v>--</v>
      </c>
      <c r="Q34" s="656" t="str">
        <f t="shared" si="4"/>
        <v>--</v>
      </c>
      <c r="R34" s="657" t="str">
        <f t="shared" si="5"/>
        <v>--</v>
      </c>
      <c r="S34" s="658" t="str">
        <f t="shared" si="6"/>
        <v>--</v>
      </c>
      <c r="T34" s="659" t="str">
        <f t="shared" si="7"/>
        <v>--</v>
      </c>
      <c r="U34" s="660" t="str">
        <f t="shared" si="8"/>
        <v>--</v>
      </c>
      <c r="V34" s="661" t="str">
        <f t="shared" si="9"/>
        <v>--</v>
      </c>
      <c r="W34" s="662" t="str">
        <f t="shared" si="10"/>
        <v>--</v>
      </c>
      <c r="X34" s="663" t="str">
        <f t="shared" si="11"/>
        <v>--</v>
      </c>
      <c r="Y34" s="664" t="str">
        <f t="shared" si="12"/>
        <v>--</v>
      </c>
      <c r="Z34" s="665">
        <f t="shared" si="15"/>
      </c>
      <c r="AA34" s="57">
        <f t="shared" si="13"/>
      </c>
      <c r="AB34" s="3"/>
    </row>
    <row r="35" spans="1:28" ht="16.5" customHeight="1">
      <c r="A35" s="1"/>
      <c r="B35" s="2"/>
      <c r="C35" s="563"/>
      <c r="D35" s="563"/>
      <c r="E35" s="563"/>
      <c r="F35" s="564"/>
      <c r="G35" s="565"/>
      <c r="H35" s="566"/>
      <c r="I35" s="302">
        <f t="shared" si="0"/>
        <v>17.4305</v>
      </c>
      <c r="J35" s="571"/>
      <c r="K35" s="571"/>
      <c r="L35" s="15">
        <f t="shared" si="1"/>
      </c>
      <c r="M35" s="16">
        <f t="shared" si="2"/>
      </c>
      <c r="N35" s="572"/>
      <c r="O35" s="654">
        <f t="shared" si="14"/>
      </c>
      <c r="P35" s="655" t="str">
        <f t="shared" si="3"/>
        <v>--</v>
      </c>
      <c r="Q35" s="656" t="str">
        <f t="shared" si="4"/>
        <v>--</v>
      </c>
      <c r="R35" s="657" t="str">
        <f t="shared" si="5"/>
        <v>--</v>
      </c>
      <c r="S35" s="658" t="str">
        <f t="shared" si="6"/>
        <v>--</v>
      </c>
      <c r="T35" s="659" t="str">
        <f t="shared" si="7"/>
        <v>--</v>
      </c>
      <c r="U35" s="660" t="str">
        <f t="shared" si="8"/>
        <v>--</v>
      </c>
      <c r="V35" s="661" t="str">
        <f t="shared" si="9"/>
        <v>--</v>
      </c>
      <c r="W35" s="662" t="str">
        <f t="shared" si="10"/>
        <v>--</v>
      </c>
      <c r="X35" s="663" t="str">
        <f t="shared" si="11"/>
        <v>--</v>
      </c>
      <c r="Y35" s="664" t="str">
        <f t="shared" si="12"/>
        <v>--</v>
      </c>
      <c r="Z35" s="665">
        <f t="shared" si="15"/>
      </c>
      <c r="AA35" s="57">
        <f t="shared" si="13"/>
      </c>
      <c r="AB35" s="3"/>
    </row>
    <row r="36" spans="2:28" ht="16.5" customHeight="1">
      <c r="B36" s="58"/>
      <c r="C36" s="563"/>
      <c r="D36" s="563"/>
      <c r="E36" s="563"/>
      <c r="F36" s="564"/>
      <c r="G36" s="565"/>
      <c r="H36" s="566"/>
      <c r="I36" s="302">
        <f t="shared" si="0"/>
        <v>17.4305</v>
      </c>
      <c r="J36" s="571"/>
      <c r="K36" s="571"/>
      <c r="L36" s="15">
        <f t="shared" si="1"/>
      </c>
      <c r="M36" s="16">
        <f t="shared" si="2"/>
      </c>
      <c r="N36" s="572"/>
      <c r="O36" s="654">
        <f t="shared" si="14"/>
      </c>
      <c r="P36" s="655" t="str">
        <f t="shared" si="3"/>
        <v>--</v>
      </c>
      <c r="Q36" s="656" t="str">
        <f t="shared" si="4"/>
        <v>--</v>
      </c>
      <c r="R36" s="657" t="str">
        <f t="shared" si="5"/>
        <v>--</v>
      </c>
      <c r="S36" s="658" t="str">
        <f t="shared" si="6"/>
        <v>--</v>
      </c>
      <c r="T36" s="659" t="str">
        <f t="shared" si="7"/>
        <v>--</v>
      </c>
      <c r="U36" s="660" t="str">
        <f t="shared" si="8"/>
        <v>--</v>
      </c>
      <c r="V36" s="661" t="str">
        <f t="shared" si="9"/>
        <v>--</v>
      </c>
      <c r="W36" s="662" t="str">
        <f t="shared" si="10"/>
        <v>--</v>
      </c>
      <c r="X36" s="663" t="str">
        <f t="shared" si="11"/>
        <v>--</v>
      </c>
      <c r="Y36" s="664" t="str">
        <f t="shared" si="12"/>
        <v>--</v>
      </c>
      <c r="Z36" s="665">
        <f t="shared" si="15"/>
      </c>
      <c r="AA36" s="57">
        <f t="shared" si="13"/>
      </c>
      <c r="AB36" s="3"/>
    </row>
    <row r="37" spans="2:28" ht="16.5" customHeight="1">
      <c r="B37" s="58"/>
      <c r="C37" s="563"/>
      <c r="D37" s="563"/>
      <c r="E37" s="563"/>
      <c r="F37" s="564"/>
      <c r="G37" s="565"/>
      <c r="H37" s="566"/>
      <c r="I37" s="302">
        <f t="shared" si="0"/>
        <v>17.4305</v>
      </c>
      <c r="J37" s="571"/>
      <c r="K37" s="571"/>
      <c r="L37" s="15">
        <f t="shared" si="1"/>
      </c>
      <c r="M37" s="16">
        <f t="shared" si="2"/>
      </c>
      <c r="N37" s="572"/>
      <c r="O37" s="654">
        <f t="shared" si="14"/>
      </c>
      <c r="P37" s="655" t="str">
        <f t="shared" si="3"/>
        <v>--</v>
      </c>
      <c r="Q37" s="656" t="str">
        <f t="shared" si="4"/>
        <v>--</v>
      </c>
      <c r="R37" s="657" t="str">
        <f t="shared" si="5"/>
        <v>--</v>
      </c>
      <c r="S37" s="658" t="str">
        <f t="shared" si="6"/>
        <v>--</v>
      </c>
      <c r="T37" s="659" t="str">
        <f t="shared" si="7"/>
        <v>--</v>
      </c>
      <c r="U37" s="660" t="str">
        <f t="shared" si="8"/>
        <v>--</v>
      </c>
      <c r="V37" s="661" t="str">
        <f t="shared" si="9"/>
        <v>--</v>
      </c>
      <c r="W37" s="662" t="str">
        <f t="shared" si="10"/>
        <v>--</v>
      </c>
      <c r="X37" s="663" t="str">
        <f t="shared" si="11"/>
        <v>--</v>
      </c>
      <c r="Y37" s="664" t="str">
        <f t="shared" si="12"/>
        <v>--</v>
      </c>
      <c r="Z37" s="665">
        <f t="shared" si="15"/>
      </c>
      <c r="AA37" s="57">
        <f t="shared" si="13"/>
      </c>
      <c r="AB37" s="3"/>
    </row>
    <row r="38" spans="2:28" ht="16.5" customHeight="1">
      <c r="B38" s="58"/>
      <c r="C38" s="563"/>
      <c r="D38" s="563"/>
      <c r="E38" s="563"/>
      <c r="F38" s="564"/>
      <c r="G38" s="565"/>
      <c r="H38" s="566"/>
      <c r="I38" s="302">
        <f t="shared" si="0"/>
        <v>17.4305</v>
      </c>
      <c r="J38" s="571"/>
      <c r="K38" s="571"/>
      <c r="L38" s="15">
        <f t="shared" si="1"/>
      </c>
      <c r="M38" s="16">
        <f t="shared" si="2"/>
      </c>
      <c r="N38" s="572"/>
      <c r="O38" s="654">
        <f t="shared" si="14"/>
      </c>
      <c r="P38" s="655" t="str">
        <f t="shared" si="3"/>
        <v>--</v>
      </c>
      <c r="Q38" s="656" t="str">
        <f t="shared" si="4"/>
        <v>--</v>
      </c>
      <c r="R38" s="657" t="str">
        <f t="shared" si="5"/>
        <v>--</v>
      </c>
      <c r="S38" s="658" t="str">
        <f t="shared" si="6"/>
        <v>--</v>
      </c>
      <c r="T38" s="659" t="str">
        <f t="shared" si="7"/>
        <v>--</v>
      </c>
      <c r="U38" s="660" t="str">
        <f t="shared" si="8"/>
        <v>--</v>
      </c>
      <c r="V38" s="661" t="str">
        <f t="shared" si="9"/>
        <v>--</v>
      </c>
      <c r="W38" s="662" t="str">
        <f t="shared" si="10"/>
        <v>--</v>
      </c>
      <c r="X38" s="663" t="str">
        <f t="shared" si="11"/>
        <v>--</v>
      </c>
      <c r="Y38" s="664" t="str">
        <f t="shared" si="12"/>
        <v>--</v>
      </c>
      <c r="Z38" s="665">
        <f t="shared" si="15"/>
      </c>
      <c r="AA38" s="57">
        <f t="shared" si="13"/>
      </c>
      <c r="AB38" s="3"/>
    </row>
    <row r="39" spans="2:28" ht="16.5" customHeight="1">
      <c r="B39" s="58"/>
      <c r="C39" s="563"/>
      <c r="D39" s="563"/>
      <c r="E39" s="563"/>
      <c r="F39" s="564"/>
      <c r="G39" s="565"/>
      <c r="H39" s="566"/>
      <c r="I39" s="302">
        <f t="shared" si="0"/>
        <v>17.4305</v>
      </c>
      <c r="J39" s="571"/>
      <c r="K39" s="571"/>
      <c r="L39" s="15">
        <f t="shared" si="1"/>
      </c>
      <c r="M39" s="16">
        <f t="shared" si="2"/>
      </c>
      <c r="N39" s="572"/>
      <c r="O39" s="654">
        <f t="shared" si="14"/>
      </c>
      <c r="P39" s="655" t="str">
        <f t="shared" si="3"/>
        <v>--</v>
      </c>
      <c r="Q39" s="656" t="str">
        <f t="shared" si="4"/>
        <v>--</v>
      </c>
      <c r="R39" s="657" t="str">
        <f t="shared" si="5"/>
        <v>--</v>
      </c>
      <c r="S39" s="658" t="str">
        <f t="shared" si="6"/>
        <v>--</v>
      </c>
      <c r="T39" s="659" t="str">
        <f t="shared" si="7"/>
        <v>--</v>
      </c>
      <c r="U39" s="660" t="str">
        <f t="shared" si="8"/>
        <v>--</v>
      </c>
      <c r="V39" s="661" t="str">
        <f t="shared" si="9"/>
        <v>--</v>
      </c>
      <c r="W39" s="662" t="str">
        <f t="shared" si="10"/>
        <v>--</v>
      </c>
      <c r="X39" s="663" t="str">
        <f t="shared" si="11"/>
        <v>--</v>
      </c>
      <c r="Y39" s="664" t="str">
        <f t="shared" si="12"/>
        <v>--</v>
      </c>
      <c r="Z39" s="665">
        <f t="shared" si="15"/>
      </c>
      <c r="AA39" s="57">
        <f t="shared" si="13"/>
      </c>
      <c r="AB39" s="3"/>
    </row>
    <row r="40" spans="1:28" ht="16.5" customHeight="1" thickBot="1">
      <c r="A40" s="1"/>
      <c r="B40" s="2"/>
      <c r="C40" s="567"/>
      <c r="D40" s="567"/>
      <c r="E40" s="567"/>
      <c r="F40" s="568"/>
      <c r="G40" s="569"/>
      <c r="H40" s="570"/>
      <c r="I40" s="303"/>
      <c r="J40" s="570"/>
      <c r="K40" s="570"/>
      <c r="L40" s="17"/>
      <c r="M40" s="17"/>
      <c r="N40" s="570"/>
      <c r="O40" s="573"/>
      <c r="P40" s="574"/>
      <c r="Q40" s="575"/>
      <c r="R40" s="576"/>
      <c r="S40" s="577"/>
      <c r="T40" s="578"/>
      <c r="U40" s="579"/>
      <c r="V40" s="580"/>
      <c r="W40" s="581"/>
      <c r="X40" s="582"/>
      <c r="Y40" s="583"/>
      <c r="Z40" s="584"/>
      <c r="AA40" s="59"/>
      <c r="AB40" s="3"/>
    </row>
    <row r="41" spans="1:28" ht="16.5" customHeight="1" thickBot="1" thickTop="1">
      <c r="A41" s="1"/>
      <c r="B41" s="2"/>
      <c r="C41" s="684" t="s">
        <v>154</v>
      </c>
      <c r="D41" s="683" t="s">
        <v>156</v>
      </c>
      <c r="E41" s="649"/>
      <c r="F41" s="273"/>
      <c r="G41" s="18"/>
      <c r="H41" s="19"/>
      <c r="I41" s="60"/>
      <c r="J41" s="60"/>
      <c r="K41" s="60"/>
      <c r="L41" s="60"/>
      <c r="M41" s="60"/>
      <c r="N41" s="60"/>
      <c r="O41" s="61"/>
      <c r="P41" s="362">
        <f aca="true" t="shared" si="16" ref="P41:Y41">ROUND(SUM(P20:P40),2)</f>
        <v>442.5</v>
      </c>
      <c r="Q41" s="363">
        <f t="shared" si="16"/>
        <v>0</v>
      </c>
      <c r="R41" s="364">
        <f t="shared" si="16"/>
        <v>22282.45</v>
      </c>
      <c r="S41" s="364">
        <f t="shared" si="16"/>
        <v>35979.48</v>
      </c>
      <c r="T41" s="365">
        <f t="shared" si="16"/>
        <v>4172.42</v>
      </c>
      <c r="U41" s="366">
        <f t="shared" si="16"/>
        <v>0</v>
      </c>
      <c r="V41" s="366">
        <f t="shared" si="16"/>
        <v>0</v>
      </c>
      <c r="W41" s="367">
        <f t="shared" si="16"/>
        <v>0</v>
      </c>
      <c r="X41" s="368">
        <f t="shared" si="16"/>
        <v>0</v>
      </c>
      <c r="Y41" s="369">
        <f t="shared" si="16"/>
        <v>0</v>
      </c>
      <c r="Z41" s="62"/>
      <c r="AA41" s="653">
        <f>ROUND(SUM(AA20:AA40),2)</f>
        <v>62876.86</v>
      </c>
      <c r="AB41" s="63"/>
    </row>
    <row r="42" spans="1:28" s="287" customFormat="1" ht="9.75" thickTop="1">
      <c r="A42" s="276"/>
      <c r="B42" s="277"/>
      <c r="C42" s="274"/>
      <c r="D42" s="274"/>
      <c r="E42" s="274"/>
      <c r="F42" s="275"/>
      <c r="G42" s="278"/>
      <c r="H42" s="279"/>
      <c r="I42" s="280"/>
      <c r="J42" s="280"/>
      <c r="K42" s="280"/>
      <c r="L42" s="280"/>
      <c r="M42" s="280"/>
      <c r="N42" s="280"/>
      <c r="O42" s="281"/>
      <c r="P42" s="282"/>
      <c r="Q42" s="282"/>
      <c r="R42" s="283"/>
      <c r="S42" s="283"/>
      <c r="T42" s="284"/>
      <c r="U42" s="284"/>
      <c r="V42" s="284"/>
      <c r="W42" s="284"/>
      <c r="X42" s="284"/>
      <c r="Y42" s="284"/>
      <c r="Z42" s="284"/>
      <c r="AA42" s="285"/>
      <c r="AB42" s="286"/>
    </row>
    <row r="43" spans="1:28" s="12" customFormat="1" ht="16.5" customHeight="1" thickBot="1">
      <c r="A43" s="10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</row>
    <row r="44" spans="1:28" ht="13.5" thickTop="1">
      <c r="A44" s="1"/>
      <c r="B44" s="1"/>
      <c r="AB44" s="1"/>
    </row>
    <row r="89" spans="1:2" ht="12.75">
      <c r="A89" s="1"/>
      <c r="B89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9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70" zoomScaleNormal="70" workbookViewId="0" topLeftCell="A1">
      <selection activeCell="K33" sqref="K33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5.42187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0.00390625" style="0" hidden="1" customWidth="1"/>
    <col min="20" max="21" width="12.140625" style="0" hidden="1" customWidth="1"/>
    <col min="22" max="22" width="8.140625" style="0" hidden="1" customWidth="1"/>
    <col min="23" max="23" width="11.7109375" style="0" hidden="1" customWidth="1"/>
    <col min="24" max="25" width="8.140625" style="0" hidden="1" customWidth="1"/>
    <col min="26" max="27" width="11.7109375" style="0" hidden="1" customWidth="1"/>
    <col min="28" max="28" width="9.00390625" style="0" customWidth="1"/>
    <col min="29" max="29" width="13.421875" style="0" customWidth="1"/>
    <col min="30" max="30" width="4.00390625" style="0" customWidth="1"/>
  </cols>
  <sheetData>
    <row r="1" spans="5:30" s="125" customFormat="1" ht="26.25"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558"/>
    </row>
    <row r="2" spans="2:30" s="125" customFormat="1" ht="26.25">
      <c r="B2" s="126" t="str">
        <f>+'TOT-0111'!B2</f>
        <v>ANEXO I al Memoranum D.T.E.E.  N°   482  /2012</v>
      </c>
      <c r="C2" s="127"/>
      <c r="D2" s="127"/>
      <c r="E2" s="189"/>
      <c r="F2" s="189"/>
      <c r="G2" s="126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</row>
    <row r="3" spans="5:30" s="12" customFormat="1" ht="12.75"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</row>
    <row r="4" spans="1:30" s="128" customFormat="1" ht="11.25">
      <c r="A4" s="652" t="s">
        <v>17</v>
      </c>
      <c r="C4" s="651"/>
      <c r="D4" s="651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s="128" customFormat="1" ht="11.25">
      <c r="A5" s="652" t="s">
        <v>134</v>
      </c>
      <c r="C5" s="651"/>
      <c r="D5" s="651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s="12" customFormat="1" ht="13.5" thickBo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</row>
    <row r="7" spans="1:30" s="12" customFormat="1" ht="13.5" thickTop="1">
      <c r="A7" s="187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2"/>
    </row>
    <row r="8" spans="1:30" s="130" customFormat="1" ht="20.25">
      <c r="A8" s="206"/>
      <c r="B8" s="207"/>
      <c r="C8" s="195"/>
      <c r="D8" s="195"/>
      <c r="E8" s="195"/>
      <c r="F8" s="23" t="s">
        <v>39</v>
      </c>
      <c r="H8" s="195"/>
      <c r="I8" s="206"/>
      <c r="J8" s="206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208"/>
    </row>
    <row r="9" spans="1:30" s="130" customFormat="1" ht="7.5" customHeight="1">
      <c r="A9" s="206"/>
      <c r="B9" s="207"/>
      <c r="C9" s="195"/>
      <c r="D9" s="195"/>
      <c r="E9" s="195"/>
      <c r="F9" s="23"/>
      <c r="H9" s="195"/>
      <c r="I9" s="206"/>
      <c r="J9" s="206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208"/>
    </row>
    <row r="10" spans="1:30" s="12" customFormat="1" ht="7.5" customHeight="1">
      <c r="A10" s="187"/>
      <c r="B10" s="193"/>
      <c r="C10" s="32"/>
      <c r="D10" s="32"/>
      <c r="E10" s="32"/>
      <c r="F10" s="32"/>
      <c r="G10" s="32"/>
      <c r="H10" s="32"/>
      <c r="I10" s="187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40"/>
    </row>
    <row r="11" spans="1:30" s="130" customFormat="1" ht="20.25">
      <c r="A11" s="206"/>
      <c r="B11" s="207"/>
      <c r="C11" s="195"/>
      <c r="D11" s="195"/>
      <c r="E11" s="195"/>
      <c r="F11" s="233" t="s">
        <v>76</v>
      </c>
      <c r="G11" s="195"/>
      <c r="H11" s="195"/>
      <c r="I11" s="206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208"/>
    </row>
    <row r="12" spans="1:30" s="130" customFormat="1" ht="8.25" customHeight="1">
      <c r="A12" s="206"/>
      <c r="B12" s="207"/>
      <c r="C12" s="195"/>
      <c r="D12" s="195"/>
      <c r="E12" s="195"/>
      <c r="F12" s="233"/>
      <c r="G12" s="195"/>
      <c r="H12" s="195"/>
      <c r="I12" s="206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208"/>
    </row>
    <row r="13" spans="1:30" s="12" customFormat="1" ht="8.25" customHeight="1">
      <c r="A13" s="187"/>
      <c r="B13" s="193"/>
      <c r="C13" s="32"/>
      <c r="D13" s="32"/>
      <c r="E13" s="32"/>
      <c r="F13" s="139"/>
      <c r="G13" s="197"/>
      <c r="H13" s="197"/>
      <c r="I13" s="198"/>
      <c r="J13" s="196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40"/>
    </row>
    <row r="14" spans="1:30" s="137" customFormat="1" ht="19.5">
      <c r="A14" s="209"/>
      <c r="B14" s="103" t="str">
        <f>+'TOT-0111'!B14</f>
        <v>Desde el 01 al 31 de enero de 2011</v>
      </c>
      <c r="C14" s="210"/>
      <c r="D14" s="210"/>
      <c r="E14" s="210"/>
      <c r="F14" s="210"/>
      <c r="G14" s="210"/>
      <c r="H14" s="210"/>
      <c r="I14" s="211"/>
      <c r="J14" s="210"/>
      <c r="K14" s="134"/>
      <c r="L14" s="134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2"/>
    </row>
    <row r="15" spans="1:30" s="111" customFormat="1" ht="8.25" customHeight="1">
      <c r="A15" s="107"/>
      <c r="B15" s="108"/>
      <c r="C15" s="107"/>
      <c r="D15" s="107"/>
      <c r="E15" s="107"/>
      <c r="F15" s="640"/>
      <c r="G15" s="641"/>
      <c r="H15" s="642"/>
      <c r="I15" s="107"/>
      <c r="K15" s="113"/>
      <c r="L15" s="114"/>
      <c r="M15" s="268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10"/>
    </row>
    <row r="16" spans="1:30" s="12" customFormat="1" ht="8.25" customHeight="1" thickBot="1">
      <c r="A16" s="187"/>
      <c r="B16" s="193"/>
      <c r="C16" s="32"/>
      <c r="D16" s="32"/>
      <c r="E16" s="32"/>
      <c r="F16" s="32"/>
      <c r="G16" s="32"/>
      <c r="H16" s="32"/>
      <c r="I16" s="77"/>
      <c r="J16" s="32"/>
      <c r="K16" s="203"/>
      <c r="L16" s="20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40"/>
    </row>
    <row r="17" spans="1:30" s="12" customFormat="1" ht="16.5" customHeight="1" thickBot="1" thickTop="1">
      <c r="A17" s="187"/>
      <c r="B17" s="193"/>
      <c r="C17" s="32"/>
      <c r="D17" s="32"/>
      <c r="E17" s="32"/>
      <c r="F17" s="213" t="s">
        <v>63</v>
      </c>
      <c r="G17" s="214"/>
      <c r="H17" s="215"/>
      <c r="I17" s="216">
        <v>0.243</v>
      </c>
      <c r="J17" s="187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40"/>
    </row>
    <row r="18" spans="1:30" s="12" customFormat="1" ht="16.5" customHeight="1" thickBot="1" thickTop="1">
      <c r="A18" s="187"/>
      <c r="B18" s="193"/>
      <c r="C18" s="32"/>
      <c r="D18" s="32"/>
      <c r="E18" s="32"/>
      <c r="F18" s="217" t="s">
        <v>64</v>
      </c>
      <c r="G18" s="218"/>
      <c r="H18" s="218"/>
      <c r="I18" s="219">
        <f>30*'TOT-0111'!B13</f>
        <v>30</v>
      </c>
      <c r="J18" s="32"/>
      <c r="K18" s="268" t="str">
        <f>IF(I18=30," ",IF(I18=60,"Coeficiente duplicado por tasa de falla &gt;4 Sal. x año/100 km.","REVISAR COEFICIENTE"))</f>
        <v> 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199"/>
      <c r="X18" s="199"/>
      <c r="Y18" s="199"/>
      <c r="Z18" s="199"/>
      <c r="AA18" s="199"/>
      <c r="AB18" s="199"/>
      <c r="AC18" s="199"/>
      <c r="AD18" s="40"/>
    </row>
    <row r="19" spans="1:30" s="111" customFormat="1" ht="8.25" customHeight="1" thickTop="1">
      <c r="A19" s="107"/>
      <c r="B19" s="108"/>
      <c r="C19" s="107"/>
      <c r="D19" s="107"/>
      <c r="E19" s="107"/>
      <c r="F19" s="640"/>
      <c r="G19" s="641"/>
      <c r="H19" s="642"/>
      <c r="I19" s="107"/>
      <c r="K19" s="113"/>
      <c r="L19" s="114"/>
      <c r="M19" s="268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10"/>
    </row>
    <row r="20" spans="1:30" s="677" customFormat="1" ht="15" customHeight="1" thickBot="1">
      <c r="A20" s="678"/>
      <c r="B20" s="679"/>
      <c r="C20" s="680">
        <v>3</v>
      </c>
      <c r="D20" s="680">
        <v>4</v>
      </c>
      <c r="E20" s="680">
        <v>5</v>
      </c>
      <c r="F20" s="680">
        <v>6</v>
      </c>
      <c r="G20" s="680">
        <v>7</v>
      </c>
      <c r="H20" s="680">
        <v>8</v>
      </c>
      <c r="I20" s="680">
        <v>9</v>
      </c>
      <c r="J20" s="680">
        <v>10</v>
      </c>
      <c r="K20" s="680">
        <v>11</v>
      </c>
      <c r="L20" s="680">
        <v>12</v>
      </c>
      <c r="M20" s="680">
        <v>13</v>
      </c>
      <c r="N20" s="680">
        <v>14</v>
      </c>
      <c r="O20" s="680">
        <v>15</v>
      </c>
      <c r="P20" s="680">
        <v>16</v>
      </c>
      <c r="Q20" s="680">
        <v>17</v>
      </c>
      <c r="R20" s="680">
        <v>18</v>
      </c>
      <c r="S20" s="680">
        <v>19</v>
      </c>
      <c r="T20" s="680">
        <v>20</v>
      </c>
      <c r="U20" s="680">
        <v>21</v>
      </c>
      <c r="V20" s="680">
        <v>22</v>
      </c>
      <c r="W20" s="680">
        <v>23</v>
      </c>
      <c r="X20" s="680">
        <v>24</v>
      </c>
      <c r="Y20" s="680">
        <v>25</v>
      </c>
      <c r="Z20" s="680">
        <v>26</v>
      </c>
      <c r="AA20" s="680">
        <v>27</v>
      </c>
      <c r="AB20" s="680">
        <v>28</v>
      </c>
      <c r="AC20" s="680">
        <v>29</v>
      </c>
      <c r="AD20" s="681"/>
    </row>
    <row r="21" spans="1:30" s="124" customFormat="1" ht="33.75" customHeight="1" thickBot="1" thickTop="1">
      <c r="A21" s="220"/>
      <c r="B21" s="221"/>
      <c r="C21" s="223" t="s">
        <v>45</v>
      </c>
      <c r="D21" s="117" t="s">
        <v>133</v>
      </c>
      <c r="E21" s="117" t="s">
        <v>132</v>
      </c>
      <c r="F21" s="228" t="s">
        <v>65</v>
      </c>
      <c r="G21" s="224" t="s">
        <v>15</v>
      </c>
      <c r="H21" s="225" t="s">
        <v>66</v>
      </c>
      <c r="I21" s="226" t="s">
        <v>46</v>
      </c>
      <c r="J21" s="299" t="s">
        <v>48</v>
      </c>
      <c r="K21" s="227" t="s">
        <v>67</v>
      </c>
      <c r="L21" s="227" t="s">
        <v>68</v>
      </c>
      <c r="M21" s="228" t="s">
        <v>69</v>
      </c>
      <c r="N21" s="228" t="s">
        <v>70</v>
      </c>
      <c r="O21" s="121" t="s">
        <v>53</v>
      </c>
      <c r="P21" s="229" t="s">
        <v>71</v>
      </c>
      <c r="Q21" s="228" t="s">
        <v>72</v>
      </c>
      <c r="R21" s="224" t="s">
        <v>73</v>
      </c>
      <c r="S21" s="370" t="s">
        <v>74</v>
      </c>
      <c r="T21" s="356" t="s">
        <v>55</v>
      </c>
      <c r="U21" s="380" t="s">
        <v>56</v>
      </c>
      <c r="V21" s="386" t="s">
        <v>75</v>
      </c>
      <c r="W21" s="387"/>
      <c r="X21" s="395" t="s">
        <v>75</v>
      </c>
      <c r="Y21" s="396"/>
      <c r="Z21" s="404" t="s">
        <v>59</v>
      </c>
      <c r="AA21" s="410" t="s">
        <v>60</v>
      </c>
      <c r="AB21" s="226" t="s">
        <v>61</v>
      </c>
      <c r="AC21" s="226" t="s">
        <v>62</v>
      </c>
      <c r="AD21" s="222"/>
    </row>
    <row r="22" spans="1:30" s="12" customFormat="1" ht="16.5" customHeight="1" thickTop="1">
      <c r="A22" s="187"/>
      <c r="B22" s="193"/>
      <c r="C22" s="20"/>
      <c r="D22" s="20"/>
      <c r="E22" s="20"/>
      <c r="F22" s="25"/>
      <c r="G22" s="25"/>
      <c r="H22" s="25"/>
      <c r="I22" s="25"/>
      <c r="J22" s="304"/>
      <c r="K22" s="26"/>
      <c r="L22" s="25"/>
      <c r="M22" s="26"/>
      <c r="N22" s="26"/>
      <c r="O22" s="25"/>
      <c r="P22" s="25"/>
      <c r="Q22" s="25"/>
      <c r="R22" s="25"/>
      <c r="S22" s="371"/>
      <c r="T22" s="375"/>
      <c r="U22" s="381"/>
      <c r="V22" s="388"/>
      <c r="W22" s="389"/>
      <c r="X22" s="397"/>
      <c r="Y22" s="398"/>
      <c r="Z22" s="405"/>
      <c r="AA22" s="411"/>
      <c r="AB22" s="25"/>
      <c r="AC22" s="64"/>
      <c r="AD22" s="40"/>
    </row>
    <row r="23" spans="1:30" s="12" customFormat="1" ht="16.5" customHeight="1">
      <c r="A23" s="187"/>
      <c r="B23" s="193"/>
      <c r="C23" s="20"/>
      <c r="D23" s="20"/>
      <c r="E23" s="20"/>
      <c r="F23" s="21"/>
      <c r="G23" s="21"/>
      <c r="H23" s="21"/>
      <c r="I23" s="21"/>
      <c r="J23" s="305"/>
      <c r="K23" s="22"/>
      <c r="L23" s="21"/>
      <c r="M23" s="22"/>
      <c r="N23" s="22"/>
      <c r="O23" s="21"/>
      <c r="P23" s="21"/>
      <c r="Q23" s="21"/>
      <c r="R23" s="21"/>
      <c r="S23" s="372"/>
      <c r="T23" s="376"/>
      <c r="U23" s="382"/>
      <c r="V23" s="390"/>
      <c r="W23" s="391"/>
      <c r="X23" s="399"/>
      <c r="Y23" s="400"/>
      <c r="Z23" s="406"/>
      <c r="AA23" s="412"/>
      <c r="AB23" s="21"/>
      <c r="AC23" s="231"/>
      <c r="AD23" s="40"/>
    </row>
    <row r="24" spans="1:30" s="12" customFormat="1" ht="16.5" customHeight="1">
      <c r="A24" s="187"/>
      <c r="B24" s="193"/>
      <c r="C24" s="600">
        <v>12</v>
      </c>
      <c r="D24" s="600">
        <v>230906</v>
      </c>
      <c r="E24" s="600">
        <v>4970</v>
      </c>
      <c r="F24" s="564" t="s">
        <v>148</v>
      </c>
      <c r="G24" s="563" t="s">
        <v>9</v>
      </c>
      <c r="H24" s="682">
        <v>15</v>
      </c>
      <c r="I24" s="645" t="s">
        <v>146</v>
      </c>
      <c r="J24" s="302">
        <f aca="true" t="shared" si="0" ref="J24:J43">H24*$I$17</f>
        <v>3.645</v>
      </c>
      <c r="K24" s="604">
        <v>40563.37847222222</v>
      </c>
      <c r="L24" s="604">
        <v>40563.39513888889</v>
      </c>
      <c r="M24" s="28">
        <f aca="true" t="shared" si="1" ref="M24:M43">IF(F24="","",(L24-K24)*24)</f>
        <v>0.4000000000814907</v>
      </c>
      <c r="N24" s="29">
        <f aca="true" t="shared" si="2" ref="N24:N43">IF(F24="","",ROUND((L24-K24)*24*60,0))</f>
        <v>24</v>
      </c>
      <c r="O24" s="605" t="s">
        <v>144</v>
      </c>
      <c r="P24" s="27" t="str">
        <f aca="true" t="shared" si="3" ref="P24:P43">IF(F24="","",IF(OR(O24="P",O24="RP"),"--","NO"))</f>
        <v>NO</v>
      </c>
      <c r="Q24" s="666" t="str">
        <f aca="true" t="shared" si="4" ref="Q24:Q43">IF(F24="","","--")</f>
        <v>--</v>
      </c>
      <c r="R24" s="27" t="s">
        <v>141</v>
      </c>
      <c r="S24" s="373">
        <f aca="true" t="shared" si="5" ref="S24:S43">$I$18*IF(OR(O24="P",O24="RP"),0.1,1)*IF(R24="SI",1,0.1)</f>
        <v>30</v>
      </c>
      <c r="T24" s="377" t="str">
        <f aca="true" t="shared" si="6" ref="T24:T43">IF(O24="P",J24*S24*ROUND(N24/60,2),"--")</f>
        <v>--</v>
      </c>
      <c r="U24" s="383" t="str">
        <f aca="true" t="shared" si="7" ref="U24:U43">IF(O24="RP",J24*S24*ROUND(N24/60,2)*Q24/100,"--")</f>
        <v>--</v>
      </c>
      <c r="V24" s="392">
        <f aca="true" t="shared" si="8" ref="V24:V43">IF(AND(O24="F",P24="NO"),J24*S24,"--")</f>
        <v>109.35</v>
      </c>
      <c r="W24" s="393">
        <f aca="true" t="shared" si="9" ref="W24:W43">IF(O24="F",J24*S24*ROUND(N24/60,2),"--")</f>
        <v>43.74</v>
      </c>
      <c r="X24" s="401" t="str">
        <f aca="true" t="shared" si="10" ref="X24:X43">IF(AND(O24="R",P24="NO"),J24*S24*Q24/100,"--")</f>
        <v>--</v>
      </c>
      <c r="Y24" s="402" t="str">
        <f aca="true" t="shared" si="11" ref="Y24:Y43">IF(O24="R",J24*S24*ROUND(N24/60,2)*Q24/100,"--")</f>
        <v>--</v>
      </c>
      <c r="Z24" s="407" t="str">
        <f aca="true" t="shared" si="12" ref="Z24:Z43">IF(O24="RF",J24*S24*ROUND(N24/60,2),"--")</f>
        <v>--</v>
      </c>
      <c r="AA24" s="413" t="str">
        <f aca="true" t="shared" si="13" ref="AA24:AA43">IF(O24="RR",J24*S24*ROUND(N24/60,2)*Q24/100,"--")</f>
        <v>--</v>
      </c>
      <c r="AB24" s="27" t="s">
        <v>141</v>
      </c>
      <c r="AC24" s="65">
        <f aca="true" t="shared" si="14" ref="AC24:AC43">IF(F24="","",SUM(T24:AA24)*IF(AB24="SI",1,2))</f>
        <v>153.09</v>
      </c>
      <c r="AD24" s="458"/>
    </row>
    <row r="25" spans="1:30" s="12" customFormat="1" ht="16.5" customHeight="1">
      <c r="A25" s="187"/>
      <c r="B25" s="193"/>
      <c r="C25" s="600">
        <v>13</v>
      </c>
      <c r="D25" s="600">
        <v>230903</v>
      </c>
      <c r="E25" s="600">
        <v>1805</v>
      </c>
      <c r="F25" s="564" t="s">
        <v>147</v>
      </c>
      <c r="G25" s="563" t="s">
        <v>8</v>
      </c>
      <c r="H25" s="682">
        <v>15</v>
      </c>
      <c r="I25" s="645" t="s">
        <v>146</v>
      </c>
      <c r="J25" s="302">
        <f t="shared" si="0"/>
        <v>3.645</v>
      </c>
      <c r="K25" s="604">
        <v>40563.37847222222</v>
      </c>
      <c r="L25" s="604">
        <v>40563.39444444444</v>
      </c>
      <c r="M25" s="28">
        <f t="shared" si="1"/>
        <v>0.3833333333604969</v>
      </c>
      <c r="N25" s="29">
        <f t="shared" si="2"/>
        <v>23</v>
      </c>
      <c r="O25" s="605" t="s">
        <v>144</v>
      </c>
      <c r="P25" s="27" t="str">
        <f t="shared" si="3"/>
        <v>NO</v>
      </c>
      <c r="Q25" s="666" t="str">
        <f t="shared" si="4"/>
        <v>--</v>
      </c>
      <c r="R25" s="27" t="s">
        <v>141</v>
      </c>
      <c r="S25" s="373">
        <f t="shared" si="5"/>
        <v>30</v>
      </c>
      <c r="T25" s="377" t="str">
        <f t="shared" si="6"/>
        <v>--</v>
      </c>
      <c r="U25" s="383" t="str">
        <f t="shared" si="7"/>
        <v>--</v>
      </c>
      <c r="V25" s="392">
        <f t="shared" si="8"/>
        <v>109.35</v>
      </c>
      <c r="W25" s="393">
        <f t="shared" si="9"/>
        <v>41.553</v>
      </c>
      <c r="X25" s="401" t="str">
        <f t="shared" si="10"/>
        <v>--</v>
      </c>
      <c r="Y25" s="402" t="str">
        <f t="shared" si="11"/>
        <v>--</v>
      </c>
      <c r="Z25" s="407" t="str">
        <f t="shared" si="12"/>
        <v>--</v>
      </c>
      <c r="AA25" s="413" t="str">
        <f t="shared" si="13"/>
        <v>--</v>
      </c>
      <c r="AB25" s="27" t="s">
        <v>141</v>
      </c>
      <c r="AC25" s="65">
        <f t="shared" si="14"/>
        <v>150.903</v>
      </c>
      <c r="AD25" s="458"/>
    </row>
    <row r="26" spans="1:30" s="12" customFormat="1" ht="16.5" customHeight="1">
      <c r="A26" s="187"/>
      <c r="B26" s="193"/>
      <c r="C26" s="600">
        <v>14</v>
      </c>
      <c r="D26" s="600">
        <v>231058</v>
      </c>
      <c r="E26" s="600">
        <v>4970</v>
      </c>
      <c r="F26" s="564" t="s">
        <v>148</v>
      </c>
      <c r="G26" s="563" t="s">
        <v>9</v>
      </c>
      <c r="H26" s="682">
        <v>15</v>
      </c>
      <c r="I26" s="645" t="s">
        <v>146</v>
      </c>
      <c r="J26" s="302">
        <f>H26*$I$17</f>
        <v>3.645</v>
      </c>
      <c r="K26" s="604">
        <v>40567.555555555555</v>
      </c>
      <c r="L26" s="604">
        <v>40567.73472222222</v>
      </c>
      <c r="M26" s="28">
        <f>IF(F26="","",(L26-K26)*24)</f>
        <v>4.300000000046566</v>
      </c>
      <c r="N26" s="29">
        <f>IF(F26="","",ROUND((L26-K26)*24*60,0))</f>
        <v>258</v>
      </c>
      <c r="O26" s="605" t="s">
        <v>144</v>
      </c>
      <c r="P26" s="27" t="str">
        <f>IF(F26="","",IF(OR(O26="P",O26="RP"),"--","NO"))</f>
        <v>NO</v>
      </c>
      <c r="Q26" s="666" t="str">
        <f>IF(F26="","","--")</f>
        <v>--</v>
      </c>
      <c r="R26" s="27" t="s">
        <v>141</v>
      </c>
      <c r="S26" s="373">
        <f>$I$18*IF(OR(O26="P",O26="RP"),0.1,1)*IF(R26="SI",1,0.1)</f>
        <v>30</v>
      </c>
      <c r="T26" s="377" t="str">
        <f>IF(O26="P",J26*S26*ROUND(N26/60,2),"--")</f>
        <v>--</v>
      </c>
      <c r="U26" s="383" t="str">
        <f>IF(O26="RP",J26*S26*ROUND(N26/60,2)*Q26/100,"--")</f>
        <v>--</v>
      </c>
      <c r="V26" s="392">
        <f>IF(AND(O26="F",P26="NO"),J26*S26,"--")</f>
        <v>109.35</v>
      </c>
      <c r="W26" s="393">
        <f>IF(O26="F",J26*S26*ROUND(N26/60,2),"--")</f>
        <v>470.205</v>
      </c>
      <c r="X26" s="401" t="str">
        <f>IF(AND(O26="R",P26="NO"),J26*S26*Q26/100,"--")</f>
        <v>--</v>
      </c>
      <c r="Y26" s="402" t="str">
        <f>IF(O26="R",J26*S26*ROUND(N26/60,2)*Q26/100,"--")</f>
        <v>--</v>
      </c>
      <c r="Z26" s="407" t="str">
        <f>IF(O26="RF",J26*S26*ROUND(N26/60,2),"--")</f>
        <v>--</v>
      </c>
      <c r="AA26" s="413" t="str">
        <f>IF(O26="RR",J26*S26*ROUND(N26/60,2)*Q26/100,"--")</f>
        <v>--</v>
      </c>
      <c r="AB26" s="27" t="s">
        <v>141</v>
      </c>
      <c r="AC26" s="65">
        <f>IF(F26="","",SUM(T26:AA26)*IF(AB26="SI",1,2))</f>
        <v>579.555</v>
      </c>
      <c r="AD26" s="458"/>
    </row>
    <row r="27" spans="1:30" s="12" customFormat="1" ht="16.5" customHeight="1">
      <c r="A27" s="187"/>
      <c r="B27" s="193"/>
      <c r="C27" s="600">
        <v>15</v>
      </c>
      <c r="D27" s="600">
        <v>231063</v>
      </c>
      <c r="E27" s="600">
        <v>1805</v>
      </c>
      <c r="F27" s="564" t="s">
        <v>147</v>
      </c>
      <c r="G27" s="563" t="s">
        <v>8</v>
      </c>
      <c r="H27" s="682">
        <v>15</v>
      </c>
      <c r="I27" s="645" t="s">
        <v>146</v>
      </c>
      <c r="J27" s="302">
        <f>H27*$I$17</f>
        <v>3.645</v>
      </c>
      <c r="K27" s="604">
        <v>40567.58472222222</v>
      </c>
      <c r="L27" s="604">
        <v>40567.586805555555</v>
      </c>
      <c r="M27" s="28">
        <f>IF(F27="","",(L27-K27)*24)</f>
        <v>0.04999999998835847</v>
      </c>
      <c r="N27" s="29">
        <f>IF(F27="","",ROUND((L27-K27)*24*60,0))</f>
        <v>3</v>
      </c>
      <c r="O27" s="605" t="s">
        <v>144</v>
      </c>
      <c r="P27" s="27" t="str">
        <f>IF(F27="","",IF(OR(O27="P",O27="RP"),"--","NO"))</f>
        <v>NO</v>
      </c>
      <c r="Q27" s="666" t="str">
        <f>IF(F27="","","--")</f>
        <v>--</v>
      </c>
      <c r="R27" s="27" t="s">
        <v>141</v>
      </c>
      <c r="S27" s="373">
        <f>$I$18*IF(OR(O27="P",O27="RP"),0.1,1)*IF(R27="SI",1,0.1)</f>
        <v>30</v>
      </c>
      <c r="T27" s="377" t="str">
        <f>IF(O27="P",J27*S27*ROUND(N27/60,2),"--")</f>
        <v>--</v>
      </c>
      <c r="U27" s="383" t="str">
        <f>IF(O27="RP",J27*S27*ROUND(N27/60,2)*Q27/100,"--")</f>
        <v>--</v>
      </c>
      <c r="V27" s="392">
        <f>IF(AND(O27="F",P27="NO"),J27*S27,"--")</f>
        <v>109.35</v>
      </c>
      <c r="W27" s="393">
        <f>IF(O27="F",J27*S27*ROUND(N27/60,2),"--")</f>
        <v>5.4675</v>
      </c>
      <c r="X27" s="401" t="str">
        <f>IF(AND(O27="R",P27="NO"),J27*S27*Q27/100,"--")</f>
        <v>--</v>
      </c>
      <c r="Y27" s="402" t="str">
        <f>IF(O27="R",J27*S27*ROUND(N27/60,2)*Q27/100,"--")</f>
        <v>--</v>
      </c>
      <c r="Z27" s="407" t="str">
        <f>IF(O27="RF",J27*S27*ROUND(N27/60,2),"--")</f>
        <v>--</v>
      </c>
      <c r="AA27" s="413" t="str">
        <f>IF(O27="RR",J27*S27*ROUND(N27/60,2)*Q27/100,"--")</f>
        <v>--</v>
      </c>
      <c r="AB27" s="27" t="s">
        <v>141</v>
      </c>
      <c r="AC27" s="65">
        <f>IF(F27="","",SUM(T27:AA27)*IF(AB27="SI",1,2))</f>
        <v>114.8175</v>
      </c>
      <c r="AD27" s="458"/>
    </row>
    <row r="28" spans="1:30" s="12" customFormat="1" ht="16.5" customHeight="1">
      <c r="A28" s="187"/>
      <c r="B28" s="193"/>
      <c r="C28" s="600">
        <v>16</v>
      </c>
      <c r="D28" s="600">
        <v>231067</v>
      </c>
      <c r="E28" s="600">
        <v>1805</v>
      </c>
      <c r="F28" s="564" t="s">
        <v>147</v>
      </c>
      <c r="G28" s="563" t="s">
        <v>8</v>
      </c>
      <c r="H28" s="682">
        <v>15</v>
      </c>
      <c r="I28" s="645" t="s">
        <v>146</v>
      </c>
      <c r="J28" s="302">
        <f>H28*$I$17</f>
        <v>3.645</v>
      </c>
      <c r="K28" s="604">
        <v>40567.785416666666</v>
      </c>
      <c r="L28" s="604">
        <v>40567.79861111111</v>
      </c>
      <c r="M28" s="28">
        <f>IF(F28="","",(L28-K28)*24)</f>
        <v>0.3166666666511446</v>
      </c>
      <c r="N28" s="29">
        <f>IF(F28="","",ROUND((L28-K28)*24*60,0))</f>
        <v>19</v>
      </c>
      <c r="O28" s="605" t="s">
        <v>144</v>
      </c>
      <c r="P28" s="27" t="str">
        <f>IF(F28="","",IF(OR(O28="P",O28="RP"),"--","NO"))</f>
        <v>NO</v>
      </c>
      <c r="Q28" s="666" t="str">
        <f>IF(F28="","","--")</f>
        <v>--</v>
      </c>
      <c r="R28" s="27" t="s">
        <v>141</v>
      </c>
      <c r="S28" s="373">
        <f>$I$18*IF(OR(O28="P",O28="RP"),0.1,1)*IF(R28="SI",1,0.1)</f>
        <v>30</v>
      </c>
      <c r="T28" s="377" t="str">
        <f>IF(O28="P",J28*S28*ROUND(N28/60,2),"--")</f>
        <v>--</v>
      </c>
      <c r="U28" s="383" t="str">
        <f>IF(O28="RP",J28*S28*ROUND(N28/60,2)*Q28/100,"--")</f>
        <v>--</v>
      </c>
      <c r="V28" s="392">
        <f>IF(AND(O28="F",P28="NO"),J28*S28,"--")</f>
        <v>109.35</v>
      </c>
      <c r="W28" s="393">
        <f>IF(O28="F",J28*S28*ROUND(N28/60,2),"--")</f>
        <v>34.992</v>
      </c>
      <c r="X28" s="401" t="str">
        <f>IF(AND(O28="R",P28="NO"),J28*S28*Q28/100,"--")</f>
        <v>--</v>
      </c>
      <c r="Y28" s="402" t="str">
        <f>IF(O28="R",J28*S28*ROUND(N28/60,2)*Q28/100,"--")</f>
        <v>--</v>
      </c>
      <c r="Z28" s="407" t="str">
        <f>IF(O28="RF",J28*S28*ROUND(N28/60,2),"--")</f>
        <v>--</v>
      </c>
      <c r="AA28" s="413" t="str">
        <f>IF(O28="RR",J28*S28*ROUND(N28/60,2)*Q28/100,"--")</f>
        <v>--</v>
      </c>
      <c r="AB28" s="27" t="s">
        <v>141</v>
      </c>
      <c r="AC28" s="65">
        <f>IF(F28="","",SUM(T28:AA28)*IF(AB28="SI",1,2))</f>
        <v>144.34199999999998</v>
      </c>
      <c r="AD28" s="458"/>
    </row>
    <row r="29" spans="1:30" s="12" customFormat="1" ht="16.5" customHeight="1">
      <c r="A29" s="187"/>
      <c r="B29" s="193"/>
      <c r="C29" s="600"/>
      <c r="D29" s="600"/>
      <c r="E29" s="600"/>
      <c r="F29" s="564"/>
      <c r="G29" s="563"/>
      <c r="H29" s="682"/>
      <c r="I29" s="602"/>
      <c r="J29" s="302">
        <f>H29*$I$17</f>
        <v>0</v>
      </c>
      <c r="K29" s="604"/>
      <c r="L29" s="604"/>
      <c r="M29" s="28">
        <f>IF(F29="","",(L29-K29)*24)</f>
      </c>
      <c r="N29" s="29">
        <f>IF(F29="","",ROUND((L29-K29)*24*60,0))</f>
      </c>
      <c r="O29" s="605"/>
      <c r="P29" s="27">
        <f>IF(F29="","",IF(OR(O29="P",O29="RP"),"--","NO"))</f>
      </c>
      <c r="Q29" s="666">
        <f>IF(F29="","","--")</f>
      </c>
      <c r="R29" s="27"/>
      <c r="S29" s="373">
        <f>$I$18*IF(OR(O29="P",O29="RP"),0.1,1)*IF(R29="SI",1,0.1)</f>
        <v>3</v>
      </c>
      <c r="T29" s="377" t="str">
        <f>IF(O29="P",J29*S29*ROUND(N29/60,2),"--")</f>
        <v>--</v>
      </c>
      <c r="U29" s="383" t="str">
        <f>IF(O29="RP",J29*S29*ROUND(N29/60,2)*Q29/100,"--")</f>
        <v>--</v>
      </c>
      <c r="V29" s="392" t="str">
        <f>IF(AND(O29="F",P29="NO"),J29*S29,"--")</f>
        <v>--</v>
      </c>
      <c r="W29" s="393" t="str">
        <f>IF(O29="F",J29*S29*ROUND(N29/60,2),"--")</f>
        <v>--</v>
      </c>
      <c r="X29" s="401" t="str">
        <f>IF(AND(O29="R",P29="NO"),J29*S29*Q29/100,"--")</f>
        <v>--</v>
      </c>
      <c r="Y29" s="402" t="str">
        <f>IF(O29="R",J29*S29*ROUND(N29/60,2)*Q29/100,"--")</f>
        <v>--</v>
      </c>
      <c r="Z29" s="407" t="str">
        <f>IF(O29="RF",J29*S29*ROUND(N29/60,2),"--")</f>
        <v>--</v>
      </c>
      <c r="AA29" s="413" t="str">
        <f>IF(O29="RR",J29*S29*ROUND(N29/60,2)*Q29/100,"--")</f>
        <v>--</v>
      </c>
      <c r="AB29" s="27"/>
      <c r="AC29" s="65">
        <f>IF(F29="","",SUM(T29:AA29)*IF(AB29="SI",1,2))</f>
      </c>
      <c r="AD29" s="458"/>
    </row>
    <row r="30" spans="1:30" s="12" customFormat="1" ht="16.5" customHeight="1">
      <c r="A30" s="187"/>
      <c r="B30" s="193"/>
      <c r="C30" s="600"/>
      <c r="D30" s="600"/>
      <c r="E30" s="600"/>
      <c r="F30" s="564"/>
      <c r="G30" s="563"/>
      <c r="H30" s="601"/>
      <c r="I30" s="602"/>
      <c r="J30" s="302">
        <f t="shared" si="0"/>
        <v>0</v>
      </c>
      <c r="K30" s="604"/>
      <c r="L30" s="604"/>
      <c r="M30" s="28">
        <f t="shared" si="1"/>
      </c>
      <c r="N30" s="29">
        <f t="shared" si="2"/>
      </c>
      <c r="O30" s="605"/>
      <c r="P30" s="27">
        <f t="shared" si="3"/>
      </c>
      <c r="Q30" s="666">
        <f t="shared" si="4"/>
      </c>
      <c r="R30" s="27">
        <f aca="true" t="shared" si="15" ref="R30:R43">IF(F30="","","NO")</f>
      </c>
      <c r="S30" s="373">
        <f t="shared" si="5"/>
        <v>3</v>
      </c>
      <c r="T30" s="377" t="str">
        <f t="shared" si="6"/>
        <v>--</v>
      </c>
      <c r="U30" s="383" t="str">
        <f t="shared" si="7"/>
        <v>--</v>
      </c>
      <c r="V30" s="392" t="str">
        <f t="shared" si="8"/>
        <v>--</v>
      </c>
      <c r="W30" s="393" t="str">
        <f t="shared" si="9"/>
        <v>--</v>
      </c>
      <c r="X30" s="401" t="str">
        <f t="shared" si="10"/>
        <v>--</v>
      </c>
      <c r="Y30" s="402" t="str">
        <f t="shared" si="11"/>
        <v>--</v>
      </c>
      <c r="Z30" s="407" t="str">
        <f t="shared" si="12"/>
        <v>--</v>
      </c>
      <c r="AA30" s="413" t="str">
        <f t="shared" si="13"/>
        <v>--</v>
      </c>
      <c r="AB30" s="27">
        <f aca="true" t="shared" si="16" ref="AB30:AB43">IF(F30="","","SI")</f>
      </c>
      <c r="AC30" s="65">
        <f t="shared" si="14"/>
      </c>
      <c r="AD30" s="40"/>
    </row>
    <row r="31" spans="1:30" s="12" customFormat="1" ht="16.5" customHeight="1">
      <c r="A31" s="187"/>
      <c r="B31" s="193"/>
      <c r="C31" s="600"/>
      <c r="D31" s="600"/>
      <c r="E31" s="600"/>
      <c r="F31" s="564"/>
      <c r="G31" s="563"/>
      <c r="H31" s="601"/>
      <c r="I31" s="602"/>
      <c r="J31" s="302">
        <f t="shared" si="0"/>
        <v>0</v>
      </c>
      <c r="K31" s="604"/>
      <c r="L31" s="604"/>
      <c r="M31" s="28">
        <f t="shared" si="1"/>
      </c>
      <c r="N31" s="29">
        <f t="shared" si="2"/>
      </c>
      <c r="O31" s="605"/>
      <c r="P31" s="27">
        <f t="shared" si="3"/>
      </c>
      <c r="Q31" s="666">
        <f t="shared" si="4"/>
      </c>
      <c r="R31" s="27">
        <f t="shared" si="15"/>
      </c>
      <c r="S31" s="373">
        <f t="shared" si="5"/>
        <v>3</v>
      </c>
      <c r="T31" s="377" t="str">
        <f t="shared" si="6"/>
        <v>--</v>
      </c>
      <c r="U31" s="383" t="str">
        <f t="shared" si="7"/>
        <v>--</v>
      </c>
      <c r="V31" s="392" t="str">
        <f t="shared" si="8"/>
        <v>--</v>
      </c>
      <c r="W31" s="393" t="str">
        <f t="shared" si="9"/>
        <v>--</v>
      </c>
      <c r="X31" s="401" t="str">
        <f t="shared" si="10"/>
        <v>--</v>
      </c>
      <c r="Y31" s="402" t="str">
        <f t="shared" si="11"/>
        <v>--</v>
      </c>
      <c r="Z31" s="407" t="str">
        <f t="shared" si="12"/>
        <v>--</v>
      </c>
      <c r="AA31" s="413" t="str">
        <f t="shared" si="13"/>
        <v>--</v>
      </c>
      <c r="AB31" s="27">
        <f t="shared" si="16"/>
      </c>
      <c r="AC31" s="65">
        <f t="shared" si="14"/>
      </c>
      <c r="AD31" s="40"/>
    </row>
    <row r="32" spans="1:30" s="12" customFormat="1" ht="16.5" customHeight="1">
      <c r="A32" s="187"/>
      <c r="B32" s="193"/>
      <c r="C32" s="600"/>
      <c r="D32" s="600"/>
      <c r="E32" s="600"/>
      <c r="F32" s="564"/>
      <c r="G32" s="563"/>
      <c r="H32" s="601"/>
      <c r="I32" s="602"/>
      <c r="J32" s="302">
        <f t="shared" si="0"/>
        <v>0</v>
      </c>
      <c r="K32" s="604"/>
      <c r="L32" s="604"/>
      <c r="M32" s="28">
        <f t="shared" si="1"/>
      </c>
      <c r="N32" s="29">
        <f t="shared" si="2"/>
      </c>
      <c r="O32" s="605"/>
      <c r="P32" s="27">
        <f t="shared" si="3"/>
      </c>
      <c r="Q32" s="666">
        <f t="shared" si="4"/>
      </c>
      <c r="R32" s="27">
        <f t="shared" si="15"/>
      </c>
      <c r="S32" s="373">
        <f t="shared" si="5"/>
        <v>3</v>
      </c>
      <c r="T32" s="377" t="str">
        <f t="shared" si="6"/>
        <v>--</v>
      </c>
      <c r="U32" s="383" t="str">
        <f t="shared" si="7"/>
        <v>--</v>
      </c>
      <c r="V32" s="392" t="str">
        <f t="shared" si="8"/>
        <v>--</v>
      </c>
      <c r="W32" s="393" t="str">
        <f t="shared" si="9"/>
        <v>--</v>
      </c>
      <c r="X32" s="401" t="str">
        <f t="shared" si="10"/>
        <v>--</v>
      </c>
      <c r="Y32" s="402" t="str">
        <f t="shared" si="11"/>
        <v>--</v>
      </c>
      <c r="Z32" s="407" t="str">
        <f t="shared" si="12"/>
        <v>--</v>
      </c>
      <c r="AA32" s="413" t="str">
        <f t="shared" si="13"/>
        <v>--</v>
      </c>
      <c r="AB32" s="27">
        <f t="shared" si="16"/>
      </c>
      <c r="AC32" s="65">
        <f t="shared" si="14"/>
      </c>
      <c r="AD32" s="40"/>
    </row>
    <row r="33" spans="1:30" s="12" customFormat="1" ht="16.5" customHeight="1">
      <c r="A33" s="187"/>
      <c r="B33" s="193"/>
      <c r="C33" s="600"/>
      <c r="D33" s="600"/>
      <c r="E33" s="600"/>
      <c r="F33" s="564"/>
      <c r="G33" s="563"/>
      <c r="H33" s="601"/>
      <c r="I33" s="602"/>
      <c r="J33" s="302">
        <f t="shared" si="0"/>
        <v>0</v>
      </c>
      <c r="K33" s="604"/>
      <c r="L33" s="604"/>
      <c r="M33" s="28">
        <f t="shared" si="1"/>
      </c>
      <c r="N33" s="29">
        <f t="shared" si="2"/>
      </c>
      <c r="O33" s="605"/>
      <c r="P33" s="27">
        <f t="shared" si="3"/>
      </c>
      <c r="Q33" s="666">
        <f t="shared" si="4"/>
      </c>
      <c r="R33" s="27">
        <f t="shared" si="15"/>
      </c>
      <c r="S33" s="373">
        <f t="shared" si="5"/>
        <v>3</v>
      </c>
      <c r="T33" s="377" t="str">
        <f t="shared" si="6"/>
        <v>--</v>
      </c>
      <c r="U33" s="383" t="str">
        <f t="shared" si="7"/>
        <v>--</v>
      </c>
      <c r="V33" s="392" t="str">
        <f t="shared" si="8"/>
        <v>--</v>
      </c>
      <c r="W33" s="393" t="str">
        <f t="shared" si="9"/>
        <v>--</v>
      </c>
      <c r="X33" s="401" t="str">
        <f t="shared" si="10"/>
        <v>--</v>
      </c>
      <c r="Y33" s="402" t="str">
        <f t="shared" si="11"/>
        <v>--</v>
      </c>
      <c r="Z33" s="407" t="str">
        <f t="shared" si="12"/>
        <v>--</v>
      </c>
      <c r="AA33" s="413" t="str">
        <f t="shared" si="13"/>
        <v>--</v>
      </c>
      <c r="AB33" s="27">
        <f t="shared" si="16"/>
      </c>
      <c r="AC33" s="65">
        <f t="shared" si="14"/>
      </c>
      <c r="AD33" s="40"/>
    </row>
    <row r="34" spans="1:30" s="12" customFormat="1" ht="16.5" customHeight="1">
      <c r="A34" s="187"/>
      <c r="B34" s="193"/>
      <c r="C34" s="600"/>
      <c r="D34" s="600"/>
      <c r="E34" s="600"/>
      <c r="F34" s="564"/>
      <c r="G34" s="563"/>
      <c r="H34" s="601"/>
      <c r="I34" s="602"/>
      <c r="J34" s="302">
        <f t="shared" si="0"/>
        <v>0</v>
      </c>
      <c r="K34" s="604"/>
      <c r="L34" s="604"/>
      <c r="M34" s="28">
        <f t="shared" si="1"/>
      </c>
      <c r="N34" s="29">
        <f t="shared" si="2"/>
      </c>
      <c r="O34" s="605"/>
      <c r="P34" s="27">
        <f t="shared" si="3"/>
      </c>
      <c r="Q34" s="666">
        <f t="shared" si="4"/>
      </c>
      <c r="R34" s="27">
        <f t="shared" si="15"/>
      </c>
      <c r="S34" s="373">
        <f t="shared" si="5"/>
        <v>3</v>
      </c>
      <c r="T34" s="377" t="str">
        <f t="shared" si="6"/>
        <v>--</v>
      </c>
      <c r="U34" s="383" t="str">
        <f t="shared" si="7"/>
        <v>--</v>
      </c>
      <c r="V34" s="392" t="str">
        <f t="shared" si="8"/>
        <v>--</v>
      </c>
      <c r="W34" s="393" t="str">
        <f t="shared" si="9"/>
        <v>--</v>
      </c>
      <c r="X34" s="401" t="str">
        <f t="shared" si="10"/>
        <v>--</v>
      </c>
      <c r="Y34" s="402" t="str">
        <f t="shared" si="11"/>
        <v>--</v>
      </c>
      <c r="Z34" s="407" t="str">
        <f t="shared" si="12"/>
        <v>--</v>
      </c>
      <c r="AA34" s="413" t="str">
        <f t="shared" si="13"/>
        <v>--</v>
      </c>
      <c r="AB34" s="27">
        <f t="shared" si="16"/>
      </c>
      <c r="AC34" s="65">
        <f t="shared" si="14"/>
      </c>
      <c r="AD34" s="40"/>
    </row>
    <row r="35" spans="1:30" s="12" customFormat="1" ht="16.5" customHeight="1">
      <c r="A35" s="187"/>
      <c r="B35" s="193"/>
      <c r="C35" s="600"/>
      <c r="D35" s="600"/>
      <c r="E35" s="600"/>
      <c r="F35" s="564"/>
      <c r="G35" s="563"/>
      <c r="H35" s="601"/>
      <c r="I35" s="602"/>
      <c r="J35" s="302">
        <f t="shared" si="0"/>
        <v>0</v>
      </c>
      <c r="K35" s="604"/>
      <c r="L35" s="604"/>
      <c r="M35" s="28">
        <f t="shared" si="1"/>
      </c>
      <c r="N35" s="29">
        <f t="shared" si="2"/>
      </c>
      <c r="O35" s="605"/>
      <c r="P35" s="27">
        <f t="shared" si="3"/>
      </c>
      <c r="Q35" s="666">
        <f t="shared" si="4"/>
      </c>
      <c r="R35" s="27">
        <f t="shared" si="15"/>
      </c>
      <c r="S35" s="373">
        <f t="shared" si="5"/>
        <v>3</v>
      </c>
      <c r="T35" s="377" t="str">
        <f t="shared" si="6"/>
        <v>--</v>
      </c>
      <c r="U35" s="383" t="str">
        <f t="shared" si="7"/>
        <v>--</v>
      </c>
      <c r="V35" s="392" t="str">
        <f t="shared" si="8"/>
        <v>--</v>
      </c>
      <c r="W35" s="393" t="str">
        <f t="shared" si="9"/>
        <v>--</v>
      </c>
      <c r="X35" s="401" t="str">
        <f t="shared" si="10"/>
        <v>--</v>
      </c>
      <c r="Y35" s="402" t="str">
        <f t="shared" si="11"/>
        <v>--</v>
      </c>
      <c r="Z35" s="407" t="str">
        <f t="shared" si="12"/>
        <v>--</v>
      </c>
      <c r="AA35" s="413" t="str">
        <f t="shared" si="13"/>
        <v>--</v>
      </c>
      <c r="AB35" s="27">
        <f t="shared" si="16"/>
      </c>
      <c r="AC35" s="65">
        <f t="shared" si="14"/>
      </c>
      <c r="AD35" s="40"/>
    </row>
    <row r="36" spans="1:30" s="12" customFormat="1" ht="16.5" customHeight="1">
      <c r="A36" s="187"/>
      <c r="B36" s="193"/>
      <c r="C36" s="600"/>
      <c r="D36" s="600"/>
      <c r="E36" s="600"/>
      <c r="F36" s="564"/>
      <c r="G36" s="563"/>
      <c r="H36" s="601"/>
      <c r="I36" s="602"/>
      <c r="J36" s="302">
        <f t="shared" si="0"/>
        <v>0</v>
      </c>
      <c r="K36" s="604"/>
      <c r="L36" s="604"/>
      <c r="M36" s="28">
        <f t="shared" si="1"/>
      </c>
      <c r="N36" s="29">
        <f t="shared" si="2"/>
      </c>
      <c r="O36" s="605"/>
      <c r="P36" s="27">
        <f t="shared" si="3"/>
      </c>
      <c r="Q36" s="666">
        <f t="shared" si="4"/>
      </c>
      <c r="R36" s="27">
        <f t="shared" si="15"/>
      </c>
      <c r="S36" s="373">
        <f t="shared" si="5"/>
        <v>3</v>
      </c>
      <c r="T36" s="377" t="str">
        <f t="shared" si="6"/>
        <v>--</v>
      </c>
      <c r="U36" s="383" t="str">
        <f t="shared" si="7"/>
        <v>--</v>
      </c>
      <c r="V36" s="392" t="str">
        <f t="shared" si="8"/>
        <v>--</v>
      </c>
      <c r="W36" s="393" t="str">
        <f t="shared" si="9"/>
        <v>--</v>
      </c>
      <c r="X36" s="401" t="str">
        <f t="shared" si="10"/>
        <v>--</v>
      </c>
      <c r="Y36" s="402" t="str">
        <f t="shared" si="11"/>
        <v>--</v>
      </c>
      <c r="Z36" s="407" t="str">
        <f t="shared" si="12"/>
        <v>--</v>
      </c>
      <c r="AA36" s="413" t="str">
        <f t="shared" si="13"/>
        <v>--</v>
      </c>
      <c r="AB36" s="27">
        <f t="shared" si="16"/>
      </c>
      <c r="AC36" s="65">
        <f t="shared" si="14"/>
      </c>
      <c r="AD36" s="40"/>
    </row>
    <row r="37" spans="1:30" s="12" customFormat="1" ht="16.5" customHeight="1">
      <c r="A37" s="187"/>
      <c r="B37" s="193"/>
      <c r="C37" s="600"/>
      <c r="D37" s="600"/>
      <c r="E37" s="600"/>
      <c r="F37" s="564"/>
      <c r="G37" s="563"/>
      <c r="H37" s="601"/>
      <c r="I37" s="602"/>
      <c r="J37" s="302">
        <f t="shared" si="0"/>
        <v>0</v>
      </c>
      <c r="K37" s="604"/>
      <c r="L37" s="604"/>
      <c r="M37" s="28">
        <f t="shared" si="1"/>
      </c>
      <c r="N37" s="29">
        <f t="shared" si="2"/>
      </c>
      <c r="O37" s="605"/>
      <c r="P37" s="27">
        <f t="shared" si="3"/>
      </c>
      <c r="Q37" s="666">
        <f t="shared" si="4"/>
      </c>
      <c r="R37" s="27">
        <f t="shared" si="15"/>
      </c>
      <c r="S37" s="373">
        <f t="shared" si="5"/>
        <v>3</v>
      </c>
      <c r="T37" s="377" t="str">
        <f t="shared" si="6"/>
        <v>--</v>
      </c>
      <c r="U37" s="383" t="str">
        <f t="shared" si="7"/>
        <v>--</v>
      </c>
      <c r="V37" s="392" t="str">
        <f t="shared" si="8"/>
        <v>--</v>
      </c>
      <c r="W37" s="393" t="str">
        <f t="shared" si="9"/>
        <v>--</v>
      </c>
      <c r="X37" s="401" t="str">
        <f t="shared" si="10"/>
        <v>--</v>
      </c>
      <c r="Y37" s="402" t="str">
        <f t="shared" si="11"/>
        <v>--</v>
      </c>
      <c r="Z37" s="407" t="str">
        <f t="shared" si="12"/>
        <v>--</v>
      </c>
      <c r="AA37" s="413" t="str">
        <f t="shared" si="13"/>
        <v>--</v>
      </c>
      <c r="AB37" s="27">
        <f t="shared" si="16"/>
      </c>
      <c r="AC37" s="65">
        <f t="shared" si="14"/>
      </c>
      <c r="AD37" s="40"/>
    </row>
    <row r="38" spans="1:30" s="12" customFormat="1" ht="16.5" customHeight="1">
      <c r="A38" s="187"/>
      <c r="B38" s="193"/>
      <c r="C38" s="600"/>
      <c r="D38" s="600"/>
      <c r="E38" s="600"/>
      <c r="F38" s="564"/>
      <c r="G38" s="563"/>
      <c r="H38" s="601"/>
      <c r="I38" s="602"/>
      <c r="J38" s="302">
        <f t="shared" si="0"/>
        <v>0</v>
      </c>
      <c r="K38" s="604"/>
      <c r="L38" s="604"/>
      <c r="M38" s="28">
        <f t="shared" si="1"/>
      </c>
      <c r="N38" s="29">
        <f t="shared" si="2"/>
      </c>
      <c r="O38" s="605"/>
      <c r="P38" s="27">
        <f t="shared" si="3"/>
      </c>
      <c r="Q38" s="666">
        <f t="shared" si="4"/>
      </c>
      <c r="R38" s="27">
        <f t="shared" si="15"/>
      </c>
      <c r="S38" s="373">
        <f t="shared" si="5"/>
        <v>3</v>
      </c>
      <c r="T38" s="377" t="str">
        <f t="shared" si="6"/>
        <v>--</v>
      </c>
      <c r="U38" s="383" t="str">
        <f t="shared" si="7"/>
        <v>--</v>
      </c>
      <c r="V38" s="392" t="str">
        <f t="shared" si="8"/>
        <v>--</v>
      </c>
      <c r="W38" s="393" t="str">
        <f t="shared" si="9"/>
        <v>--</v>
      </c>
      <c r="X38" s="401" t="str">
        <f t="shared" si="10"/>
        <v>--</v>
      </c>
      <c r="Y38" s="402" t="str">
        <f t="shared" si="11"/>
        <v>--</v>
      </c>
      <c r="Z38" s="407" t="str">
        <f t="shared" si="12"/>
        <v>--</v>
      </c>
      <c r="AA38" s="413" t="str">
        <f t="shared" si="13"/>
        <v>--</v>
      </c>
      <c r="AB38" s="27">
        <f t="shared" si="16"/>
      </c>
      <c r="AC38" s="65">
        <f t="shared" si="14"/>
      </c>
      <c r="AD38" s="40"/>
    </row>
    <row r="39" spans="1:30" s="12" customFormat="1" ht="16.5" customHeight="1">
      <c r="A39" s="187"/>
      <c r="B39" s="193"/>
      <c r="C39" s="600"/>
      <c r="D39" s="600"/>
      <c r="E39" s="600"/>
      <c r="F39" s="564"/>
      <c r="G39" s="563"/>
      <c r="H39" s="601"/>
      <c r="I39" s="602"/>
      <c r="J39" s="302">
        <f t="shared" si="0"/>
        <v>0</v>
      </c>
      <c r="K39" s="604"/>
      <c r="L39" s="604"/>
      <c r="M39" s="28">
        <f t="shared" si="1"/>
      </c>
      <c r="N39" s="29">
        <f t="shared" si="2"/>
      </c>
      <c r="O39" s="605"/>
      <c r="P39" s="27">
        <f t="shared" si="3"/>
      </c>
      <c r="Q39" s="666">
        <f t="shared" si="4"/>
      </c>
      <c r="R39" s="27">
        <f t="shared" si="15"/>
      </c>
      <c r="S39" s="373">
        <f t="shared" si="5"/>
        <v>3</v>
      </c>
      <c r="T39" s="377" t="str">
        <f t="shared" si="6"/>
        <v>--</v>
      </c>
      <c r="U39" s="383" t="str">
        <f t="shared" si="7"/>
        <v>--</v>
      </c>
      <c r="V39" s="392" t="str">
        <f t="shared" si="8"/>
        <v>--</v>
      </c>
      <c r="W39" s="393" t="str">
        <f t="shared" si="9"/>
        <v>--</v>
      </c>
      <c r="X39" s="401" t="str">
        <f t="shared" si="10"/>
        <v>--</v>
      </c>
      <c r="Y39" s="402" t="str">
        <f t="shared" si="11"/>
        <v>--</v>
      </c>
      <c r="Z39" s="407" t="str">
        <f t="shared" si="12"/>
        <v>--</v>
      </c>
      <c r="AA39" s="413" t="str">
        <f t="shared" si="13"/>
        <v>--</v>
      </c>
      <c r="AB39" s="27">
        <f t="shared" si="16"/>
      </c>
      <c r="AC39" s="65">
        <f t="shared" si="14"/>
      </c>
      <c r="AD39" s="40"/>
    </row>
    <row r="40" spans="1:30" s="12" customFormat="1" ht="16.5" customHeight="1">
      <c r="A40" s="187"/>
      <c r="B40" s="193"/>
      <c r="C40" s="600"/>
      <c r="D40" s="600"/>
      <c r="E40" s="600"/>
      <c r="F40" s="564"/>
      <c r="G40" s="563"/>
      <c r="H40" s="601"/>
      <c r="I40" s="602"/>
      <c r="J40" s="302">
        <f t="shared" si="0"/>
        <v>0</v>
      </c>
      <c r="K40" s="604"/>
      <c r="L40" s="604"/>
      <c r="M40" s="28">
        <f t="shared" si="1"/>
      </c>
      <c r="N40" s="29">
        <f t="shared" si="2"/>
      </c>
      <c r="O40" s="605"/>
      <c r="P40" s="27">
        <f t="shared" si="3"/>
      </c>
      <c r="Q40" s="666">
        <f t="shared" si="4"/>
      </c>
      <c r="R40" s="27">
        <f t="shared" si="15"/>
      </c>
      <c r="S40" s="373">
        <f t="shared" si="5"/>
        <v>3</v>
      </c>
      <c r="T40" s="377" t="str">
        <f t="shared" si="6"/>
        <v>--</v>
      </c>
      <c r="U40" s="383" t="str">
        <f t="shared" si="7"/>
        <v>--</v>
      </c>
      <c r="V40" s="392" t="str">
        <f t="shared" si="8"/>
        <v>--</v>
      </c>
      <c r="W40" s="393" t="str">
        <f t="shared" si="9"/>
        <v>--</v>
      </c>
      <c r="X40" s="401" t="str">
        <f t="shared" si="10"/>
        <v>--</v>
      </c>
      <c r="Y40" s="402" t="str">
        <f t="shared" si="11"/>
        <v>--</v>
      </c>
      <c r="Z40" s="407" t="str">
        <f t="shared" si="12"/>
        <v>--</v>
      </c>
      <c r="AA40" s="413" t="str">
        <f t="shared" si="13"/>
        <v>--</v>
      </c>
      <c r="AB40" s="27">
        <f t="shared" si="16"/>
      </c>
      <c r="AC40" s="65">
        <f t="shared" si="14"/>
      </c>
      <c r="AD40" s="40"/>
    </row>
    <row r="41" spans="1:30" s="12" customFormat="1" ht="16.5" customHeight="1">
      <c r="A41" s="187"/>
      <c r="B41" s="193"/>
      <c r="C41" s="600"/>
      <c r="D41" s="600"/>
      <c r="E41" s="600"/>
      <c r="F41" s="564"/>
      <c r="G41" s="563"/>
      <c r="H41" s="601"/>
      <c r="I41" s="602"/>
      <c r="J41" s="302">
        <f t="shared" si="0"/>
        <v>0</v>
      </c>
      <c r="K41" s="604"/>
      <c r="L41" s="604"/>
      <c r="M41" s="28">
        <f t="shared" si="1"/>
      </c>
      <c r="N41" s="29">
        <f t="shared" si="2"/>
      </c>
      <c r="O41" s="605"/>
      <c r="P41" s="27">
        <f t="shared" si="3"/>
      </c>
      <c r="Q41" s="666">
        <f t="shared" si="4"/>
      </c>
      <c r="R41" s="27">
        <f t="shared" si="15"/>
      </c>
      <c r="S41" s="373">
        <f t="shared" si="5"/>
        <v>3</v>
      </c>
      <c r="T41" s="377" t="str">
        <f t="shared" si="6"/>
        <v>--</v>
      </c>
      <c r="U41" s="383" t="str">
        <f t="shared" si="7"/>
        <v>--</v>
      </c>
      <c r="V41" s="392" t="str">
        <f t="shared" si="8"/>
        <v>--</v>
      </c>
      <c r="W41" s="393" t="str">
        <f t="shared" si="9"/>
        <v>--</v>
      </c>
      <c r="X41" s="401" t="str">
        <f t="shared" si="10"/>
        <v>--</v>
      </c>
      <c r="Y41" s="402" t="str">
        <f t="shared" si="11"/>
        <v>--</v>
      </c>
      <c r="Z41" s="407" t="str">
        <f t="shared" si="12"/>
        <v>--</v>
      </c>
      <c r="AA41" s="413" t="str">
        <f t="shared" si="13"/>
        <v>--</v>
      </c>
      <c r="AB41" s="27">
        <f t="shared" si="16"/>
      </c>
      <c r="AC41" s="65">
        <f t="shared" si="14"/>
      </c>
      <c r="AD41" s="40"/>
    </row>
    <row r="42" spans="1:30" s="12" customFormat="1" ht="16.5" customHeight="1">
      <c r="A42" s="187"/>
      <c r="B42" s="193"/>
      <c r="C42" s="600"/>
      <c r="D42" s="600"/>
      <c r="E42" s="600"/>
      <c r="F42" s="564"/>
      <c r="G42" s="563"/>
      <c r="H42" s="601"/>
      <c r="I42" s="602"/>
      <c r="J42" s="302">
        <f t="shared" si="0"/>
        <v>0</v>
      </c>
      <c r="K42" s="604"/>
      <c r="L42" s="604"/>
      <c r="M42" s="28">
        <f t="shared" si="1"/>
      </c>
      <c r="N42" s="29">
        <f t="shared" si="2"/>
      </c>
      <c r="O42" s="605"/>
      <c r="P42" s="27">
        <f t="shared" si="3"/>
      </c>
      <c r="Q42" s="666">
        <f t="shared" si="4"/>
      </c>
      <c r="R42" s="27">
        <f t="shared" si="15"/>
      </c>
      <c r="S42" s="373">
        <f t="shared" si="5"/>
        <v>3</v>
      </c>
      <c r="T42" s="377" t="str">
        <f t="shared" si="6"/>
        <v>--</v>
      </c>
      <c r="U42" s="383" t="str">
        <f t="shared" si="7"/>
        <v>--</v>
      </c>
      <c r="V42" s="392" t="str">
        <f t="shared" si="8"/>
        <v>--</v>
      </c>
      <c r="W42" s="393" t="str">
        <f t="shared" si="9"/>
        <v>--</v>
      </c>
      <c r="X42" s="401" t="str">
        <f t="shared" si="10"/>
        <v>--</v>
      </c>
      <c r="Y42" s="402" t="str">
        <f t="shared" si="11"/>
        <v>--</v>
      </c>
      <c r="Z42" s="407" t="str">
        <f t="shared" si="12"/>
        <v>--</v>
      </c>
      <c r="AA42" s="413" t="str">
        <f t="shared" si="13"/>
        <v>--</v>
      </c>
      <c r="AB42" s="27">
        <f t="shared" si="16"/>
      </c>
      <c r="AC42" s="65">
        <f t="shared" si="14"/>
      </c>
      <c r="AD42" s="40"/>
    </row>
    <row r="43" spans="1:30" s="12" customFormat="1" ht="16.5" customHeight="1">
      <c r="A43" s="187"/>
      <c r="B43" s="193"/>
      <c r="C43" s="600"/>
      <c r="D43" s="600"/>
      <c r="E43" s="600"/>
      <c r="F43" s="564"/>
      <c r="G43" s="563"/>
      <c r="H43" s="601"/>
      <c r="I43" s="602"/>
      <c r="J43" s="302">
        <f t="shared" si="0"/>
        <v>0</v>
      </c>
      <c r="K43" s="604"/>
      <c r="L43" s="604"/>
      <c r="M43" s="28">
        <f t="shared" si="1"/>
      </c>
      <c r="N43" s="29">
        <f t="shared" si="2"/>
      </c>
      <c r="O43" s="605"/>
      <c r="P43" s="27">
        <f t="shared" si="3"/>
      </c>
      <c r="Q43" s="666">
        <f t="shared" si="4"/>
      </c>
      <c r="R43" s="27">
        <f t="shared" si="15"/>
      </c>
      <c r="S43" s="373">
        <f t="shared" si="5"/>
        <v>3</v>
      </c>
      <c r="T43" s="377" t="str">
        <f t="shared" si="6"/>
        <v>--</v>
      </c>
      <c r="U43" s="383" t="str">
        <f t="shared" si="7"/>
        <v>--</v>
      </c>
      <c r="V43" s="392" t="str">
        <f t="shared" si="8"/>
        <v>--</v>
      </c>
      <c r="W43" s="393" t="str">
        <f t="shared" si="9"/>
        <v>--</v>
      </c>
      <c r="X43" s="401" t="str">
        <f t="shared" si="10"/>
        <v>--</v>
      </c>
      <c r="Y43" s="402" t="str">
        <f t="shared" si="11"/>
        <v>--</v>
      </c>
      <c r="Z43" s="407" t="str">
        <f t="shared" si="12"/>
        <v>--</v>
      </c>
      <c r="AA43" s="413" t="str">
        <f t="shared" si="13"/>
        <v>--</v>
      </c>
      <c r="AB43" s="27">
        <f t="shared" si="16"/>
      </c>
      <c r="AC43" s="65">
        <f t="shared" si="14"/>
      </c>
      <c r="AD43" s="40"/>
    </row>
    <row r="44" spans="1:30" s="12" customFormat="1" ht="16.5" customHeight="1" thickBot="1">
      <c r="A44" s="187"/>
      <c r="B44" s="193"/>
      <c r="C44" s="603"/>
      <c r="D44" s="603"/>
      <c r="E44" s="603"/>
      <c r="F44" s="603"/>
      <c r="G44" s="603"/>
      <c r="H44" s="603"/>
      <c r="I44" s="603"/>
      <c r="J44" s="306"/>
      <c r="K44" s="603"/>
      <c r="L44" s="603"/>
      <c r="M44" s="31"/>
      <c r="N44" s="31"/>
      <c r="O44" s="603"/>
      <c r="P44" s="603"/>
      <c r="Q44" s="603"/>
      <c r="R44" s="603"/>
      <c r="S44" s="374"/>
      <c r="T44" s="378"/>
      <c r="U44" s="384"/>
      <c r="V44" s="416"/>
      <c r="W44" s="417"/>
      <c r="X44" s="418"/>
      <c r="Y44" s="419"/>
      <c r="Z44" s="408"/>
      <c r="AA44" s="414"/>
      <c r="AB44" s="31"/>
      <c r="AC44" s="232"/>
      <c r="AD44" s="40"/>
    </row>
    <row r="45" spans="1:30" s="12" customFormat="1" ht="16.5" customHeight="1" thickBot="1" thickTop="1">
      <c r="A45" s="187"/>
      <c r="B45" s="193"/>
      <c r="C45" s="684" t="s">
        <v>154</v>
      </c>
      <c r="D45" s="683" t="s">
        <v>157</v>
      </c>
      <c r="E45" s="649"/>
      <c r="F45" s="27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79">
        <f aca="true" t="shared" si="17" ref="T45:AA45">SUM(T22:T44)</f>
        <v>0</v>
      </c>
      <c r="U45" s="385">
        <f t="shared" si="17"/>
        <v>0</v>
      </c>
      <c r="V45" s="394">
        <f t="shared" si="17"/>
        <v>546.75</v>
      </c>
      <c r="W45" s="394">
        <f t="shared" si="17"/>
        <v>595.9575</v>
      </c>
      <c r="X45" s="403">
        <f t="shared" si="17"/>
        <v>0</v>
      </c>
      <c r="Y45" s="403">
        <f t="shared" si="17"/>
        <v>0</v>
      </c>
      <c r="Z45" s="409">
        <f t="shared" si="17"/>
        <v>0</v>
      </c>
      <c r="AA45" s="415">
        <f t="shared" si="17"/>
        <v>0</v>
      </c>
      <c r="AB45" s="33"/>
      <c r="AC45" s="288">
        <f>ROUND(SUM(AC22:AC44),2)</f>
        <v>1142.71</v>
      </c>
      <c r="AD45" s="40"/>
    </row>
    <row r="46" spans="1:30" s="291" customFormat="1" ht="9.75" thickTop="1">
      <c r="A46" s="292"/>
      <c r="B46" s="293"/>
      <c r="C46" s="274"/>
      <c r="D46" s="274"/>
      <c r="E46" s="274"/>
      <c r="F46" s="275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5"/>
      <c r="U46" s="295"/>
      <c r="V46" s="295"/>
      <c r="W46" s="295"/>
      <c r="X46" s="295"/>
      <c r="Y46" s="295"/>
      <c r="Z46" s="295"/>
      <c r="AA46" s="295"/>
      <c r="AB46" s="294"/>
      <c r="AC46" s="296"/>
      <c r="AD46" s="297"/>
    </row>
    <row r="47" spans="1:30" s="12" customFormat="1" ht="16.5" customHeight="1" thickBot="1">
      <c r="A47" s="187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2"/>
    </row>
    <row r="48" spans="2:30" ht="16.5" customHeight="1" thickTop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23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49"/>
  <sheetViews>
    <sheetView zoomScale="70" zoomScaleNormal="70" workbookViewId="0" topLeftCell="A1">
      <selection activeCell="K33" sqref="K3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5" customFormat="1" ht="26.25">
      <c r="W1" s="467"/>
    </row>
    <row r="2" spans="2:23" s="125" customFormat="1" ht="26.25">
      <c r="B2" s="126" t="str">
        <f>+'TOT-0111'!B2</f>
        <v>ANEXO I al Memoranum D.T.E.E.  N°   482  /2012</v>
      </c>
      <c r="C2" s="127"/>
      <c r="D2" s="127"/>
      <c r="E2" s="127"/>
      <c r="F2" s="127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12" customFormat="1" ht="12.75"/>
    <row r="4" spans="1:4" s="128" customFormat="1" ht="11.25">
      <c r="A4" s="652" t="s">
        <v>17</v>
      </c>
      <c r="C4" s="651"/>
      <c r="D4" s="651"/>
    </row>
    <row r="5" spans="1:4" s="128" customFormat="1" ht="11.25">
      <c r="A5" s="652" t="s">
        <v>134</v>
      </c>
      <c r="C5" s="651"/>
      <c r="D5" s="651"/>
    </row>
    <row r="6" s="12" customFormat="1" ht="13.5" thickBot="1"/>
    <row r="7" spans="2:23" s="12" customFormat="1" ht="13.5" thickTop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2:23" s="130" customFormat="1" ht="20.25">
      <c r="B8" s="129"/>
      <c r="C8" s="47"/>
      <c r="D8" s="47"/>
      <c r="E8" s="47"/>
      <c r="F8" s="23" t="s">
        <v>39</v>
      </c>
      <c r="P8" s="47"/>
      <c r="Q8" s="47"/>
      <c r="R8" s="47"/>
      <c r="S8" s="47"/>
      <c r="T8" s="47"/>
      <c r="U8" s="47"/>
      <c r="V8" s="47"/>
      <c r="W8" s="131"/>
    </row>
    <row r="9" spans="2:23" s="12" customFormat="1" ht="12.75">
      <c r="B9" s="46"/>
      <c r="C9" s="10"/>
      <c r="D9" s="10"/>
      <c r="E9" s="10"/>
      <c r="F9" s="10"/>
      <c r="G9" s="10"/>
      <c r="H9" s="10"/>
      <c r="I9" s="139"/>
      <c r="J9" s="139"/>
      <c r="K9" s="139"/>
      <c r="L9" s="139"/>
      <c r="M9" s="139"/>
      <c r="P9" s="10"/>
      <c r="Q9" s="10"/>
      <c r="R9" s="10"/>
      <c r="S9" s="10"/>
      <c r="T9" s="10"/>
      <c r="U9" s="10"/>
      <c r="V9" s="10"/>
      <c r="W9" s="13"/>
    </row>
    <row r="10" spans="2:23" s="130" customFormat="1" ht="20.25">
      <c r="B10" s="129"/>
      <c r="C10" s="47"/>
      <c r="D10" s="47"/>
      <c r="E10" s="47"/>
      <c r="F10" s="23" t="s">
        <v>130</v>
      </c>
      <c r="G10" s="23"/>
      <c r="H10" s="47"/>
      <c r="I10" s="23"/>
      <c r="J10" s="23"/>
      <c r="K10" s="23"/>
      <c r="L10" s="23"/>
      <c r="M10" s="23"/>
      <c r="P10" s="47"/>
      <c r="Q10" s="47"/>
      <c r="R10" s="47"/>
      <c r="S10" s="47"/>
      <c r="T10" s="47"/>
      <c r="U10" s="47"/>
      <c r="V10" s="47"/>
      <c r="W10" s="131"/>
    </row>
    <row r="11" spans="2:23" s="12" customFormat="1" ht="12.75">
      <c r="B11" s="46"/>
      <c r="C11" s="10"/>
      <c r="D11" s="10"/>
      <c r="E11" s="10"/>
      <c r="F11" s="141"/>
      <c r="G11" s="139"/>
      <c r="H11" s="10"/>
      <c r="I11" s="139"/>
      <c r="J11" s="139"/>
      <c r="K11" s="139"/>
      <c r="L11" s="139"/>
      <c r="M11" s="139"/>
      <c r="P11" s="10"/>
      <c r="Q11" s="10"/>
      <c r="R11" s="10"/>
      <c r="S11" s="10"/>
      <c r="T11" s="10"/>
      <c r="U11" s="10"/>
      <c r="V11" s="10"/>
      <c r="W11" s="13"/>
    </row>
    <row r="12" spans="2:23" s="137" customFormat="1" ht="19.5">
      <c r="B12" s="103" t="str">
        <f>+'TOT-0111'!B14</f>
        <v>Desde el 01 al 31 de enero de 2011</v>
      </c>
      <c r="C12" s="133"/>
      <c r="D12" s="133"/>
      <c r="E12" s="133"/>
      <c r="F12" s="133"/>
      <c r="G12" s="133"/>
      <c r="H12" s="102"/>
      <c r="I12" s="133"/>
      <c r="J12" s="134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6"/>
    </row>
    <row r="13" spans="2:23" s="137" customFormat="1" ht="7.5" customHeight="1">
      <c r="B13" s="103"/>
      <c r="C13" s="133"/>
      <c r="D13" s="133"/>
      <c r="E13" s="133"/>
      <c r="F13" s="133"/>
      <c r="G13" s="133"/>
      <c r="H13" s="102"/>
      <c r="I13" s="133"/>
      <c r="J13" s="134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6"/>
    </row>
    <row r="14" spans="2:23" s="12" customFormat="1" ht="7.5" customHeight="1" thickBot="1">
      <c r="B14" s="46"/>
      <c r="C14" s="10"/>
      <c r="D14" s="10"/>
      <c r="E14" s="10"/>
      <c r="I14" s="138"/>
      <c r="K14" s="10"/>
      <c r="L14" s="10"/>
      <c r="M14" s="10"/>
      <c r="N14" s="138"/>
      <c r="O14" s="138"/>
      <c r="P14" s="138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6"/>
      <c r="C15" s="10"/>
      <c r="D15" s="10"/>
      <c r="E15" s="10"/>
      <c r="F15" s="237" t="s">
        <v>77</v>
      </c>
      <c r="G15" s="238">
        <v>8.106</v>
      </c>
      <c r="H15" s="109">
        <f>60*'TOT-0111'!B13</f>
        <v>60</v>
      </c>
      <c r="I15" s="138"/>
      <c r="J15" s="268" t="str">
        <f>IF(H15=60," ",IF(H15=120,"Coeficiente duplicado por tasa de falla &gt;4 Sal. x año/100 km.","REVISAR COEFICIENTE"))</f>
        <v> </v>
      </c>
      <c r="K15" s="10"/>
      <c r="L15" s="10"/>
      <c r="M15" s="10"/>
      <c r="N15" s="138"/>
      <c r="O15" s="138"/>
      <c r="P15" s="138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237" t="s">
        <v>78</v>
      </c>
      <c r="G16" s="238">
        <v>3.243</v>
      </c>
      <c r="H16" s="109">
        <f>50*'TOT-0111'!B13</f>
        <v>50</v>
      </c>
      <c r="J16" s="268" t="str">
        <f>IF(H16=50," ",IF(H16=100,"Coeficiente duplicado por tasa de falla &gt;4 Sal. x año/100 km.","REVISAR COEFICIENTE"))</f>
        <v> </v>
      </c>
      <c r="Q16" s="308"/>
      <c r="S16" s="10"/>
      <c r="T16" s="10"/>
      <c r="U16" s="10"/>
      <c r="V16" s="234"/>
      <c r="W16" s="13"/>
    </row>
    <row r="17" spans="2:23" s="12" customFormat="1" ht="16.5" customHeight="1" thickBot="1" thickTop="1">
      <c r="B17" s="46"/>
      <c r="C17" s="10"/>
      <c r="D17" s="10"/>
      <c r="E17" s="10"/>
      <c r="F17" s="239" t="s">
        <v>79</v>
      </c>
      <c r="G17" s="240">
        <v>2.433</v>
      </c>
      <c r="H17" s="241">
        <f>25*'TOT-0111'!B13</f>
        <v>25</v>
      </c>
      <c r="J17" s="268" t="str">
        <f>IF(H17=25," ",IF(H17=50,"Coeficiente duplicado por tasa de falla &gt;4 Sal. x año/100 km.","REVISAR COEFICIENTE"))</f>
        <v> </v>
      </c>
      <c r="K17" s="183"/>
      <c r="L17" s="183"/>
      <c r="M17" s="10"/>
      <c r="P17" s="235"/>
      <c r="Q17" s="236"/>
      <c r="R17" s="38"/>
      <c r="S17" s="10"/>
      <c r="T17" s="10"/>
      <c r="U17" s="10"/>
      <c r="V17" s="234"/>
      <c r="W17" s="13"/>
    </row>
    <row r="18" spans="2:23" s="12" customFormat="1" ht="16.5" customHeight="1" thickBot="1" thickTop="1">
      <c r="B18" s="46"/>
      <c r="C18" s="10"/>
      <c r="D18" s="10"/>
      <c r="E18" s="10"/>
      <c r="F18" s="242" t="s">
        <v>80</v>
      </c>
      <c r="G18" s="240">
        <v>2.433</v>
      </c>
      <c r="H18" s="243">
        <f>20*'TOT-0111'!B13</f>
        <v>20</v>
      </c>
      <c r="J18" s="268" t="str">
        <f>IF(H18=20," ",IF(H18=40,"Coeficiente duplicado por tasa de falla &gt;4 Sal. x año/100 km.","REVISAR COEFICIENTE"))</f>
        <v> </v>
      </c>
      <c r="K18" s="183"/>
      <c r="L18" s="183"/>
      <c r="M18" s="10"/>
      <c r="P18" s="235"/>
      <c r="Q18" s="236"/>
      <c r="R18" s="38"/>
      <c r="S18" s="10"/>
      <c r="T18" s="10"/>
      <c r="U18" s="10"/>
      <c r="V18" s="234"/>
      <c r="W18" s="13"/>
    </row>
    <row r="19" spans="2:23" s="12" customFormat="1" ht="7.5" customHeight="1" thickTop="1">
      <c r="B19" s="46"/>
      <c r="C19" s="10"/>
      <c r="D19" s="10"/>
      <c r="E19" s="10"/>
      <c r="F19" s="114"/>
      <c r="G19" s="643"/>
      <c r="H19" s="644"/>
      <c r="J19" s="268"/>
      <c r="K19" s="183"/>
      <c r="L19" s="183"/>
      <c r="M19" s="10"/>
      <c r="P19" s="235"/>
      <c r="Q19" s="236"/>
      <c r="R19" s="38"/>
      <c r="S19" s="10"/>
      <c r="T19" s="10"/>
      <c r="U19" s="10"/>
      <c r="V19" s="234"/>
      <c r="W19" s="13"/>
    </row>
    <row r="20" spans="2:23" s="677" customFormat="1" ht="15" customHeight="1" thickBot="1">
      <c r="B20" s="674"/>
      <c r="C20" s="673">
        <v>3</v>
      </c>
      <c r="D20" s="673">
        <v>4</v>
      </c>
      <c r="E20" s="673">
        <v>5</v>
      </c>
      <c r="F20" s="673">
        <v>6</v>
      </c>
      <c r="G20" s="673">
        <v>7</v>
      </c>
      <c r="H20" s="673">
        <v>8</v>
      </c>
      <c r="I20" s="673">
        <v>9</v>
      </c>
      <c r="J20" s="673">
        <v>10</v>
      </c>
      <c r="K20" s="673">
        <v>11</v>
      </c>
      <c r="L20" s="673">
        <v>12</v>
      </c>
      <c r="M20" s="673">
        <v>13</v>
      </c>
      <c r="N20" s="673">
        <v>14</v>
      </c>
      <c r="O20" s="673">
        <v>15</v>
      </c>
      <c r="P20" s="673">
        <v>16</v>
      </c>
      <c r="Q20" s="673">
        <v>17</v>
      </c>
      <c r="R20" s="673">
        <v>18</v>
      </c>
      <c r="S20" s="673">
        <v>19</v>
      </c>
      <c r="T20" s="673">
        <v>20</v>
      </c>
      <c r="U20" s="673">
        <v>21</v>
      </c>
      <c r="V20" s="673">
        <v>22</v>
      </c>
      <c r="W20" s="676"/>
    </row>
    <row r="21" spans="2:23" s="12" customFormat="1" ht="33.75" customHeight="1" thickBot="1" thickTop="1">
      <c r="B21" s="46"/>
      <c r="C21" s="230" t="s">
        <v>45</v>
      </c>
      <c r="D21" s="117" t="s">
        <v>133</v>
      </c>
      <c r="E21" s="117" t="s">
        <v>132</v>
      </c>
      <c r="F21" s="228" t="s">
        <v>65</v>
      </c>
      <c r="G21" s="244" t="s">
        <v>15</v>
      </c>
      <c r="H21" s="247" t="s">
        <v>46</v>
      </c>
      <c r="I21" s="299" t="s">
        <v>48</v>
      </c>
      <c r="J21" s="224" t="s">
        <v>49</v>
      </c>
      <c r="K21" s="244" t="s">
        <v>50</v>
      </c>
      <c r="L21" s="246" t="s">
        <v>69</v>
      </c>
      <c r="M21" s="246" t="s">
        <v>70</v>
      </c>
      <c r="N21" s="121" t="s">
        <v>53</v>
      </c>
      <c r="O21" s="229" t="s">
        <v>71</v>
      </c>
      <c r="P21" s="421" t="s">
        <v>81</v>
      </c>
      <c r="Q21" s="355" t="s">
        <v>55</v>
      </c>
      <c r="R21" s="395" t="s">
        <v>75</v>
      </c>
      <c r="S21" s="396"/>
      <c r="T21" s="431" t="s">
        <v>59</v>
      </c>
      <c r="U21" s="226" t="s">
        <v>61</v>
      </c>
      <c r="V21" s="226" t="s">
        <v>62</v>
      </c>
      <c r="W21" s="40"/>
    </row>
    <row r="22" spans="2:23" s="12" customFormat="1" ht="16.5" customHeight="1" thickTop="1">
      <c r="B22" s="46"/>
      <c r="C22" s="22"/>
      <c r="D22" s="20"/>
      <c r="E22" s="20"/>
      <c r="F22" s="34"/>
      <c r="G22" s="34"/>
      <c r="H22" s="14"/>
      <c r="I22" s="307"/>
      <c r="J22" s="35"/>
      <c r="K22" s="36"/>
      <c r="L22" s="37"/>
      <c r="M22" s="66"/>
      <c r="N22" s="423"/>
      <c r="O22" s="423"/>
      <c r="P22" s="424"/>
      <c r="Q22" s="426"/>
      <c r="R22" s="428"/>
      <c r="S22" s="429"/>
      <c r="T22" s="432"/>
      <c r="U22" s="430"/>
      <c r="V22" s="425"/>
      <c r="W22" s="40"/>
    </row>
    <row r="23" spans="2:23" s="12" customFormat="1" ht="16.5" customHeight="1">
      <c r="B23" s="46"/>
      <c r="C23" s="22"/>
      <c r="D23" s="20"/>
      <c r="E23" s="20"/>
      <c r="F23" s="34"/>
      <c r="G23" s="34"/>
      <c r="H23" s="14"/>
      <c r="I23" s="307"/>
      <c r="J23" s="35"/>
      <c r="K23" s="36"/>
      <c r="L23" s="37"/>
      <c r="M23" s="66"/>
      <c r="N23" s="30"/>
      <c r="O23" s="30"/>
      <c r="P23" s="422"/>
      <c r="Q23" s="427"/>
      <c r="R23" s="401"/>
      <c r="S23" s="402"/>
      <c r="T23" s="433"/>
      <c r="U23" s="27"/>
      <c r="V23" s="245"/>
      <c r="W23" s="40"/>
    </row>
    <row r="24" spans="2:23" s="12" customFormat="1" ht="16.5" customHeight="1">
      <c r="B24" s="46"/>
      <c r="C24" s="609">
        <v>17</v>
      </c>
      <c r="D24" s="600">
        <v>230662</v>
      </c>
      <c r="E24" s="600">
        <v>1758</v>
      </c>
      <c r="F24" s="600" t="s">
        <v>150</v>
      </c>
      <c r="G24" s="600" t="s">
        <v>152</v>
      </c>
      <c r="H24" s="611">
        <v>33</v>
      </c>
      <c r="I24" s="307">
        <f aca="true" t="shared" si="0" ref="I24:I43">IF(H24=330,$G$15,IF(AND(H24&lt;=132,H24&gt;=66),$G$16,IF(AND(H24&lt;66,H24&gt;=33),$G$17,$G$18)))</f>
        <v>2.433</v>
      </c>
      <c r="J24" s="612">
        <v>40553.404861111114</v>
      </c>
      <c r="K24" s="613">
        <v>40553.504166666666</v>
      </c>
      <c r="L24" s="37">
        <f aca="true" t="shared" si="1" ref="L24:L43">IF(F24="","",(K24-J24)*24)</f>
        <v>2.3833333332440816</v>
      </c>
      <c r="M24" s="66">
        <f aca="true" t="shared" si="2" ref="M24:M43">IF(F24="","",ROUND((K24-J24)*24*60,0))</f>
        <v>143</v>
      </c>
      <c r="N24" s="614" t="s">
        <v>140</v>
      </c>
      <c r="O24" s="30" t="str">
        <f aca="true" t="shared" si="3" ref="O24:O43">IF(F24="","",IF(N24="P","--","NO"))</f>
        <v>--</v>
      </c>
      <c r="P24" s="422">
        <f aca="true" t="shared" si="4" ref="P24:P43">IF(H24=330,$H$15,IF(AND(H24&lt;=132,H24&gt;=66),$H$16,IF(AND(H24&lt;66,H24&gt;13.2),$H$17,$H$18)))</f>
        <v>25</v>
      </c>
      <c r="Q24" s="667">
        <f aca="true" t="shared" si="5" ref="Q24:Q43">IF(N24="P",I24*P24*ROUND(M24/60,2)*0.1,"--")</f>
        <v>14.47635</v>
      </c>
      <c r="R24" s="401" t="str">
        <f aca="true" t="shared" si="6" ref="R24:R43">IF(AND(N24="F",O24="NO"),I24*P24,"--")</f>
        <v>--</v>
      </c>
      <c r="S24" s="402" t="str">
        <f aca="true" t="shared" si="7" ref="S24:S43">IF(N24="F",I24*P24*ROUND(M24/60,2),"--")</f>
        <v>--</v>
      </c>
      <c r="T24" s="433" t="str">
        <f aca="true" t="shared" si="8" ref="T24:T43">IF(N24="RF",I24*P24*ROUND(M24/60,2),"--")</f>
        <v>--</v>
      </c>
      <c r="U24" s="27" t="str">
        <f aca="true" t="shared" si="9" ref="U24:U43">IF(F24="","","SI")</f>
        <v>SI</v>
      </c>
      <c r="V24" s="67">
        <f aca="true" t="shared" si="10" ref="V24:V43">IF(F24="","",SUM(Q24:T24)*IF(U24="SI",1,2)*IF(H24="500/220",0,1))</f>
        <v>14.47635</v>
      </c>
      <c r="W24" s="40"/>
    </row>
    <row r="25" spans="2:23" s="12" customFormat="1" ht="16.5" customHeight="1">
      <c r="B25" s="46"/>
      <c r="C25" s="609">
        <v>18</v>
      </c>
      <c r="D25" s="600">
        <v>230896</v>
      </c>
      <c r="E25" s="600">
        <v>1757</v>
      </c>
      <c r="F25" s="600" t="s">
        <v>150</v>
      </c>
      <c r="G25" s="600" t="s">
        <v>151</v>
      </c>
      <c r="H25" s="611">
        <v>33</v>
      </c>
      <c r="I25" s="307">
        <f t="shared" si="0"/>
        <v>2.433</v>
      </c>
      <c r="J25" s="612">
        <v>40560.381944444445</v>
      </c>
      <c r="K25" s="613">
        <v>40560.540972222225</v>
      </c>
      <c r="L25" s="37">
        <f t="shared" si="1"/>
        <v>3.8166666667093523</v>
      </c>
      <c r="M25" s="66">
        <f t="shared" si="2"/>
        <v>229</v>
      </c>
      <c r="N25" s="614" t="s">
        <v>140</v>
      </c>
      <c r="O25" s="30" t="str">
        <f t="shared" si="3"/>
        <v>--</v>
      </c>
      <c r="P25" s="422">
        <f t="shared" si="4"/>
        <v>25</v>
      </c>
      <c r="Q25" s="667">
        <f t="shared" si="5"/>
        <v>23.23515</v>
      </c>
      <c r="R25" s="401" t="str">
        <f t="shared" si="6"/>
        <v>--</v>
      </c>
      <c r="S25" s="402" t="str">
        <f t="shared" si="7"/>
        <v>--</v>
      </c>
      <c r="T25" s="433" t="str">
        <f t="shared" si="8"/>
        <v>--</v>
      </c>
      <c r="U25" s="27" t="str">
        <f t="shared" si="9"/>
        <v>SI</v>
      </c>
      <c r="V25" s="67">
        <f t="shared" si="10"/>
        <v>23.23515</v>
      </c>
      <c r="W25" s="40"/>
    </row>
    <row r="26" spans="2:23" s="12" customFormat="1" ht="16.5" customHeight="1">
      <c r="B26" s="46"/>
      <c r="C26" s="609"/>
      <c r="D26" s="600"/>
      <c r="E26" s="600"/>
      <c r="F26" s="610"/>
      <c r="G26" s="610"/>
      <c r="H26" s="617"/>
      <c r="I26" s="307">
        <f t="shared" si="0"/>
        <v>2.433</v>
      </c>
      <c r="J26" s="612"/>
      <c r="K26" s="613"/>
      <c r="L26" s="37">
        <f t="shared" si="1"/>
      </c>
      <c r="M26" s="66">
        <f t="shared" si="2"/>
      </c>
      <c r="N26" s="614"/>
      <c r="O26" s="30">
        <f t="shared" si="3"/>
      </c>
      <c r="P26" s="422">
        <f t="shared" si="4"/>
        <v>20</v>
      </c>
      <c r="Q26" s="667" t="str">
        <f t="shared" si="5"/>
        <v>--</v>
      </c>
      <c r="R26" s="401" t="str">
        <f t="shared" si="6"/>
        <v>--</v>
      </c>
      <c r="S26" s="402" t="str">
        <f t="shared" si="7"/>
        <v>--</v>
      </c>
      <c r="T26" s="433" t="str">
        <f t="shared" si="8"/>
        <v>--</v>
      </c>
      <c r="U26" s="27">
        <f t="shared" si="9"/>
      </c>
      <c r="V26" s="67">
        <f t="shared" si="10"/>
      </c>
      <c r="W26" s="40"/>
    </row>
    <row r="27" spans="2:23" s="12" customFormat="1" ht="16.5" customHeight="1">
      <c r="B27" s="46"/>
      <c r="C27" s="609"/>
      <c r="D27" s="600"/>
      <c r="E27" s="600"/>
      <c r="F27" s="610"/>
      <c r="G27" s="610"/>
      <c r="H27" s="617"/>
      <c r="I27" s="307">
        <f t="shared" si="0"/>
        <v>2.433</v>
      </c>
      <c r="J27" s="612"/>
      <c r="K27" s="613"/>
      <c r="L27" s="37">
        <f t="shared" si="1"/>
      </c>
      <c r="M27" s="66">
        <f t="shared" si="2"/>
      </c>
      <c r="N27" s="614"/>
      <c r="O27" s="30">
        <f t="shared" si="3"/>
      </c>
      <c r="P27" s="422">
        <f t="shared" si="4"/>
        <v>20</v>
      </c>
      <c r="Q27" s="667" t="str">
        <f t="shared" si="5"/>
        <v>--</v>
      </c>
      <c r="R27" s="401" t="str">
        <f t="shared" si="6"/>
        <v>--</v>
      </c>
      <c r="S27" s="402" t="str">
        <f t="shared" si="7"/>
        <v>--</v>
      </c>
      <c r="T27" s="433" t="str">
        <f t="shared" si="8"/>
        <v>--</v>
      </c>
      <c r="U27" s="27">
        <f t="shared" si="9"/>
      </c>
      <c r="V27" s="67">
        <f t="shared" si="10"/>
      </c>
      <c r="W27" s="40"/>
    </row>
    <row r="28" spans="2:23" s="12" customFormat="1" ht="16.5" customHeight="1">
      <c r="B28" s="46"/>
      <c r="C28" s="609"/>
      <c r="D28" s="600"/>
      <c r="E28" s="600"/>
      <c r="F28" s="610"/>
      <c r="G28" s="610"/>
      <c r="H28" s="617"/>
      <c r="I28" s="307">
        <f t="shared" si="0"/>
        <v>2.433</v>
      </c>
      <c r="J28" s="612"/>
      <c r="K28" s="613"/>
      <c r="L28" s="37">
        <f t="shared" si="1"/>
      </c>
      <c r="M28" s="66">
        <f t="shared" si="2"/>
      </c>
      <c r="N28" s="614"/>
      <c r="O28" s="30">
        <f t="shared" si="3"/>
      </c>
      <c r="P28" s="422">
        <f t="shared" si="4"/>
        <v>20</v>
      </c>
      <c r="Q28" s="667" t="str">
        <f t="shared" si="5"/>
        <v>--</v>
      </c>
      <c r="R28" s="401" t="str">
        <f t="shared" si="6"/>
        <v>--</v>
      </c>
      <c r="S28" s="402" t="str">
        <f t="shared" si="7"/>
        <v>--</v>
      </c>
      <c r="T28" s="433" t="str">
        <f t="shared" si="8"/>
        <v>--</v>
      </c>
      <c r="U28" s="27">
        <f t="shared" si="9"/>
      </c>
      <c r="V28" s="67">
        <f t="shared" si="10"/>
      </c>
      <c r="W28" s="40"/>
    </row>
    <row r="29" spans="2:23" s="12" customFormat="1" ht="16.5" customHeight="1">
      <c r="B29" s="46"/>
      <c r="C29" s="609"/>
      <c r="D29" s="600"/>
      <c r="E29" s="600"/>
      <c r="F29" s="610"/>
      <c r="G29" s="610"/>
      <c r="H29" s="617"/>
      <c r="I29" s="307">
        <f t="shared" si="0"/>
        <v>2.433</v>
      </c>
      <c r="J29" s="612"/>
      <c r="K29" s="613"/>
      <c r="L29" s="37">
        <f t="shared" si="1"/>
      </c>
      <c r="M29" s="66">
        <f t="shared" si="2"/>
      </c>
      <c r="N29" s="614"/>
      <c r="O29" s="30">
        <f t="shared" si="3"/>
      </c>
      <c r="P29" s="422">
        <f t="shared" si="4"/>
        <v>20</v>
      </c>
      <c r="Q29" s="667" t="str">
        <f t="shared" si="5"/>
        <v>--</v>
      </c>
      <c r="R29" s="401" t="str">
        <f t="shared" si="6"/>
        <v>--</v>
      </c>
      <c r="S29" s="402" t="str">
        <f t="shared" si="7"/>
        <v>--</v>
      </c>
      <c r="T29" s="433" t="str">
        <f t="shared" si="8"/>
        <v>--</v>
      </c>
      <c r="U29" s="27">
        <f t="shared" si="9"/>
      </c>
      <c r="V29" s="67">
        <f t="shared" si="10"/>
      </c>
      <c r="W29" s="40"/>
    </row>
    <row r="30" spans="2:23" s="12" customFormat="1" ht="16.5" customHeight="1">
      <c r="B30" s="46"/>
      <c r="C30" s="609"/>
      <c r="D30" s="600"/>
      <c r="E30" s="600"/>
      <c r="F30" s="610"/>
      <c r="G30" s="610"/>
      <c r="H30" s="617"/>
      <c r="I30" s="307">
        <f t="shared" si="0"/>
        <v>2.433</v>
      </c>
      <c r="J30" s="612"/>
      <c r="K30" s="613"/>
      <c r="L30" s="37">
        <f t="shared" si="1"/>
      </c>
      <c r="M30" s="66">
        <f t="shared" si="2"/>
      </c>
      <c r="N30" s="614"/>
      <c r="O30" s="30">
        <f t="shared" si="3"/>
      </c>
      <c r="P30" s="422">
        <f t="shared" si="4"/>
        <v>20</v>
      </c>
      <c r="Q30" s="667" t="str">
        <f t="shared" si="5"/>
        <v>--</v>
      </c>
      <c r="R30" s="401" t="str">
        <f t="shared" si="6"/>
        <v>--</v>
      </c>
      <c r="S30" s="402" t="str">
        <f t="shared" si="7"/>
        <v>--</v>
      </c>
      <c r="T30" s="433" t="str">
        <f t="shared" si="8"/>
        <v>--</v>
      </c>
      <c r="U30" s="27">
        <f t="shared" si="9"/>
      </c>
      <c r="V30" s="67">
        <f t="shared" si="10"/>
      </c>
      <c r="W30" s="40"/>
    </row>
    <row r="31" spans="2:23" s="12" customFormat="1" ht="16.5" customHeight="1">
      <c r="B31" s="46"/>
      <c r="C31" s="609"/>
      <c r="D31" s="600"/>
      <c r="E31" s="600"/>
      <c r="F31" s="610"/>
      <c r="G31" s="610"/>
      <c r="H31" s="617"/>
      <c r="I31" s="307">
        <f t="shared" si="0"/>
        <v>2.433</v>
      </c>
      <c r="J31" s="612"/>
      <c r="K31" s="613"/>
      <c r="L31" s="37">
        <f t="shared" si="1"/>
      </c>
      <c r="M31" s="66">
        <f t="shared" si="2"/>
      </c>
      <c r="N31" s="614"/>
      <c r="O31" s="30">
        <f t="shared" si="3"/>
      </c>
      <c r="P31" s="422">
        <f t="shared" si="4"/>
        <v>20</v>
      </c>
      <c r="Q31" s="667" t="str">
        <f t="shared" si="5"/>
        <v>--</v>
      </c>
      <c r="R31" s="401" t="str">
        <f t="shared" si="6"/>
        <v>--</v>
      </c>
      <c r="S31" s="402" t="str">
        <f t="shared" si="7"/>
        <v>--</v>
      </c>
      <c r="T31" s="433" t="str">
        <f t="shared" si="8"/>
        <v>--</v>
      </c>
      <c r="U31" s="27">
        <f t="shared" si="9"/>
      </c>
      <c r="V31" s="67">
        <f t="shared" si="10"/>
      </c>
      <c r="W31" s="40"/>
    </row>
    <row r="32" spans="2:23" s="12" customFormat="1" ht="16.5" customHeight="1">
      <c r="B32" s="46"/>
      <c r="C32" s="609"/>
      <c r="D32" s="600"/>
      <c r="E32" s="600"/>
      <c r="F32" s="610"/>
      <c r="G32" s="610"/>
      <c r="H32" s="617"/>
      <c r="I32" s="307">
        <f t="shared" si="0"/>
        <v>2.433</v>
      </c>
      <c r="J32" s="612"/>
      <c r="K32" s="613"/>
      <c r="L32" s="37">
        <f t="shared" si="1"/>
      </c>
      <c r="M32" s="66">
        <f t="shared" si="2"/>
      </c>
      <c r="N32" s="614"/>
      <c r="O32" s="30">
        <f t="shared" si="3"/>
      </c>
      <c r="P32" s="422">
        <f t="shared" si="4"/>
        <v>20</v>
      </c>
      <c r="Q32" s="667" t="str">
        <f t="shared" si="5"/>
        <v>--</v>
      </c>
      <c r="R32" s="401" t="str">
        <f t="shared" si="6"/>
        <v>--</v>
      </c>
      <c r="S32" s="402" t="str">
        <f t="shared" si="7"/>
        <v>--</v>
      </c>
      <c r="T32" s="433" t="str">
        <f t="shared" si="8"/>
        <v>--</v>
      </c>
      <c r="U32" s="27">
        <f t="shared" si="9"/>
      </c>
      <c r="V32" s="67">
        <f t="shared" si="10"/>
      </c>
      <c r="W32" s="40"/>
    </row>
    <row r="33" spans="2:23" s="12" customFormat="1" ht="16.5" customHeight="1">
      <c r="B33" s="46"/>
      <c r="C33" s="609"/>
      <c r="D33" s="600"/>
      <c r="E33" s="600"/>
      <c r="F33" s="610"/>
      <c r="G33" s="610"/>
      <c r="H33" s="617"/>
      <c r="I33" s="307">
        <f t="shared" si="0"/>
        <v>2.433</v>
      </c>
      <c r="J33" s="612"/>
      <c r="K33" s="613"/>
      <c r="L33" s="37">
        <f t="shared" si="1"/>
      </c>
      <c r="M33" s="66">
        <f t="shared" si="2"/>
      </c>
      <c r="N33" s="614"/>
      <c r="O33" s="30">
        <f t="shared" si="3"/>
      </c>
      <c r="P33" s="422">
        <f t="shared" si="4"/>
        <v>20</v>
      </c>
      <c r="Q33" s="667" t="str">
        <f t="shared" si="5"/>
        <v>--</v>
      </c>
      <c r="R33" s="401" t="str">
        <f t="shared" si="6"/>
        <v>--</v>
      </c>
      <c r="S33" s="402" t="str">
        <f t="shared" si="7"/>
        <v>--</v>
      </c>
      <c r="T33" s="433" t="str">
        <f t="shared" si="8"/>
        <v>--</v>
      </c>
      <c r="U33" s="27">
        <f t="shared" si="9"/>
      </c>
      <c r="V33" s="67">
        <f t="shared" si="10"/>
      </c>
      <c r="W33" s="40"/>
    </row>
    <row r="34" spans="2:23" s="12" customFormat="1" ht="16.5" customHeight="1">
      <c r="B34" s="46"/>
      <c r="C34" s="609"/>
      <c r="D34" s="600"/>
      <c r="E34" s="600"/>
      <c r="F34" s="610"/>
      <c r="G34" s="610"/>
      <c r="H34" s="617"/>
      <c r="I34" s="307">
        <f t="shared" si="0"/>
        <v>2.433</v>
      </c>
      <c r="J34" s="612"/>
      <c r="K34" s="613"/>
      <c r="L34" s="37">
        <f t="shared" si="1"/>
      </c>
      <c r="M34" s="66">
        <f t="shared" si="2"/>
      </c>
      <c r="N34" s="614"/>
      <c r="O34" s="30">
        <f t="shared" si="3"/>
      </c>
      <c r="P34" s="422">
        <f t="shared" si="4"/>
        <v>20</v>
      </c>
      <c r="Q34" s="667" t="str">
        <f t="shared" si="5"/>
        <v>--</v>
      </c>
      <c r="R34" s="401" t="str">
        <f t="shared" si="6"/>
        <v>--</v>
      </c>
      <c r="S34" s="402" t="str">
        <f t="shared" si="7"/>
        <v>--</v>
      </c>
      <c r="T34" s="433" t="str">
        <f t="shared" si="8"/>
        <v>--</v>
      </c>
      <c r="U34" s="27">
        <f t="shared" si="9"/>
      </c>
      <c r="V34" s="67">
        <f t="shared" si="10"/>
      </c>
      <c r="W34" s="40"/>
    </row>
    <row r="35" spans="2:23" s="12" customFormat="1" ht="16.5" customHeight="1">
      <c r="B35" s="46"/>
      <c r="C35" s="609"/>
      <c r="D35" s="600"/>
      <c r="E35" s="600"/>
      <c r="F35" s="610"/>
      <c r="G35" s="610"/>
      <c r="H35" s="617"/>
      <c r="I35" s="307">
        <f t="shared" si="0"/>
        <v>2.433</v>
      </c>
      <c r="J35" s="612"/>
      <c r="K35" s="613"/>
      <c r="L35" s="37">
        <f t="shared" si="1"/>
      </c>
      <c r="M35" s="66">
        <f t="shared" si="2"/>
      </c>
      <c r="N35" s="614"/>
      <c r="O35" s="30">
        <f t="shared" si="3"/>
      </c>
      <c r="P35" s="422">
        <f t="shared" si="4"/>
        <v>20</v>
      </c>
      <c r="Q35" s="667" t="str">
        <f t="shared" si="5"/>
        <v>--</v>
      </c>
      <c r="R35" s="401" t="str">
        <f t="shared" si="6"/>
        <v>--</v>
      </c>
      <c r="S35" s="402" t="str">
        <f t="shared" si="7"/>
        <v>--</v>
      </c>
      <c r="T35" s="433" t="str">
        <f t="shared" si="8"/>
        <v>--</v>
      </c>
      <c r="U35" s="27">
        <f t="shared" si="9"/>
      </c>
      <c r="V35" s="67">
        <f t="shared" si="10"/>
      </c>
      <c r="W35" s="40"/>
    </row>
    <row r="36" spans="2:23" s="12" customFormat="1" ht="16.5" customHeight="1">
      <c r="B36" s="46"/>
      <c r="C36" s="609"/>
      <c r="D36" s="600"/>
      <c r="E36" s="600"/>
      <c r="F36" s="610"/>
      <c r="G36" s="610"/>
      <c r="H36" s="617"/>
      <c r="I36" s="307">
        <f t="shared" si="0"/>
        <v>2.433</v>
      </c>
      <c r="J36" s="612"/>
      <c r="K36" s="613"/>
      <c r="L36" s="37">
        <f t="shared" si="1"/>
      </c>
      <c r="M36" s="66">
        <f t="shared" si="2"/>
      </c>
      <c r="N36" s="614"/>
      <c r="O36" s="30">
        <f t="shared" si="3"/>
      </c>
      <c r="P36" s="422">
        <f t="shared" si="4"/>
        <v>20</v>
      </c>
      <c r="Q36" s="667" t="str">
        <f t="shared" si="5"/>
        <v>--</v>
      </c>
      <c r="R36" s="401" t="str">
        <f t="shared" si="6"/>
        <v>--</v>
      </c>
      <c r="S36" s="402" t="str">
        <f t="shared" si="7"/>
        <v>--</v>
      </c>
      <c r="T36" s="433" t="str">
        <f t="shared" si="8"/>
        <v>--</v>
      </c>
      <c r="U36" s="27">
        <f t="shared" si="9"/>
      </c>
      <c r="V36" s="67">
        <f t="shared" si="10"/>
      </c>
      <c r="W36" s="40"/>
    </row>
    <row r="37" spans="2:23" s="12" customFormat="1" ht="16.5" customHeight="1">
      <c r="B37" s="46"/>
      <c r="C37" s="609"/>
      <c r="D37" s="600"/>
      <c r="E37" s="600"/>
      <c r="F37" s="610"/>
      <c r="G37" s="610"/>
      <c r="H37" s="617"/>
      <c r="I37" s="307">
        <f t="shared" si="0"/>
        <v>2.433</v>
      </c>
      <c r="J37" s="612"/>
      <c r="K37" s="613"/>
      <c r="L37" s="37">
        <f t="shared" si="1"/>
      </c>
      <c r="M37" s="66">
        <f t="shared" si="2"/>
      </c>
      <c r="N37" s="614"/>
      <c r="O37" s="30">
        <f t="shared" si="3"/>
      </c>
      <c r="P37" s="422">
        <f t="shared" si="4"/>
        <v>20</v>
      </c>
      <c r="Q37" s="667" t="str">
        <f t="shared" si="5"/>
        <v>--</v>
      </c>
      <c r="R37" s="401" t="str">
        <f t="shared" si="6"/>
        <v>--</v>
      </c>
      <c r="S37" s="402" t="str">
        <f t="shared" si="7"/>
        <v>--</v>
      </c>
      <c r="T37" s="433" t="str">
        <f t="shared" si="8"/>
        <v>--</v>
      </c>
      <c r="U37" s="27">
        <f t="shared" si="9"/>
      </c>
      <c r="V37" s="67">
        <f t="shared" si="10"/>
      </c>
      <c r="W37" s="40"/>
    </row>
    <row r="38" spans="2:23" s="12" customFormat="1" ht="16.5" customHeight="1">
      <c r="B38" s="46"/>
      <c r="C38" s="609"/>
      <c r="D38" s="600"/>
      <c r="E38" s="600"/>
      <c r="F38" s="610"/>
      <c r="G38" s="610"/>
      <c r="H38" s="617"/>
      <c r="I38" s="307">
        <f t="shared" si="0"/>
        <v>2.433</v>
      </c>
      <c r="J38" s="612"/>
      <c r="K38" s="613"/>
      <c r="L38" s="37">
        <f t="shared" si="1"/>
      </c>
      <c r="M38" s="66">
        <f t="shared" si="2"/>
      </c>
      <c r="N38" s="614"/>
      <c r="O38" s="30">
        <f t="shared" si="3"/>
      </c>
      <c r="P38" s="422">
        <f t="shared" si="4"/>
        <v>20</v>
      </c>
      <c r="Q38" s="667" t="str">
        <f t="shared" si="5"/>
        <v>--</v>
      </c>
      <c r="R38" s="401" t="str">
        <f t="shared" si="6"/>
        <v>--</v>
      </c>
      <c r="S38" s="402" t="str">
        <f t="shared" si="7"/>
        <v>--</v>
      </c>
      <c r="T38" s="433" t="str">
        <f t="shared" si="8"/>
        <v>--</v>
      </c>
      <c r="U38" s="27">
        <f t="shared" si="9"/>
      </c>
      <c r="V38" s="67">
        <f t="shared" si="10"/>
      </c>
      <c r="W38" s="40"/>
    </row>
    <row r="39" spans="2:23" s="12" customFormat="1" ht="16.5" customHeight="1">
      <c r="B39" s="46"/>
      <c r="C39" s="609"/>
      <c r="D39" s="600"/>
      <c r="E39" s="600"/>
      <c r="F39" s="610"/>
      <c r="G39" s="610"/>
      <c r="H39" s="617"/>
      <c r="I39" s="307">
        <f t="shared" si="0"/>
        <v>2.433</v>
      </c>
      <c r="J39" s="612"/>
      <c r="K39" s="613"/>
      <c r="L39" s="37">
        <f t="shared" si="1"/>
      </c>
      <c r="M39" s="66">
        <f t="shared" si="2"/>
      </c>
      <c r="N39" s="614"/>
      <c r="O39" s="30">
        <f t="shared" si="3"/>
      </c>
      <c r="P39" s="422">
        <f t="shared" si="4"/>
        <v>20</v>
      </c>
      <c r="Q39" s="667" t="str">
        <f t="shared" si="5"/>
        <v>--</v>
      </c>
      <c r="R39" s="401" t="str">
        <f t="shared" si="6"/>
        <v>--</v>
      </c>
      <c r="S39" s="402" t="str">
        <f t="shared" si="7"/>
        <v>--</v>
      </c>
      <c r="T39" s="433" t="str">
        <f t="shared" si="8"/>
        <v>--</v>
      </c>
      <c r="U39" s="27">
        <f t="shared" si="9"/>
      </c>
      <c r="V39" s="67">
        <f t="shared" si="10"/>
      </c>
      <c r="W39" s="40"/>
    </row>
    <row r="40" spans="2:23" s="12" customFormat="1" ht="16.5" customHeight="1">
      <c r="B40" s="46"/>
      <c r="C40" s="609"/>
      <c r="D40" s="600"/>
      <c r="E40" s="600"/>
      <c r="F40" s="610"/>
      <c r="G40" s="610"/>
      <c r="H40" s="617"/>
      <c r="I40" s="307">
        <f t="shared" si="0"/>
        <v>2.433</v>
      </c>
      <c r="J40" s="612"/>
      <c r="K40" s="613"/>
      <c r="L40" s="37">
        <f t="shared" si="1"/>
      </c>
      <c r="M40" s="66">
        <f t="shared" si="2"/>
      </c>
      <c r="N40" s="614"/>
      <c r="O40" s="30">
        <f t="shared" si="3"/>
      </c>
      <c r="P40" s="422">
        <f t="shared" si="4"/>
        <v>20</v>
      </c>
      <c r="Q40" s="667" t="str">
        <f t="shared" si="5"/>
        <v>--</v>
      </c>
      <c r="R40" s="401" t="str">
        <f t="shared" si="6"/>
        <v>--</v>
      </c>
      <c r="S40" s="402" t="str">
        <f t="shared" si="7"/>
        <v>--</v>
      </c>
      <c r="T40" s="433" t="str">
        <f t="shared" si="8"/>
        <v>--</v>
      </c>
      <c r="U40" s="27">
        <f t="shared" si="9"/>
      </c>
      <c r="V40" s="67">
        <f t="shared" si="10"/>
      </c>
      <c r="W40" s="40"/>
    </row>
    <row r="41" spans="2:23" s="12" customFormat="1" ht="16.5" customHeight="1">
      <c r="B41" s="46"/>
      <c r="C41" s="609"/>
      <c r="D41" s="600"/>
      <c r="E41" s="600"/>
      <c r="F41" s="610"/>
      <c r="G41" s="610"/>
      <c r="H41" s="617"/>
      <c r="I41" s="307">
        <f t="shared" si="0"/>
        <v>2.433</v>
      </c>
      <c r="J41" s="612"/>
      <c r="K41" s="613"/>
      <c r="L41" s="37">
        <f t="shared" si="1"/>
      </c>
      <c r="M41" s="66">
        <f t="shared" si="2"/>
      </c>
      <c r="N41" s="614"/>
      <c r="O41" s="30">
        <f t="shared" si="3"/>
      </c>
      <c r="P41" s="422">
        <f t="shared" si="4"/>
        <v>20</v>
      </c>
      <c r="Q41" s="667" t="str">
        <f t="shared" si="5"/>
        <v>--</v>
      </c>
      <c r="R41" s="401" t="str">
        <f t="shared" si="6"/>
        <v>--</v>
      </c>
      <c r="S41" s="402" t="str">
        <f t="shared" si="7"/>
        <v>--</v>
      </c>
      <c r="T41" s="433" t="str">
        <f t="shared" si="8"/>
        <v>--</v>
      </c>
      <c r="U41" s="27">
        <f t="shared" si="9"/>
      </c>
      <c r="V41" s="67">
        <f t="shared" si="10"/>
      </c>
      <c r="W41" s="40"/>
    </row>
    <row r="42" spans="2:23" s="12" customFormat="1" ht="16.5" customHeight="1">
      <c r="B42" s="46"/>
      <c r="C42" s="609"/>
      <c r="D42" s="600"/>
      <c r="E42" s="600"/>
      <c r="F42" s="610"/>
      <c r="G42" s="610"/>
      <c r="H42" s="617"/>
      <c r="I42" s="307">
        <f t="shared" si="0"/>
        <v>2.433</v>
      </c>
      <c r="J42" s="612"/>
      <c r="K42" s="613"/>
      <c r="L42" s="37">
        <f t="shared" si="1"/>
      </c>
      <c r="M42" s="66">
        <f t="shared" si="2"/>
      </c>
      <c r="N42" s="614"/>
      <c r="O42" s="30">
        <f t="shared" si="3"/>
      </c>
      <c r="P42" s="422">
        <f t="shared" si="4"/>
        <v>20</v>
      </c>
      <c r="Q42" s="667" t="str">
        <f t="shared" si="5"/>
        <v>--</v>
      </c>
      <c r="R42" s="401" t="str">
        <f t="shared" si="6"/>
        <v>--</v>
      </c>
      <c r="S42" s="402" t="str">
        <f t="shared" si="7"/>
        <v>--</v>
      </c>
      <c r="T42" s="433" t="str">
        <f t="shared" si="8"/>
        <v>--</v>
      </c>
      <c r="U42" s="27">
        <f t="shared" si="9"/>
      </c>
      <c r="V42" s="67">
        <f t="shared" si="10"/>
      </c>
      <c r="W42" s="40"/>
    </row>
    <row r="43" spans="2:23" s="12" customFormat="1" ht="16.5" customHeight="1">
      <c r="B43" s="46"/>
      <c r="C43" s="609"/>
      <c r="D43" s="600"/>
      <c r="E43" s="600"/>
      <c r="F43" s="610"/>
      <c r="G43" s="610"/>
      <c r="H43" s="617"/>
      <c r="I43" s="307">
        <f t="shared" si="0"/>
        <v>2.433</v>
      </c>
      <c r="J43" s="612"/>
      <c r="K43" s="613"/>
      <c r="L43" s="37">
        <f t="shared" si="1"/>
      </c>
      <c r="M43" s="66">
        <f t="shared" si="2"/>
      </c>
      <c r="N43" s="614"/>
      <c r="O43" s="30">
        <f t="shared" si="3"/>
      </c>
      <c r="P43" s="422">
        <f t="shared" si="4"/>
        <v>20</v>
      </c>
      <c r="Q43" s="667" t="str">
        <f t="shared" si="5"/>
        <v>--</v>
      </c>
      <c r="R43" s="401" t="str">
        <f t="shared" si="6"/>
        <v>--</v>
      </c>
      <c r="S43" s="402" t="str">
        <f t="shared" si="7"/>
        <v>--</v>
      </c>
      <c r="T43" s="433" t="str">
        <f t="shared" si="8"/>
        <v>--</v>
      </c>
      <c r="U43" s="27">
        <f t="shared" si="9"/>
      </c>
      <c r="V43" s="67">
        <f t="shared" si="10"/>
      </c>
      <c r="W43" s="40"/>
    </row>
    <row r="44" spans="2:23" s="12" customFormat="1" ht="16.5" customHeight="1" thickBot="1">
      <c r="B44" s="46"/>
      <c r="C44" s="603"/>
      <c r="D44" s="603"/>
      <c r="E44" s="603"/>
      <c r="F44" s="603"/>
      <c r="G44" s="603"/>
      <c r="H44" s="603"/>
      <c r="I44" s="306"/>
      <c r="J44" s="603"/>
      <c r="K44" s="603"/>
      <c r="L44" s="31"/>
      <c r="M44" s="31"/>
      <c r="N44" s="603"/>
      <c r="O44" s="603"/>
      <c r="P44" s="615"/>
      <c r="Q44" s="616"/>
      <c r="R44" s="607"/>
      <c r="S44" s="608"/>
      <c r="T44" s="606"/>
      <c r="U44" s="603"/>
      <c r="V44" s="232"/>
      <c r="W44" s="40"/>
    </row>
    <row r="45" spans="2:23" s="12" customFormat="1" ht="16.5" customHeight="1" thickBot="1" thickTop="1">
      <c r="B45" s="46"/>
      <c r="C45" s="684" t="s">
        <v>154</v>
      </c>
      <c r="D45" s="683" t="s">
        <v>153</v>
      </c>
      <c r="E45" s="649"/>
      <c r="F45" s="27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34">
        <f>ROUND(SUM(Q22:Q44),2)</f>
        <v>37.71</v>
      </c>
      <c r="R45" s="362">
        <f>SUM(R22:R44)</f>
        <v>0</v>
      </c>
      <c r="S45" s="362">
        <f>SUM(S22:S44)</f>
        <v>0</v>
      </c>
      <c r="T45" s="435">
        <f>SUM(T22:T44)</f>
        <v>0</v>
      </c>
      <c r="U45" s="68"/>
      <c r="V45" s="288">
        <f>SUM(V22:V44)</f>
        <v>37.7115</v>
      </c>
      <c r="W45" s="40"/>
    </row>
    <row r="46" spans="2:23" s="291" customFormat="1" ht="9.75" thickTop="1">
      <c r="B46" s="290"/>
      <c r="C46" s="274"/>
      <c r="D46" s="274"/>
      <c r="E46" s="274"/>
      <c r="F46" s="275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5"/>
      <c r="V46" s="296"/>
      <c r="W46" s="297"/>
    </row>
    <row r="47" spans="1:23" s="12" customFormat="1" ht="16.5" customHeight="1" thickBot="1">
      <c r="A47" s="13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2"/>
    </row>
    <row r="48" spans="1:23" ht="13.5" thickTop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3:6" ht="12.75">
      <c r="C49" s="8"/>
      <c r="D49" s="8"/>
      <c r="E49" s="8"/>
      <c r="F49" s="8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Y158"/>
  <sheetViews>
    <sheetView zoomScale="70" zoomScaleNormal="70" workbookViewId="0" topLeftCell="A1">
      <selection activeCell="F12" sqref="F1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7.57421875" style="0" customWidth="1"/>
    <col min="7" max="7" width="33.71093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5" customFormat="1" ht="26.25">
      <c r="W1" s="467"/>
    </row>
    <row r="2" spans="2:23" s="125" customFormat="1" ht="26.25">
      <c r="B2" s="126" t="str">
        <f>+'TOT-0111'!B2</f>
        <v>ANEXO I al Memoranum D.T.E.E.  N°   482  /2012</v>
      </c>
      <c r="C2" s="127"/>
      <c r="D2" s="127"/>
      <c r="E2" s="127"/>
      <c r="F2" s="127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12" customFormat="1" ht="12.75"/>
    <row r="4" spans="1:4" s="128" customFormat="1" ht="11.25">
      <c r="A4" s="652" t="s">
        <v>17</v>
      </c>
      <c r="C4" s="651"/>
      <c r="D4" s="651"/>
    </row>
    <row r="5" spans="1:4" s="128" customFormat="1" ht="11.25">
      <c r="A5" s="652" t="s">
        <v>134</v>
      </c>
      <c r="C5" s="651"/>
      <c r="D5" s="651"/>
    </row>
    <row r="6" s="12" customFormat="1" ht="12.75"/>
    <row r="7" s="12" customFormat="1" ht="13.5" thickBot="1"/>
    <row r="8" spans="2:23" s="12" customFormat="1" ht="13.5" thickTop="1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</row>
    <row r="9" spans="2:23" s="130" customFormat="1" ht="20.25">
      <c r="B9" s="129"/>
      <c r="C9" s="23"/>
      <c r="D9" s="23"/>
      <c r="E9" s="23"/>
      <c r="F9" s="23" t="s">
        <v>39</v>
      </c>
      <c r="G9" s="88"/>
      <c r="H9" s="151"/>
      <c r="I9" s="150"/>
      <c r="J9" s="150"/>
      <c r="K9" s="150"/>
      <c r="L9" s="150"/>
      <c r="M9" s="150"/>
      <c r="N9" s="150"/>
      <c r="O9" s="151"/>
      <c r="P9" s="151"/>
      <c r="Q9" s="151"/>
      <c r="R9" s="151"/>
      <c r="S9" s="151"/>
      <c r="T9" s="151"/>
      <c r="U9" s="151"/>
      <c r="V9" s="151"/>
      <c r="W9" s="185"/>
    </row>
    <row r="10" spans="2:23" s="12" customFormat="1" ht="12.75">
      <c r="B10" s="4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3"/>
    </row>
    <row r="11" spans="2:23" s="130" customFormat="1" ht="20.25">
      <c r="B11" s="129"/>
      <c r="F11" s="23" t="s">
        <v>179</v>
      </c>
      <c r="H11" s="69"/>
      <c r="I11" s="132"/>
      <c r="J11" s="132"/>
      <c r="K11" s="132"/>
      <c r="L11" s="132"/>
      <c r="M11" s="132"/>
      <c r="N11" s="132"/>
      <c r="O11" s="132"/>
      <c r="P11" s="132"/>
      <c r="Q11" s="47"/>
      <c r="R11" s="47"/>
      <c r="S11" s="47"/>
      <c r="T11" s="47"/>
      <c r="U11" s="47"/>
      <c r="V11" s="47"/>
      <c r="W11" s="131"/>
    </row>
    <row r="12" spans="2:23" s="12" customFormat="1" ht="16.5" customHeight="1">
      <c r="B12" s="46"/>
      <c r="C12" s="10"/>
      <c r="D12" s="10"/>
      <c r="E12" s="10"/>
      <c r="F12" s="142"/>
      <c r="H12" s="152"/>
      <c r="I12" s="138"/>
      <c r="J12" s="138"/>
      <c r="K12" s="138"/>
      <c r="L12" s="138"/>
      <c r="M12" s="138"/>
      <c r="N12" s="138"/>
      <c r="O12" s="138"/>
      <c r="P12" s="138"/>
      <c r="Q12" s="10"/>
      <c r="R12" s="10"/>
      <c r="S12" s="10"/>
      <c r="T12" s="10"/>
      <c r="U12" s="10"/>
      <c r="V12" s="10"/>
      <c r="W12" s="13"/>
    </row>
    <row r="13" spans="2:23" s="137" customFormat="1" ht="16.5" customHeight="1">
      <c r="B13" s="103" t="str">
        <f>+'TOT-0111'!B14</f>
        <v>Desde el 01 al 31 de enero de 2011</v>
      </c>
      <c r="C13" s="133"/>
      <c r="D13" s="133"/>
      <c r="E13" s="133"/>
      <c r="F13" s="135"/>
      <c r="G13" s="135"/>
      <c r="H13" s="135"/>
      <c r="I13" s="135"/>
      <c r="J13" s="102"/>
      <c r="K13" s="135"/>
      <c r="L13" s="135"/>
      <c r="M13" s="135"/>
      <c r="N13" s="135"/>
      <c r="O13" s="135"/>
      <c r="P13" s="135"/>
      <c r="Q13" s="133"/>
      <c r="R13" s="133"/>
      <c r="S13" s="133"/>
      <c r="T13" s="133"/>
      <c r="U13" s="133"/>
      <c r="V13" s="133"/>
      <c r="W13" s="136"/>
    </row>
    <row r="14" spans="2:23" s="12" customFormat="1" ht="16.5" customHeight="1" thickBot="1">
      <c r="B14" s="4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6"/>
      <c r="C15" s="10"/>
      <c r="D15" s="10"/>
      <c r="E15" s="10"/>
      <c r="F15" s="237" t="s">
        <v>82</v>
      </c>
      <c r="G15" s="254"/>
      <c r="H15" s="255"/>
      <c r="I15" s="256"/>
      <c r="J15" s="462">
        <v>0.243</v>
      </c>
      <c r="K15" s="10"/>
      <c r="L15" s="10"/>
      <c r="M15" s="10"/>
      <c r="N15" s="10"/>
      <c r="P15" s="10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257" t="s">
        <v>64</v>
      </c>
      <c r="G16" s="258"/>
      <c r="H16" s="258"/>
      <c r="I16" s="256"/>
      <c r="J16" s="259">
        <f>6*'TOT-0111'!B13</f>
        <v>6</v>
      </c>
      <c r="K16" s="268" t="str">
        <f>IF(J16=20," ",IF(J16=40,"  Coeficiente duplicado por tasa de falla &gt;4 Sal. x año/100 km.","REVISAR COEFICIENTE"))</f>
        <v>REVISAR COEFICIENTE</v>
      </c>
      <c r="L16" s="10"/>
      <c r="M16" s="10"/>
      <c r="N16" s="10"/>
      <c r="P16" s="10"/>
      <c r="Q16" s="10"/>
      <c r="R16" s="10"/>
      <c r="S16" s="234"/>
      <c r="T16" s="234"/>
      <c r="U16" s="234"/>
      <c r="V16" s="234"/>
      <c r="W16" s="13"/>
    </row>
    <row r="17" spans="2:23" s="12" customFormat="1" ht="16.5" customHeight="1" thickTop="1">
      <c r="B17" s="4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/>
    </row>
    <row r="18" spans="2:23" s="677" customFormat="1" ht="16.5" customHeight="1" thickBot="1">
      <c r="B18" s="674"/>
      <c r="C18" s="675">
        <v>3</v>
      </c>
      <c r="D18" s="675">
        <v>4</v>
      </c>
      <c r="E18" s="675">
        <v>5</v>
      </c>
      <c r="F18" s="675">
        <v>6</v>
      </c>
      <c r="G18" s="675">
        <v>7</v>
      </c>
      <c r="H18" s="675">
        <v>8</v>
      </c>
      <c r="I18" s="675">
        <v>9</v>
      </c>
      <c r="J18" s="675">
        <v>10</v>
      </c>
      <c r="K18" s="675">
        <v>11</v>
      </c>
      <c r="L18" s="675">
        <v>12</v>
      </c>
      <c r="M18" s="675">
        <v>13</v>
      </c>
      <c r="N18" s="675">
        <v>14</v>
      </c>
      <c r="O18" s="675">
        <v>15</v>
      </c>
      <c r="P18" s="675">
        <v>16</v>
      </c>
      <c r="Q18" s="675">
        <v>17</v>
      </c>
      <c r="R18" s="675">
        <v>18</v>
      </c>
      <c r="S18" s="675">
        <v>19</v>
      </c>
      <c r="T18" s="675">
        <v>20</v>
      </c>
      <c r="U18" s="675">
        <v>21</v>
      </c>
      <c r="V18" s="675">
        <v>22</v>
      </c>
      <c r="W18" s="676"/>
    </row>
    <row r="19" spans="2:23" s="124" customFormat="1" ht="33.75" customHeight="1" thickBot="1" thickTop="1">
      <c r="B19" s="116"/>
      <c r="C19" s="117" t="s">
        <v>45</v>
      </c>
      <c r="D19" s="117" t="s">
        <v>133</v>
      </c>
      <c r="E19" s="117" t="s">
        <v>132</v>
      </c>
      <c r="F19" s="119" t="s">
        <v>65</v>
      </c>
      <c r="G19" s="118" t="s">
        <v>15</v>
      </c>
      <c r="H19" s="260" t="s">
        <v>83</v>
      </c>
      <c r="I19" s="299" t="s">
        <v>48</v>
      </c>
      <c r="J19" s="118" t="s">
        <v>49</v>
      </c>
      <c r="K19" s="118" t="s">
        <v>50</v>
      </c>
      <c r="L19" s="119" t="s">
        <v>69</v>
      </c>
      <c r="M19" s="119" t="s">
        <v>70</v>
      </c>
      <c r="N19" s="121" t="s">
        <v>53</v>
      </c>
      <c r="O19" s="118" t="s">
        <v>84</v>
      </c>
      <c r="P19" s="370" t="s">
        <v>85</v>
      </c>
      <c r="Q19" s="380" t="s">
        <v>55</v>
      </c>
      <c r="R19" s="450" t="s">
        <v>86</v>
      </c>
      <c r="S19" s="348"/>
      <c r="T19" s="355" t="s">
        <v>59</v>
      </c>
      <c r="U19" s="122" t="s">
        <v>61</v>
      </c>
      <c r="V19" s="261" t="s">
        <v>62</v>
      </c>
      <c r="W19" s="123"/>
    </row>
    <row r="20" spans="2:23" s="12" customFormat="1" ht="16.5" customHeight="1" thickTop="1">
      <c r="B20" s="46"/>
      <c r="C20" s="251"/>
      <c r="D20" s="647"/>
      <c r="E20" s="647"/>
      <c r="F20" s="647"/>
      <c r="G20" s="252"/>
      <c r="H20" s="252"/>
      <c r="I20" s="436"/>
      <c r="J20" s="253"/>
      <c r="K20" s="253"/>
      <c r="L20" s="251"/>
      <c r="M20" s="251"/>
      <c r="N20" s="252"/>
      <c r="O20" s="184"/>
      <c r="P20" s="443"/>
      <c r="Q20" s="444"/>
      <c r="R20" s="446"/>
      <c r="S20" s="451"/>
      <c r="T20" s="459"/>
      <c r="U20" s="453"/>
      <c r="V20" s="445"/>
      <c r="W20" s="13"/>
    </row>
    <row r="21" spans="2:23" s="12" customFormat="1" ht="16.5" customHeight="1">
      <c r="B21" s="46"/>
      <c r="C21" s="90"/>
      <c r="D21" s="90"/>
      <c r="E21" s="90"/>
      <c r="F21" s="92"/>
      <c r="G21" s="91"/>
      <c r="H21" s="92"/>
      <c r="I21" s="437"/>
      <c r="J21" s="94"/>
      <c r="K21" s="95"/>
      <c r="L21" s="96"/>
      <c r="M21" s="97"/>
      <c r="N21" s="98"/>
      <c r="O21" s="93"/>
      <c r="P21" s="440"/>
      <c r="Q21" s="441"/>
      <c r="R21" s="447"/>
      <c r="S21" s="452"/>
      <c r="T21" s="460"/>
      <c r="U21" s="93"/>
      <c r="V21" s="262"/>
      <c r="W21" s="13"/>
    </row>
    <row r="22" spans="2:23" s="12" customFormat="1" ht="16.5" customHeight="1">
      <c r="B22" s="46"/>
      <c r="C22" s="563">
        <v>19</v>
      </c>
      <c r="D22" s="563">
        <v>230664</v>
      </c>
      <c r="E22" s="563">
        <v>4401</v>
      </c>
      <c r="F22" s="563" t="s">
        <v>14</v>
      </c>
      <c r="G22" s="685" t="s">
        <v>155</v>
      </c>
      <c r="H22" s="563">
        <v>5.5</v>
      </c>
      <c r="I22" s="438">
        <f aca="true" t="shared" si="0" ref="I22:I41">H22*$J$15</f>
        <v>1.3365</v>
      </c>
      <c r="J22" s="623">
        <v>40554.38402777778</v>
      </c>
      <c r="K22" s="624">
        <v>40554.50486111111</v>
      </c>
      <c r="L22" s="99">
        <f aca="true" t="shared" si="1" ref="L22:L41">IF(F22="","",(K22-J22)*24)</f>
        <v>2.900000000023283</v>
      </c>
      <c r="M22" s="66">
        <f aca="true" t="shared" si="2" ref="M22:M41">IF(F22="","",ROUND((K22-J22)*24*60,0))</f>
        <v>174</v>
      </c>
      <c r="N22" s="626" t="s">
        <v>140</v>
      </c>
      <c r="O22" s="668" t="str">
        <f aca="true" t="shared" si="3" ref="O22:O41">IF(F22="","",IF(N22="P","--","NO"))</f>
        <v>--</v>
      </c>
      <c r="P22" s="669">
        <f aca="true" t="shared" si="4" ref="P22:P41">IF(OR(N22="P",N22="RP"),$J$16*0.1,$J$16)</f>
        <v>0.6000000000000001</v>
      </c>
      <c r="Q22" s="670">
        <f aca="true" t="shared" si="5" ref="Q22:Q41">IF(N22="P",I22*P22*ROUND(M22/60,2),"--")</f>
        <v>2.3255100000000004</v>
      </c>
      <c r="R22" s="660" t="str">
        <f aca="true" t="shared" si="6" ref="R22:R41">IF(AND(N22="F",O22="NO"),I22*P22,"--")</f>
        <v>--</v>
      </c>
      <c r="S22" s="671" t="str">
        <f aca="true" t="shared" si="7" ref="S22:S41">IF(N22="F",I22*P22*ROUND(M22/60,2),"--")</f>
        <v>--</v>
      </c>
      <c r="T22" s="672" t="str">
        <f aca="true" t="shared" si="8" ref="T22:T41">IF(N22="RF",I22*P22*ROUND(M22/60,2),"--")</f>
        <v>--</v>
      </c>
      <c r="U22" s="668" t="s">
        <v>141</v>
      </c>
      <c r="V22" s="100">
        <f aca="true" t="shared" si="9" ref="V22:V41">IF(F22="","",SUM(Q22:T22)*IF(U22="SI",1,2))</f>
        <v>2.3255100000000004</v>
      </c>
      <c r="W22" s="13"/>
    </row>
    <row r="23" spans="2:23" s="12" customFormat="1" ht="16.5" customHeight="1">
      <c r="B23" s="46"/>
      <c r="C23" s="563"/>
      <c r="D23" s="563"/>
      <c r="E23" s="563"/>
      <c r="F23" s="619"/>
      <c r="G23" s="618"/>
      <c r="H23" s="619"/>
      <c r="I23" s="438">
        <f t="shared" si="0"/>
        <v>0</v>
      </c>
      <c r="J23" s="623"/>
      <c r="K23" s="624"/>
      <c r="L23" s="99">
        <f t="shared" si="1"/>
      </c>
      <c r="M23" s="66">
        <f t="shared" si="2"/>
      </c>
      <c r="N23" s="626"/>
      <c r="O23" s="668">
        <f t="shared" si="3"/>
      </c>
      <c r="P23" s="669">
        <f t="shared" si="4"/>
        <v>6</v>
      </c>
      <c r="Q23" s="670" t="str">
        <f t="shared" si="5"/>
        <v>--</v>
      </c>
      <c r="R23" s="660" t="str">
        <f t="shared" si="6"/>
        <v>--</v>
      </c>
      <c r="S23" s="671" t="str">
        <f t="shared" si="7"/>
        <v>--</v>
      </c>
      <c r="T23" s="672" t="str">
        <f t="shared" si="8"/>
        <v>--</v>
      </c>
      <c r="U23" s="668">
        <f aca="true" t="shared" si="10" ref="U23:U41">IF(F23="","","SI")</f>
      </c>
      <c r="V23" s="100">
        <f t="shared" si="9"/>
      </c>
      <c r="W23" s="13"/>
    </row>
    <row r="24" spans="2:23" s="12" customFormat="1" ht="16.5" customHeight="1">
      <c r="B24" s="46"/>
      <c r="C24" s="563"/>
      <c r="D24" s="563"/>
      <c r="E24" s="563"/>
      <c r="F24" s="619"/>
      <c r="G24" s="618"/>
      <c r="H24" s="619"/>
      <c r="I24" s="438">
        <f t="shared" si="0"/>
        <v>0</v>
      </c>
      <c r="J24" s="623"/>
      <c r="K24" s="624"/>
      <c r="L24" s="99">
        <f t="shared" si="1"/>
      </c>
      <c r="M24" s="66">
        <f t="shared" si="2"/>
      </c>
      <c r="N24" s="626"/>
      <c r="O24" s="668">
        <f t="shared" si="3"/>
      </c>
      <c r="P24" s="669">
        <f t="shared" si="4"/>
        <v>6</v>
      </c>
      <c r="Q24" s="670" t="str">
        <f t="shared" si="5"/>
        <v>--</v>
      </c>
      <c r="R24" s="660" t="str">
        <f t="shared" si="6"/>
        <v>--</v>
      </c>
      <c r="S24" s="671" t="str">
        <f t="shared" si="7"/>
        <v>--</v>
      </c>
      <c r="T24" s="672" t="str">
        <f t="shared" si="8"/>
        <v>--</v>
      </c>
      <c r="U24" s="668">
        <f t="shared" si="10"/>
      </c>
      <c r="V24" s="100">
        <f t="shared" si="9"/>
      </c>
      <c r="W24" s="13"/>
    </row>
    <row r="25" spans="2:23" s="12" customFormat="1" ht="16.5" customHeight="1">
      <c r="B25" s="46"/>
      <c r="C25" s="563"/>
      <c r="D25" s="563"/>
      <c r="E25" s="563"/>
      <c r="F25" s="619"/>
      <c r="G25" s="618"/>
      <c r="H25" s="619"/>
      <c r="I25" s="438">
        <f t="shared" si="0"/>
        <v>0</v>
      </c>
      <c r="J25" s="623"/>
      <c r="K25" s="624"/>
      <c r="L25" s="99">
        <f t="shared" si="1"/>
      </c>
      <c r="M25" s="66">
        <f t="shared" si="2"/>
      </c>
      <c r="N25" s="626"/>
      <c r="O25" s="668">
        <f t="shared" si="3"/>
      </c>
      <c r="P25" s="669">
        <f t="shared" si="4"/>
        <v>6</v>
      </c>
      <c r="Q25" s="670" t="str">
        <f t="shared" si="5"/>
        <v>--</v>
      </c>
      <c r="R25" s="660" t="str">
        <f t="shared" si="6"/>
        <v>--</v>
      </c>
      <c r="S25" s="671" t="str">
        <f t="shared" si="7"/>
        <v>--</v>
      </c>
      <c r="T25" s="672" t="str">
        <f t="shared" si="8"/>
        <v>--</v>
      </c>
      <c r="U25" s="668">
        <f t="shared" si="10"/>
      </c>
      <c r="V25" s="100">
        <f t="shared" si="9"/>
      </c>
      <c r="W25" s="249"/>
    </row>
    <row r="26" spans="2:23" s="12" customFormat="1" ht="16.5" customHeight="1">
      <c r="B26" s="46"/>
      <c r="C26" s="563"/>
      <c r="D26" s="563"/>
      <c r="E26" s="563"/>
      <c r="F26" s="619"/>
      <c r="G26" s="618"/>
      <c r="H26" s="619"/>
      <c r="I26" s="438">
        <f t="shared" si="0"/>
        <v>0</v>
      </c>
      <c r="J26" s="623"/>
      <c r="K26" s="624"/>
      <c r="L26" s="99">
        <f t="shared" si="1"/>
      </c>
      <c r="M26" s="66">
        <f t="shared" si="2"/>
      </c>
      <c r="N26" s="626"/>
      <c r="O26" s="668">
        <f t="shared" si="3"/>
      </c>
      <c r="P26" s="669">
        <f t="shared" si="4"/>
        <v>6</v>
      </c>
      <c r="Q26" s="670" t="str">
        <f t="shared" si="5"/>
        <v>--</v>
      </c>
      <c r="R26" s="660" t="str">
        <f t="shared" si="6"/>
        <v>--</v>
      </c>
      <c r="S26" s="671" t="str">
        <f t="shared" si="7"/>
        <v>--</v>
      </c>
      <c r="T26" s="672" t="str">
        <f t="shared" si="8"/>
        <v>--</v>
      </c>
      <c r="U26" s="668">
        <f t="shared" si="10"/>
      </c>
      <c r="V26" s="100">
        <f t="shared" si="9"/>
      </c>
      <c r="W26" s="249"/>
    </row>
    <row r="27" spans="2:23" s="12" customFormat="1" ht="16.5" customHeight="1">
      <c r="B27" s="46"/>
      <c r="C27" s="563"/>
      <c r="D27" s="563"/>
      <c r="E27" s="563"/>
      <c r="F27" s="619"/>
      <c r="G27" s="618"/>
      <c r="H27" s="619"/>
      <c r="I27" s="438">
        <f t="shared" si="0"/>
        <v>0</v>
      </c>
      <c r="J27" s="623"/>
      <c r="K27" s="624"/>
      <c r="L27" s="99">
        <f t="shared" si="1"/>
      </c>
      <c r="M27" s="66">
        <f t="shared" si="2"/>
      </c>
      <c r="N27" s="626"/>
      <c r="O27" s="668">
        <f t="shared" si="3"/>
      </c>
      <c r="P27" s="669">
        <f t="shared" si="4"/>
        <v>6</v>
      </c>
      <c r="Q27" s="670" t="str">
        <f t="shared" si="5"/>
        <v>--</v>
      </c>
      <c r="R27" s="660" t="str">
        <f t="shared" si="6"/>
        <v>--</v>
      </c>
      <c r="S27" s="671" t="str">
        <f t="shared" si="7"/>
        <v>--</v>
      </c>
      <c r="T27" s="672" t="str">
        <f t="shared" si="8"/>
        <v>--</v>
      </c>
      <c r="U27" s="668">
        <f t="shared" si="10"/>
      </c>
      <c r="V27" s="100">
        <f t="shared" si="9"/>
      </c>
      <c r="W27" s="249"/>
    </row>
    <row r="28" spans="2:23" s="12" customFormat="1" ht="16.5" customHeight="1">
      <c r="B28" s="46"/>
      <c r="C28" s="563"/>
      <c r="D28" s="563"/>
      <c r="E28" s="563"/>
      <c r="F28" s="619"/>
      <c r="G28" s="618"/>
      <c r="H28" s="619"/>
      <c r="I28" s="438">
        <f t="shared" si="0"/>
        <v>0</v>
      </c>
      <c r="J28" s="623"/>
      <c r="K28" s="624"/>
      <c r="L28" s="99">
        <f t="shared" si="1"/>
      </c>
      <c r="M28" s="66">
        <f t="shared" si="2"/>
      </c>
      <c r="N28" s="626"/>
      <c r="O28" s="668">
        <f t="shared" si="3"/>
      </c>
      <c r="P28" s="669">
        <f t="shared" si="4"/>
        <v>6</v>
      </c>
      <c r="Q28" s="670" t="str">
        <f t="shared" si="5"/>
        <v>--</v>
      </c>
      <c r="R28" s="660" t="str">
        <f t="shared" si="6"/>
        <v>--</v>
      </c>
      <c r="S28" s="671" t="str">
        <f t="shared" si="7"/>
        <v>--</v>
      </c>
      <c r="T28" s="672" t="str">
        <f t="shared" si="8"/>
        <v>--</v>
      </c>
      <c r="U28" s="668">
        <f t="shared" si="10"/>
      </c>
      <c r="V28" s="100">
        <f t="shared" si="9"/>
      </c>
      <c r="W28" s="249"/>
    </row>
    <row r="29" spans="2:23" s="12" customFormat="1" ht="16.5" customHeight="1">
      <c r="B29" s="46"/>
      <c r="C29" s="563"/>
      <c r="D29" s="563"/>
      <c r="E29" s="563"/>
      <c r="F29" s="619"/>
      <c r="G29" s="618"/>
      <c r="H29" s="619"/>
      <c r="I29" s="438">
        <f t="shared" si="0"/>
        <v>0</v>
      </c>
      <c r="J29" s="623"/>
      <c r="K29" s="624"/>
      <c r="L29" s="99">
        <f t="shared" si="1"/>
      </c>
      <c r="M29" s="66">
        <f t="shared" si="2"/>
      </c>
      <c r="N29" s="626"/>
      <c r="O29" s="668">
        <f t="shared" si="3"/>
      </c>
      <c r="P29" s="669">
        <f t="shared" si="4"/>
        <v>6</v>
      </c>
      <c r="Q29" s="670" t="str">
        <f t="shared" si="5"/>
        <v>--</v>
      </c>
      <c r="R29" s="660" t="str">
        <f t="shared" si="6"/>
        <v>--</v>
      </c>
      <c r="S29" s="671" t="str">
        <f t="shared" si="7"/>
        <v>--</v>
      </c>
      <c r="T29" s="672" t="str">
        <f t="shared" si="8"/>
        <v>--</v>
      </c>
      <c r="U29" s="668">
        <f t="shared" si="10"/>
      </c>
      <c r="V29" s="100">
        <f t="shared" si="9"/>
      </c>
      <c r="W29" s="249"/>
    </row>
    <row r="30" spans="2:23" s="12" customFormat="1" ht="16.5" customHeight="1">
      <c r="B30" s="46"/>
      <c r="C30" s="563"/>
      <c r="D30" s="563"/>
      <c r="E30" s="563"/>
      <c r="F30" s="619"/>
      <c r="G30" s="618"/>
      <c r="H30" s="619"/>
      <c r="I30" s="438">
        <f t="shared" si="0"/>
        <v>0</v>
      </c>
      <c r="J30" s="623"/>
      <c r="K30" s="624"/>
      <c r="L30" s="99">
        <f t="shared" si="1"/>
      </c>
      <c r="M30" s="66">
        <f t="shared" si="2"/>
      </c>
      <c r="N30" s="626"/>
      <c r="O30" s="668">
        <f t="shared" si="3"/>
      </c>
      <c r="P30" s="669">
        <f t="shared" si="4"/>
        <v>6</v>
      </c>
      <c r="Q30" s="670" t="str">
        <f t="shared" si="5"/>
        <v>--</v>
      </c>
      <c r="R30" s="660" t="str">
        <f t="shared" si="6"/>
        <v>--</v>
      </c>
      <c r="S30" s="671" t="str">
        <f t="shared" si="7"/>
        <v>--</v>
      </c>
      <c r="T30" s="672" t="str">
        <f t="shared" si="8"/>
        <v>--</v>
      </c>
      <c r="U30" s="668">
        <f t="shared" si="10"/>
      </c>
      <c r="V30" s="100">
        <f t="shared" si="9"/>
      </c>
      <c r="W30" s="249"/>
    </row>
    <row r="31" spans="2:23" s="12" customFormat="1" ht="16.5" customHeight="1">
      <c r="B31" s="46"/>
      <c r="C31" s="563"/>
      <c r="D31" s="563"/>
      <c r="E31" s="563"/>
      <c r="F31" s="619"/>
      <c r="G31" s="618"/>
      <c r="H31" s="619"/>
      <c r="I31" s="438">
        <f t="shared" si="0"/>
        <v>0</v>
      </c>
      <c r="J31" s="623"/>
      <c r="K31" s="624"/>
      <c r="L31" s="99">
        <f t="shared" si="1"/>
      </c>
      <c r="M31" s="66">
        <f t="shared" si="2"/>
      </c>
      <c r="N31" s="626"/>
      <c r="O31" s="668">
        <f t="shared" si="3"/>
      </c>
      <c r="P31" s="669">
        <f t="shared" si="4"/>
        <v>6</v>
      </c>
      <c r="Q31" s="670" t="str">
        <f t="shared" si="5"/>
        <v>--</v>
      </c>
      <c r="R31" s="660" t="str">
        <f t="shared" si="6"/>
        <v>--</v>
      </c>
      <c r="S31" s="671" t="str">
        <f t="shared" si="7"/>
        <v>--</v>
      </c>
      <c r="T31" s="672" t="str">
        <f t="shared" si="8"/>
        <v>--</v>
      </c>
      <c r="U31" s="668">
        <f t="shared" si="10"/>
      </c>
      <c r="V31" s="100">
        <f t="shared" si="9"/>
      </c>
      <c r="W31" s="13"/>
    </row>
    <row r="32" spans="2:23" s="12" customFormat="1" ht="16.5" customHeight="1">
      <c r="B32" s="46"/>
      <c r="C32" s="563"/>
      <c r="D32" s="563"/>
      <c r="E32" s="563"/>
      <c r="F32" s="619"/>
      <c r="G32" s="618"/>
      <c r="H32" s="619"/>
      <c r="I32" s="438">
        <f t="shared" si="0"/>
        <v>0</v>
      </c>
      <c r="J32" s="623"/>
      <c r="K32" s="624"/>
      <c r="L32" s="99">
        <f t="shared" si="1"/>
      </c>
      <c r="M32" s="66">
        <f t="shared" si="2"/>
      </c>
      <c r="N32" s="626"/>
      <c r="O32" s="668">
        <f t="shared" si="3"/>
      </c>
      <c r="P32" s="669">
        <f t="shared" si="4"/>
        <v>6</v>
      </c>
      <c r="Q32" s="670" t="str">
        <f t="shared" si="5"/>
        <v>--</v>
      </c>
      <c r="R32" s="660" t="str">
        <f t="shared" si="6"/>
        <v>--</v>
      </c>
      <c r="S32" s="671" t="str">
        <f t="shared" si="7"/>
        <v>--</v>
      </c>
      <c r="T32" s="672" t="str">
        <f t="shared" si="8"/>
        <v>--</v>
      </c>
      <c r="U32" s="668">
        <f t="shared" si="10"/>
      </c>
      <c r="V32" s="100">
        <f t="shared" si="9"/>
      </c>
      <c r="W32" s="13"/>
    </row>
    <row r="33" spans="2:23" s="12" customFormat="1" ht="16.5" customHeight="1">
      <c r="B33" s="46"/>
      <c r="C33" s="563"/>
      <c r="D33" s="563"/>
      <c r="E33" s="563"/>
      <c r="F33" s="619"/>
      <c r="G33" s="618"/>
      <c r="H33" s="619"/>
      <c r="I33" s="438">
        <f t="shared" si="0"/>
        <v>0</v>
      </c>
      <c r="J33" s="623"/>
      <c r="K33" s="624"/>
      <c r="L33" s="99">
        <f t="shared" si="1"/>
      </c>
      <c r="M33" s="66">
        <f t="shared" si="2"/>
      </c>
      <c r="N33" s="626"/>
      <c r="O33" s="668">
        <f t="shared" si="3"/>
      </c>
      <c r="P33" s="669">
        <f t="shared" si="4"/>
        <v>6</v>
      </c>
      <c r="Q33" s="670" t="str">
        <f t="shared" si="5"/>
        <v>--</v>
      </c>
      <c r="R33" s="660" t="str">
        <f t="shared" si="6"/>
        <v>--</v>
      </c>
      <c r="S33" s="671" t="str">
        <f t="shared" si="7"/>
        <v>--</v>
      </c>
      <c r="T33" s="672" t="str">
        <f t="shared" si="8"/>
        <v>--</v>
      </c>
      <c r="U33" s="668">
        <f t="shared" si="10"/>
      </c>
      <c r="V33" s="100">
        <f t="shared" si="9"/>
      </c>
      <c r="W33" s="13"/>
    </row>
    <row r="34" spans="2:23" s="12" customFormat="1" ht="16.5" customHeight="1">
      <c r="B34" s="46"/>
      <c r="C34" s="563"/>
      <c r="D34" s="563"/>
      <c r="E34" s="563"/>
      <c r="F34" s="619"/>
      <c r="G34" s="618"/>
      <c r="H34" s="619"/>
      <c r="I34" s="438">
        <f t="shared" si="0"/>
        <v>0</v>
      </c>
      <c r="J34" s="623"/>
      <c r="K34" s="624"/>
      <c r="L34" s="99">
        <f t="shared" si="1"/>
      </c>
      <c r="M34" s="66">
        <f t="shared" si="2"/>
      </c>
      <c r="N34" s="626"/>
      <c r="O34" s="668">
        <f t="shared" si="3"/>
      </c>
      <c r="P34" s="669">
        <f t="shared" si="4"/>
        <v>6</v>
      </c>
      <c r="Q34" s="670" t="str">
        <f t="shared" si="5"/>
        <v>--</v>
      </c>
      <c r="R34" s="660" t="str">
        <f t="shared" si="6"/>
        <v>--</v>
      </c>
      <c r="S34" s="671" t="str">
        <f t="shared" si="7"/>
        <v>--</v>
      </c>
      <c r="T34" s="672" t="str">
        <f t="shared" si="8"/>
        <v>--</v>
      </c>
      <c r="U34" s="668">
        <f t="shared" si="10"/>
      </c>
      <c r="V34" s="100">
        <f t="shared" si="9"/>
      </c>
      <c r="W34" s="13"/>
    </row>
    <row r="35" spans="2:23" s="12" customFormat="1" ht="16.5" customHeight="1">
      <c r="B35" s="46"/>
      <c r="C35" s="563"/>
      <c r="D35" s="563"/>
      <c r="E35" s="563"/>
      <c r="F35" s="619"/>
      <c r="G35" s="618"/>
      <c r="H35" s="619"/>
      <c r="I35" s="438">
        <f t="shared" si="0"/>
        <v>0</v>
      </c>
      <c r="J35" s="623"/>
      <c r="K35" s="624"/>
      <c r="L35" s="99">
        <f t="shared" si="1"/>
      </c>
      <c r="M35" s="66">
        <f t="shared" si="2"/>
      </c>
      <c r="N35" s="626"/>
      <c r="O35" s="668">
        <f t="shared" si="3"/>
      </c>
      <c r="P35" s="669">
        <f t="shared" si="4"/>
        <v>6</v>
      </c>
      <c r="Q35" s="670" t="str">
        <f t="shared" si="5"/>
        <v>--</v>
      </c>
      <c r="R35" s="660" t="str">
        <f t="shared" si="6"/>
        <v>--</v>
      </c>
      <c r="S35" s="671" t="str">
        <f t="shared" si="7"/>
        <v>--</v>
      </c>
      <c r="T35" s="672" t="str">
        <f t="shared" si="8"/>
        <v>--</v>
      </c>
      <c r="U35" s="668">
        <f t="shared" si="10"/>
      </c>
      <c r="V35" s="100">
        <f t="shared" si="9"/>
      </c>
      <c r="W35" s="13"/>
    </row>
    <row r="36" spans="2:23" s="12" customFormat="1" ht="16.5" customHeight="1">
      <c r="B36" s="46"/>
      <c r="C36" s="563"/>
      <c r="D36" s="563"/>
      <c r="E36" s="563"/>
      <c r="F36" s="619"/>
      <c r="G36" s="618"/>
      <c r="H36" s="619"/>
      <c r="I36" s="438">
        <f t="shared" si="0"/>
        <v>0</v>
      </c>
      <c r="J36" s="623"/>
      <c r="K36" s="624"/>
      <c r="L36" s="99">
        <f t="shared" si="1"/>
      </c>
      <c r="M36" s="66">
        <f t="shared" si="2"/>
      </c>
      <c r="N36" s="626"/>
      <c r="O36" s="668">
        <f t="shared" si="3"/>
      </c>
      <c r="P36" s="669">
        <f t="shared" si="4"/>
        <v>6</v>
      </c>
      <c r="Q36" s="670" t="str">
        <f t="shared" si="5"/>
        <v>--</v>
      </c>
      <c r="R36" s="660" t="str">
        <f t="shared" si="6"/>
        <v>--</v>
      </c>
      <c r="S36" s="671" t="str">
        <f t="shared" si="7"/>
        <v>--</v>
      </c>
      <c r="T36" s="672" t="str">
        <f t="shared" si="8"/>
        <v>--</v>
      </c>
      <c r="U36" s="668">
        <f t="shared" si="10"/>
      </c>
      <c r="V36" s="100">
        <f t="shared" si="9"/>
      </c>
      <c r="W36" s="13"/>
    </row>
    <row r="37" spans="2:23" s="12" customFormat="1" ht="16.5" customHeight="1">
      <c r="B37" s="46"/>
      <c r="C37" s="563"/>
      <c r="D37" s="563"/>
      <c r="E37" s="563"/>
      <c r="F37" s="619"/>
      <c r="G37" s="618"/>
      <c r="H37" s="619"/>
      <c r="I37" s="438">
        <f t="shared" si="0"/>
        <v>0</v>
      </c>
      <c r="J37" s="623"/>
      <c r="K37" s="624"/>
      <c r="L37" s="99">
        <f t="shared" si="1"/>
      </c>
      <c r="M37" s="66">
        <f t="shared" si="2"/>
      </c>
      <c r="N37" s="626"/>
      <c r="O37" s="668">
        <f t="shared" si="3"/>
      </c>
      <c r="P37" s="669">
        <f t="shared" si="4"/>
        <v>6</v>
      </c>
      <c r="Q37" s="670" t="str">
        <f t="shared" si="5"/>
        <v>--</v>
      </c>
      <c r="R37" s="660" t="str">
        <f t="shared" si="6"/>
        <v>--</v>
      </c>
      <c r="S37" s="671" t="str">
        <f t="shared" si="7"/>
        <v>--</v>
      </c>
      <c r="T37" s="672" t="str">
        <f t="shared" si="8"/>
        <v>--</v>
      </c>
      <c r="U37" s="668">
        <f t="shared" si="10"/>
      </c>
      <c r="V37" s="100">
        <f t="shared" si="9"/>
      </c>
      <c r="W37" s="13"/>
    </row>
    <row r="38" spans="2:23" s="12" customFormat="1" ht="16.5" customHeight="1">
      <c r="B38" s="46"/>
      <c r="C38" s="563"/>
      <c r="D38" s="563"/>
      <c r="E38" s="563"/>
      <c r="F38" s="619"/>
      <c r="G38" s="618"/>
      <c r="H38" s="619"/>
      <c r="I38" s="438">
        <f t="shared" si="0"/>
        <v>0</v>
      </c>
      <c r="J38" s="623"/>
      <c r="K38" s="624"/>
      <c r="L38" s="99">
        <f t="shared" si="1"/>
      </c>
      <c r="M38" s="66">
        <f t="shared" si="2"/>
      </c>
      <c r="N38" s="626"/>
      <c r="O38" s="668">
        <f t="shared" si="3"/>
      </c>
      <c r="P38" s="669">
        <f t="shared" si="4"/>
        <v>6</v>
      </c>
      <c r="Q38" s="670" t="str">
        <f t="shared" si="5"/>
        <v>--</v>
      </c>
      <c r="R38" s="660" t="str">
        <f t="shared" si="6"/>
        <v>--</v>
      </c>
      <c r="S38" s="671" t="str">
        <f t="shared" si="7"/>
        <v>--</v>
      </c>
      <c r="T38" s="672" t="str">
        <f t="shared" si="8"/>
        <v>--</v>
      </c>
      <c r="U38" s="668">
        <f t="shared" si="10"/>
      </c>
      <c r="V38" s="100">
        <f t="shared" si="9"/>
      </c>
      <c r="W38" s="13"/>
    </row>
    <row r="39" spans="2:23" s="12" customFormat="1" ht="16.5" customHeight="1">
      <c r="B39" s="46"/>
      <c r="C39" s="563"/>
      <c r="D39" s="563"/>
      <c r="E39" s="563"/>
      <c r="F39" s="619"/>
      <c r="G39" s="618"/>
      <c r="H39" s="619"/>
      <c r="I39" s="438">
        <f t="shared" si="0"/>
        <v>0</v>
      </c>
      <c r="J39" s="623"/>
      <c r="K39" s="624"/>
      <c r="L39" s="99">
        <f t="shared" si="1"/>
      </c>
      <c r="M39" s="66">
        <f t="shared" si="2"/>
      </c>
      <c r="N39" s="626"/>
      <c r="O39" s="668">
        <f t="shared" si="3"/>
      </c>
      <c r="P39" s="669">
        <f t="shared" si="4"/>
        <v>6</v>
      </c>
      <c r="Q39" s="670" t="str">
        <f t="shared" si="5"/>
        <v>--</v>
      </c>
      <c r="R39" s="660" t="str">
        <f t="shared" si="6"/>
        <v>--</v>
      </c>
      <c r="S39" s="671" t="str">
        <f t="shared" si="7"/>
        <v>--</v>
      </c>
      <c r="T39" s="672" t="str">
        <f t="shared" si="8"/>
        <v>--</v>
      </c>
      <c r="U39" s="668">
        <f t="shared" si="10"/>
      </c>
      <c r="V39" s="100">
        <f t="shared" si="9"/>
      </c>
      <c r="W39" s="13"/>
    </row>
    <row r="40" spans="2:23" s="12" customFormat="1" ht="16.5" customHeight="1">
      <c r="B40" s="46"/>
      <c r="C40" s="563"/>
      <c r="D40" s="563"/>
      <c r="E40" s="563"/>
      <c r="F40" s="619"/>
      <c r="G40" s="618"/>
      <c r="H40" s="619"/>
      <c r="I40" s="438">
        <f t="shared" si="0"/>
        <v>0</v>
      </c>
      <c r="J40" s="623"/>
      <c r="K40" s="624"/>
      <c r="L40" s="99">
        <f t="shared" si="1"/>
      </c>
      <c r="M40" s="66">
        <f t="shared" si="2"/>
      </c>
      <c r="N40" s="626"/>
      <c r="O40" s="668">
        <f t="shared" si="3"/>
      </c>
      <c r="P40" s="669">
        <f t="shared" si="4"/>
        <v>6</v>
      </c>
      <c r="Q40" s="670" t="str">
        <f t="shared" si="5"/>
        <v>--</v>
      </c>
      <c r="R40" s="660" t="str">
        <f t="shared" si="6"/>
        <v>--</v>
      </c>
      <c r="S40" s="671" t="str">
        <f t="shared" si="7"/>
        <v>--</v>
      </c>
      <c r="T40" s="672" t="str">
        <f t="shared" si="8"/>
        <v>--</v>
      </c>
      <c r="U40" s="668">
        <f t="shared" si="10"/>
      </c>
      <c r="V40" s="100">
        <f t="shared" si="9"/>
      </c>
      <c r="W40" s="13"/>
    </row>
    <row r="41" spans="2:23" s="12" customFormat="1" ht="16.5" customHeight="1">
      <c r="B41" s="46"/>
      <c r="C41" s="563"/>
      <c r="D41" s="563"/>
      <c r="E41" s="563"/>
      <c r="F41" s="619"/>
      <c r="G41" s="618"/>
      <c r="H41" s="619"/>
      <c r="I41" s="438">
        <f t="shared" si="0"/>
        <v>0</v>
      </c>
      <c r="J41" s="623"/>
      <c r="K41" s="624"/>
      <c r="L41" s="99">
        <f t="shared" si="1"/>
      </c>
      <c r="M41" s="66">
        <f t="shared" si="2"/>
      </c>
      <c r="N41" s="626"/>
      <c r="O41" s="668">
        <f t="shared" si="3"/>
      </c>
      <c r="P41" s="669">
        <f t="shared" si="4"/>
        <v>6</v>
      </c>
      <c r="Q41" s="670" t="str">
        <f t="shared" si="5"/>
        <v>--</v>
      </c>
      <c r="R41" s="660" t="str">
        <f t="shared" si="6"/>
        <v>--</v>
      </c>
      <c r="S41" s="671" t="str">
        <f t="shared" si="7"/>
        <v>--</v>
      </c>
      <c r="T41" s="672" t="str">
        <f t="shared" si="8"/>
        <v>--</v>
      </c>
      <c r="U41" s="668">
        <f t="shared" si="10"/>
      </c>
      <c r="V41" s="100">
        <f t="shared" si="9"/>
      </c>
      <c r="W41" s="13"/>
    </row>
    <row r="42" spans="2:23" s="12" customFormat="1" ht="16.5" customHeight="1" thickBot="1">
      <c r="B42" s="46"/>
      <c r="C42" s="620"/>
      <c r="D42" s="620"/>
      <c r="E42" s="620"/>
      <c r="F42" s="622"/>
      <c r="G42" s="621"/>
      <c r="H42" s="622"/>
      <c r="I42" s="439"/>
      <c r="J42" s="625"/>
      <c r="K42" s="625"/>
      <c r="L42" s="101"/>
      <c r="M42" s="101"/>
      <c r="N42" s="625"/>
      <c r="O42" s="570"/>
      <c r="P42" s="627"/>
      <c r="Q42" s="628"/>
      <c r="R42" s="579"/>
      <c r="S42" s="629"/>
      <c r="T42" s="630"/>
      <c r="U42" s="570"/>
      <c r="V42" s="263"/>
      <c r="W42" s="13"/>
    </row>
    <row r="43" spans="2:23" s="12" customFormat="1" ht="16.5" customHeight="1" thickBot="1" thickTop="1">
      <c r="B43" s="46"/>
      <c r="C43" s="684" t="s">
        <v>154</v>
      </c>
      <c r="D43" s="683" t="s">
        <v>153</v>
      </c>
      <c r="E43" s="649"/>
      <c r="F43" s="273"/>
      <c r="G43"/>
      <c r="I43" s="10"/>
      <c r="J43" s="10"/>
      <c r="K43" s="10"/>
      <c r="L43" s="10"/>
      <c r="M43" s="10"/>
      <c r="N43" s="10"/>
      <c r="O43" s="10"/>
      <c r="P43" s="10"/>
      <c r="Q43" s="442">
        <f>SUM(Q20:Q42)</f>
        <v>2.3255100000000004</v>
      </c>
      <c r="R43" s="448">
        <f>SUM(R20:R42)</f>
        <v>0</v>
      </c>
      <c r="S43" s="449">
        <f>SUM(S20:S42)</f>
        <v>0</v>
      </c>
      <c r="T43" s="461">
        <f>SUM(T20:T42)</f>
        <v>0</v>
      </c>
      <c r="V43" s="288">
        <f>ROUND(SUM(V20:V42),2)</f>
        <v>2.33</v>
      </c>
      <c r="W43" s="250"/>
    </row>
    <row r="44" spans="2:23" s="291" customFormat="1" ht="9.75" thickTop="1">
      <c r="B44" s="290"/>
      <c r="C44" s="289"/>
      <c r="D44" s="289"/>
      <c r="E44" s="289"/>
      <c r="F44" s="275"/>
      <c r="G44" s="287"/>
      <c r="I44" s="289"/>
      <c r="J44" s="289"/>
      <c r="K44" s="289"/>
      <c r="L44" s="289"/>
      <c r="M44" s="289"/>
      <c r="N44" s="289"/>
      <c r="O44" s="289"/>
      <c r="P44" s="289"/>
      <c r="Q44" s="309"/>
      <c r="R44" s="309"/>
      <c r="S44" s="309"/>
      <c r="T44" s="309"/>
      <c r="V44" s="296"/>
      <c r="W44" s="298"/>
    </row>
    <row r="45" spans="2:23" s="12" customFormat="1" ht="16.5" customHeight="1" thickBot="1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1"/>
  <sheetViews>
    <sheetView zoomScale="55" zoomScaleNormal="55" workbookViewId="0" topLeftCell="A1">
      <selection activeCell="I48" sqref="I48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4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25" customFormat="1" ht="39.75" customHeight="1">
      <c r="P1" s="467"/>
    </row>
    <row r="2" spans="1:16" s="125" customFormat="1" ht="28.5" customHeight="1">
      <c r="A2" s="188"/>
      <c r="B2" s="646" t="str">
        <f>'TOT-0111'!B2</f>
        <v>ANEXO I al Memoranum D.T.E.E.  N°   482  /2012</v>
      </c>
      <c r="C2" s="646"/>
      <c r="D2" s="64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4" s="128" customFormat="1" ht="12.75">
      <c r="A3" s="652" t="s">
        <v>136</v>
      </c>
      <c r="B3" s="12"/>
      <c r="C3" s="12"/>
      <c r="D3" s="12"/>
    </row>
    <row r="4" spans="1:4" s="128" customFormat="1" ht="11.25">
      <c r="A4" s="652" t="s">
        <v>135</v>
      </c>
      <c r="B4" s="248"/>
      <c r="C4" s="248"/>
      <c r="D4" s="248"/>
    </row>
    <row r="5" spans="1:4" s="12" customFormat="1" ht="13.5" thickBot="1">
      <c r="A5" s="652"/>
      <c r="B5" s="248"/>
      <c r="C5" s="248"/>
      <c r="D5" s="248"/>
    </row>
    <row r="6" spans="1:16" s="12" customFormat="1" ht="13.5" thickTop="1">
      <c r="A6" s="10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</row>
    <row r="7" spans="1:16" s="130" customFormat="1" ht="20.25">
      <c r="A7" s="47"/>
      <c r="B7" s="129"/>
      <c r="C7" s="47"/>
      <c r="D7" s="23" t="s">
        <v>39</v>
      </c>
      <c r="G7" s="47"/>
      <c r="H7" s="47"/>
      <c r="I7" s="47"/>
      <c r="J7" s="47"/>
      <c r="K7" s="47"/>
      <c r="L7" s="47"/>
      <c r="M7" s="47"/>
      <c r="N7" s="47"/>
      <c r="O7" s="47"/>
      <c r="P7" s="131"/>
    </row>
    <row r="8" spans="1:16" ht="15">
      <c r="A8" s="1"/>
      <c r="B8" s="310"/>
      <c r="C8" s="76"/>
      <c r="D8" s="468"/>
      <c r="E8" s="76"/>
      <c r="F8" s="74"/>
      <c r="G8" s="76"/>
      <c r="H8" s="76"/>
      <c r="I8" s="76"/>
      <c r="J8" s="76"/>
      <c r="K8" s="76"/>
      <c r="L8" s="76"/>
      <c r="M8" s="76"/>
      <c r="N8" s="76"/>
      <c r="O8" s="76"/>
      <c r="P8" s="314"/>
    </row>
    <row r="9" spans="1:19" s="130" customFormat="1" ht="20.25">
      <c r="A9" s="47"/>
      <c r="B9" s="469"/>
      <c r="C9"/>
      <c r="D9" s="24" t="s">
        <v>129</v>
      </c>
      <c r="E9" s="470"/>
      <c r="F9" s="470"/>
      <c r="G9" s="470"/>
      <c r="H9" s="471"/>
      <c r="I9" s="470"/>
      <c r="J9" s="470"/>
      <c r="K9" s="470"/>
      <c r="L9" s="470"/>
      <c r="M9" s="470"/>
      <c r="N9" s="470"/>
      <c r="O9" s="470"/>
      <c r="P9" s="472"/>
      <c r="Q9" s="264"/>
      <c r="R9" s="195"/>
      <c r="S9" s="195"/>
    </row>
    <row r="10" spans="1:19" s="12" customFormat="1" ht="12.75">
      <c r="A10" s="10"/>
      <c r="B10" s="46"/>
      <c r="C10" s="10"/>
      <c r="D10" s="70"/>
      <c r="E10" s="32"/>
      <c r="F10" s="32"/>
      <c r="G10" s="32"/>
      <c r="H10" s="187"/>
      <c r="I10" s="32"/>
      <c r="J10" s="32"/>
      <c r="K10" s="32"/>
      <c r="L10" s="32"/>
      <c r="M10" s="32"/>
      <c r="N10" s="32"/>
      <c r="O10" s="32"/>
      <c r="P10" s="40"/>
      <c r="Q10" s="32"/>
      <c r="R10" s="32"/>
      <c r="S10" s="194"/>
    </row>
    <row r="11" spans="1:19" s="137" customFormat="1" ht="19.5">
      <c r="A11" s="49"/>
      <c r="B11" s="267" t="str">
        <f>+'TOT-0111'!B14</f>
        <v>Desde el 01 al 31 de enero de 2011</v>
      </c>
      <c r="C11" s="159"/>
      <c r="D11" s="211"/>
      <c r="E11" s="211"/>
      <c r="F11" s="211"/>
      <c r="G11" s="211"/>
      <c r="H11" s="211"/>
      <c r="I11" s="159"/>
      <c r="J11" s="211"/>
      <c r="K11" s="211"/>
      <c r="L11" s="211"/>
      <c r="M11" s="211"/>
      <c r="N11" s="211"/>
      <c r="O11" s="211"/>
      <c r="P11" s="473"/>
      <c r="Q11" s="474"/>
      <c r="R11" s="474"/>
      <c r="S11" s="474"/>
    </row>
    <row r="12" spans="1:19" ht="15">
      <c r="A12" s="1"/>
      <c r="B12" s="310"/>
      <c r="C12" s="76"/>
      <c r="D12" s="72"/>
      <c r="E12" s="72"/>
      <c r="F12" s="72"/>
      <c r="G12" s="72"/>
      <c r="H12" s="475"/>
      <c r="I12" s="76"/>
      <c r="J12" s="72"/>
      <c r="K12" s="72"/>
      <c r="L12" s="72"/>
      <c r="M12" s="72"/>
      <c r="N12" s="72"/>
      <c r="O12" s="72"/>
      <c r="P12" s="73"/>
      <c r="Q12" s="6"/>
      <c r="R12" s="6"/>
      <c r="S12" s="476"/>
    </row>
    <row r="13" spans="1:19" ht="18" customHeight="1">
      <c r="A13" s="1"/>
      <c r="B13" s="310"/>
      <c r="C13" s="76"/>
      <c r="D13" s="72"/>
      <c r="E13" s="72"/>
      <c r="F13" s="72"/>
      <c r="G13" s="72"/>
      <c r="H13" s="84"/>
      <c r="I13" s="84"/>
      <c r="J13" s="72"/>
      <c r="K13" s="72"/>
      <c r="P13" s="73"/>
      <c r="Q13" s="6"/>
      <c r="R13" s="6"/>
      <c r="S13" s="476"/>
    </row>
    <row r="14" spans="1:19" ht="18" customHeight="1">
      <c r="A14" s="1"/>
      <c r="B14" s="310"/>
      <c r="C14" s="76"/>
      <c r="D14" s="71"/>
      <c r="E14" s="477"/>
      <c r="F14" s="72"/>
      <c r="G14" s="72"/>
      <c r="H14" s="84"/>
      <c r="I14" s="84"/>
      <c r="J14" s="72"/>
      <c r="K14" s="72"/>
      <c r="P14" s="73"/>
      <c r="Q14" s="6"/>
      <c r="R14" s="6"/>
      <c r="S14" s="476"/>
    </row>
    <row r="15" spans="1:16" ht="16.5" thickBot="1">
      <c r="A15" s="1"/>
      <c r="B15" s="310"/>
      <c r="C15" s="478" t="s">
        <v>87</v>
      </c>
      <c r="D15" s="74"/>
      <c r="E15" s="311"/>
      <c r="F15" s="312"/>
      <c r="G15" s="76"/>
      <c r="H15" s="76"/>
      <c r="I15" s="76"/>
      <c r="J15" s="75"/>
      <c r="K15" s="75"/>
      <c r="L15" s="313"/>
      <c r="M15" s="76"/>
      <c r="N15" s="76"/>
      <c r="O15" s="76"/>
      <c r="P15" s="314"/>
    </row>
    <row r="16" spans="1:16" ht="16.5" thickBot="1">
      <c r="A16" s="1"/>
      <c r="B16" s="310"/>
      <c r="C16" s="315"/>
      <c r="D16" s="74"/>
      <c r="E16" s="311"/>
      <c r="F16" s="312"/>
      <c r="G16" s="76"/>
      <c r="H16" s="76"/>
      <c r="L16" s="479" t="s">
        <v>78</v>
      </c>
      <c r="M16" s="480">
        <v>3.243</v>
      </c>
      <c r="N16" s="481"/>
      <c r="O16" s="76"/>
      <c r="P16" s="314"/>
    </row>
    <row r="17" spans="1:16" ht="15.75">
      <c r="A17" s="1"/>
      <c r="B17" s="310"/>
      <c r="C17" s="315"/>
      <c r="D17" s="75" t="s">
        <v>88</v>
      </c>
      <c r="E17" s="316">
        <v>744</v>
      </c>
      <c r="F17" s="76" t="s">
        <v>89</v>
      </c>
      <c r="G17" s="72"/>
      <c r="H17" s="482"/>
      <c r="I17" s="483" t="s">
        <v>90</v>
      </c>
      <c r="J17" s="484">
        <v>69.722</v>
      </c>
      <c r="K17" s="463"/>
      <c r="L17" s="485" t="s">
        <v>79</v>
      </c>
      <c r="M17" s="486">
        <v>2.433</v>
      </c>
      <c r="N17" s="487"/>
      <c r="O17" s="76"/>
      <c r="P17" s="314"/>
    </row>
    <row r="18" spans="1:16" ht="16.5" thickBot="1">
      <c r="A18" s="1"/>
      <c r="B18" s="310"/>
      <c r="C18" s="315"/>
      <c r="D18" s="75" t="s">
        <v>91</v>
      </c>
      <c r="E18" s="318">
        <v>0.025</v>
      </c>
      <c r="F18" s="72"/>
      <c r="G18" s="72"/>
      <c r="H18" s="488"/>
      <c r="I18" s="489" t="s">
        <v>92</v>
      </c>
      <c r="J18" s="490">
        <v>0.243</v>
      </c>
      <c r="K18" s="491"/>
      <c r="L18" s="492" t="s">
        <v>80</v>
      </c>
      <c r="M18" s="493">
        <v>2.433</v>
      </c>
      <c r="N18" s="494"/>
      <c r="O18" s="76"/>
      <c r="P18" s="314"/>
    </row>
    <row r="19" spans="1:16" ht="15.75">
      <c r="A19" s="1"/>
      <c r="B19" s="310"/>
      <c r="C19" s="315"/>
      <c r="D19" s="75"/>
      <c r="E19" s="318"/>
      <c r="F19" s="72"/>
      <c r="G19" s="72"/>
      <c r="H19" s="72"/>
      <c r="I19" s="72"/>
      <c r="L19" s="313"/>
      <c r="M19" s="76"/>
      <c r="N19" s="76"/>
      <c r="O19" s="76"/>
      <c r="P19" s="314"/>
    </row>
    <row r="20" spans="1:16" ht="15">
      <c r="A20" s="1"/>
      <c r="B20" s="310"/>
      <c r="C20" s="71" t="s">
        <v>93</v>
      </c>
      <c r="D20" s="79"/>
      <c r="E20" s="311"/>
      <c r="F20" s="312"/>
      <c r="G20" s="76"/>
      <c r="H20" s="76"/>
      <c r="I20" s="76"/>
      <c r="J20" s="75"/>
      <c r="K20" s="75"/>
      <c r="L20" s="313"/>
      <c r="M20" s="76"/>
      <c r="N20" s="76"/>
      <c r="O20" s="76"/>
      <c r="P20" s="314"/>
    </row>
    <row r="21" spans="1:16" ht="15">
      <c r="A21" s="1"/>
      <c r="B21" s="310"/>
      <c r="C21" s="76"/>
      <c r="D21" s="76"/>
      <c r="E21" s="76"/>
      <c r="F21" s="76"/>
      <c r="G21" s="76"/>
      <c r="H21" s="319"/>
      <c r="I21" s="76"/>
      <c r="J21" s="76"/>
      <c r="K21" s="76"/>
      <c r="L21" s="76"/>
      <c r="M21" s="76"/>
      <c r="N21" s="76"/>
      <c r="O21" s="76"/>
      <c r="P21" s="314"/>
    </row>
    <row r="22" spans="1:16" ht="15">
      <c r="A22" s="1"/>
      <c r="B22" s="310"/>
      <c r="C22" s="76"/>
      <c r="D22" s="75" t="s">
        <v>94</v>
      </c>
      <c r="E22" s="76"/>
      <c r="F22" s="319" t="s">
        <v>20</v>
      </c>
      <c r="G22" s="76"/>
      <c r="H22" s="74"/>
      <c r="I22" s="495">
        <f>'TOT-0111'!I20</f>
        <v>62876.86</v>
      </c>
      <c r="J22" s="76"/>
      <c r="K22" s="76"/>
      <c r="L22" s="496" t="s">
        <v>95</v>
      </c>
      <c r="M22" s="76"/>
      <c r="N22" s="76"/>
      <c r="O22" s="76"/>
      <c r="P22" s="314"/>
    </row>
    <row r="23" spans="1:16" ht="15">
      <c r="A23" s="1"/>
      <c r="B23" s="310"/>
      <c r="C23" s="76"/>
      <c r="D23" s="76"/>
      <c r="E23" s="76"/>
      <c r="F23" s="319" t="s">
        <v>96</v>
      </c>
      <c r="G23" s="76"/>
      <c r="H23" s="74"/>
      <c r="I23" s="495">
        <f>'TOT-0111'!I25</f>
        <v>1142.71</v>
      </c>
      <c r="J23" s="76"/>
      <c r="K23" s="76"/>
      <c r="L23" s="496" t="s">
        <v>97</v>
      </c>
      <c r="M23" s="76"/>
      <c r="N23" s="76"/>
      <c r="O23" s="76"/>
      <c r="P23" s="314"/>
    </row>
    <row r="24" spans="1:16" ht="15">
      <c r="A24" s="1"/>
      <c r="B24" s="310"/>
      <c r="C24" s="76"/>
      <c r="D24" s="76"/>
      <c r="E24" s="76"/>
      <c r="F24" s="319" t="s">
        <v>3</v>
      </c>
      <c r="G24" s="76"/>
      <c r="H24" s="74"/>
      <c r="I24" s="495">
        <f>'TOT-0111'!I28</f>
        <v>37.7115</v>
      </c>
      <c r="J24" s="76"/>
      <c r="K24" s="76"/>
      <c r="L24" s="496" t="s">
        <v>98</v>
      </c>
      <c r="M24" s="76"/>
      <c r="N24" s="76"/>
      <c r="O24" s="76"/>
      <c r="P24" s="314"/>
    </row>
    <row r="25" spans="1:16" ht="15">
      <c r="A25" s="1"/>
      <c r="B25" s="310"/>
      <c r="C25" s="76"/>
      <c r="D25" s="76"/>
      <c r="E25" s="76"/>
      <c r="F25" s="319" t="s">
        <v>178</v>
      </c>
      <c r="G25" s="76"/>
      <c r="H25" s="74"/>
      <c r="I25" s="497">
        <f>'RE-EDERSA-01 (1)'!V43</f>
        <v>2.33</v>
      </c>
      <c r="J25" s="76"/>
      <c r="K25" s="76"/>
      <c r="L25" s="496" t="s">
        <v>180</v>
      </c>
      <c r="M25" s="76"/>
      <c r="N25" s="76"/>
      <c r="O25" s="76"/>
      <c r="P25" s="314"/>
    </row>
    <row r="26" spans="1:16" ht="15.75" thickBot="1">
      <c r="A26" s="1"/>
      <c r="B26" s="310"/>
      <c r="C26" s="76"/>
      <c r="D26" s="76"/>
      <c r="E26" s="76"/>
      <c r="F26" s="76"/>
      <c r="G26" s="76"/>
      <c r="H26" s="319"/>
      <c r="I26" s="76"/>
      <c r="J26" s="76"/>
      <c r="K26" s="76"/>
      <c r="L26" s="76"/>
      <c r="M26" s="76"/>
      <c r="N26" s="76"/>
      <c r="O26" s="76"/>
      <c r="P26" s="314"/>
    </row>
    <row r="27" spans="2:16" ht="20.25" thickBot="1" thickTop="1">
      <c r="B27" s="310"/>
      <c r="C27" s="83"/>
      <c r="H27" s="498" t="s">
        <v>99</v>
      </c>
      <c r="I27" s="172">
        <f>SUM(I22:I26)</f>
        <v>64059.6115</v>
      </c>
      <c r="L27" s="80"/>
      <c r="M27" s="80"/>
      <c r="N27" s="81"/>
      <c r="O27" s="82"/>
      <c r="P27" s="320"/>
    </row>
    <row r="28" spans="2:16" ht="15.75" thickTop="1">
      <c r="B28" s="310"/>
      <c r="C28" s="83"/>
      <c r="D28" s="79"/>
      <c r="E28" s="79"/>
      <c r="F28" s="85"/>
      <c r="G28" s="80"/>
      <c r="H28" s="80"/>
      <c r="I28" s="80"/>
      <c r="J28" s="80"/>
      <c r="K28" s="80"/>
      <c r="L28" s="80"/>
      <c r="M28" s="80"/>
      <c r="N28" s="81"/>
      <c r="O28" s="82"/>
      <c r="P28" s="320"/>
    </row>
    <row r="29" spans="2:16" ht="15">
      <c r="B29" s="310"/>
      <c r="C29" s="71" t="s">
        <v>100</v>
      </c>
      <c r="D29" s="79"/>
      <c r="E29" s="79"/>
      <c r="F29" s="85"/>
      <c r="G29" s="80"/>
      <c r="H29" s="80"/>
      <c r="I29" s="80"/>
      <c r="J29" s="80"/>
      <c r="K29" s="80"/>
      <c r="L29" s="80"/>
      <c r="M29" s="80"/>
      <c r="N29" s="81"/>
      <c r="O29" s="82"/>
      <c r="P29" s="320"/>
    </row>
    <row r="30" spans="2:16" ht="15">
      <c r="B30" s="310"/>
      <c r="C30" s="83"/>
      <c r="D30" s="79"/>
      <c r="E30" s="79"/>
      <c r="F30" s="85"/>
      <c r="G30" s="80"/>
      <c r="H30" s="80"/>
      <c r="I30" s="80"/>
      <c r="J30" s="80"/>
      <c r="K30" s="80"/>
      <c r="L30" s="80"/>
      <c r="M30" s="80"/>
      <c r="N30" s="81"/>
      <c r="O30" s="82"/>
      <c r="P30" s="320"/>
    </row>
    <row r="31" spans="2:16" ht="15.75">
      <c r="B31" s="310"/>
      <c r="C31" s="83"/>
      <c r="D31" s="499" t="s">
        <v>101</v>
      </c>
      <c r="E31" s="500" t="s">
        <v>16</v>
      </c>
      <c r="F31" s="501" t="s">
        <v>102</v>
      </c>
      <c r="G31" s="502"/>
      <c r="H31" s="638" t="s">
        <v>127</v>
      </c>
      <c r="I31" s="637" t="s">
        <v>126</v>
      </c>
      <c r="J31" s="633"/>
      <c r="K31" s="525"/>
      <c r="L31" s="503" t="s">
        <v>2</v>
      </c>
      <c r="N31" s="81"/>
      <c r="O31" s="82"/>
      <c r="P31" s="320"/>
    </row>
    <row r="32" spans="2:16" ht="15.75">
      <c r="B32" s="310"/>
      <c r="C32" s="83"/>
      <c r="D32" s="504" t="s">
        <v>4</v>
      </c>
      <c r="E32" s="505">
        <v>132</v>
      </c>
      <c r="F32" s="506">
        <v>31</v>
      </c>
      <c r="G32" s="507"/>
      <c r="H32" s="508">
        <f>F32*$J$17*$E$17/100</f>
        <v>16080.682079999997</v>
      </c>
      <c r="I32" s="509">
        <v>0</v>
      </c>
      <c r="J32" s="635" t="s">
        <v>137</v>
      </c>
      <c r="K32" s="511"/>
      <c r="L32" s="512">
        <f>SUM(H32:K32)</f>
        <v>16080.682079999997</v>
      </c>
      <c r="M32" s="80"/>
      <c r="N32" s="81"/>
      <c r="O32" s="82"/>
      <c r="P32" s="320"/>
    </row>
    <row r="33" spans="2:16" ht="15.75">
      <c r="B33" s="310"/>
      <c r="C33" s="83"/>
      <c r="D33" s="532" t="s">
        <v>5</v>
      </c>
      <c r="E33" s="79">
        <v>132</v>
      </c>
      <c r="F33" s="85">
        <v>110.3</v>
      </c>
      <c r="G33" s="80"/>
      <c r="H33" s="325">
        <f>F33*$J$17*$E$17/100</f>
        <v>57216.10430399999</v>
      </c>
      <c r="I33" s="549">
        <v>205</v>
      </c>
      <c r="J33" s="634" t="s">
        <v>137</v>
      </c>
      <c r="K33" s="317"/>
      <c r="L33" s="533">
        <f>SUM(H33:K33)</f>
        <v>57421.10430399999</v>
      </c>
      <c r="M33" s="80"/>
      <c r="N33" s="81"/>
      <c r="O33" s="82"/>
      <c r="P33" s="320"/>
    </row>
    <row r="34" spans="2:16" ht="15.75">
      <c r="B34" s="310"/>
      <c r="C34" s="83"/>
      <c r="D34" s="532" t="s">
        <v>6</v>
      </c>
      <c r="E34" s="79">
        <v>132</v>
      </c>
      <c r="F34" s="85">
        <v>185.6</v>
      </c>
      <c r="G34" s="80"/>
      <c r="H34" s="325">
        <f>F34*$J$17*$E$17/100</f>
        <v>96276.59980799998</v>
      </c>
      <c r="I34" s="549">
        <v>1</v>
      </c>
      <c r="J34" s="634" t="s">
        <v>137</v>
      </c>
      <c r="K34" s="317"/>
      <c r="L34" s="533">
        <f>SUM(H34:K34)</f>
        <v>96277.59980799998</v>
      </c>
      <c r="M34" s="80"/>
      <c r="N34" s="81"/>
      <c r="O34" s="82"/>
      <c r="P34" s="320"/>
    </row>
    <row r="35" spans="2:16" ht="15.75">
      <c r="B35" s="310"/>
      <c r="C35" s="83"/>
      <c r="D35" s="513" t="s">
        <v>7</v>
      </c>
      <c r="E35" s="514">
        <v>132</v>
      </c>
      <c r="F35" s="515">
        <v>7</v>
      </c>
      <c r="G35" s="516"/>
      <c r="H35" s="517">
        <f>F35*$J$17*$E$17/100</f>
        <v>3631.12176</v>
      </c>
      <c r="I35" s="518">
        <v>57</v>
      </c>
      <c r="J35" s="636" t="s">
        <v>137</v>
      </c>
      <c r="K35" s="520"/>
      <c r="L35" s="521">
        <f>SUM(H35:K35)</f>
        <v>3688.12176</v>
      </c>
      <c r="M35" s="80"/>
      <c r="N35" s="81"/>
      <c r="O35" s="82"/>
      <c r="P35" s="320"/>
    </row>
    <row r="36" spans="2:16" ht="15">
      <c r="B36" s="310"/>
      <c r="C36" s="83"/>
      <c r="D36" s="79"/>
      <c r="E36" s="79"/>
      <c r="F36" s="321"/>
      <c r="G36" s="80"/>
      <c r="I36" s="86"/>
      <c r="J36" s="317"/>
      <c r="K36" s="317"/>
      <c r="L36" s="522">
        <f>SUM(L32:L35)</f>
        <v>173467.50795199999</v>
      </c>
      <c r="M36" s="80"/>
      <c r="N36" s="81"/>
      <c r="O36" s="82"/>
      <c r="P36" s="320"/>
    </row>
    <row r="37" spans="2:16" ht="15">
      <c r="B37" s="310"/>
      <c r="C37" s="83"/>
      <c r="D37" s="79"/>
      <c r="E37" s="79"/>
      <c r="F37" s="321"/>
      <c r="G37" s="80"/>
      <c r="I37" s="86"/>
      <c r="J37" s="317"/>
      <c r="K37" s="317"/>
      <c r="L37" s="322"/>
      <c r="M37" s="80"/>
      <c r="N37" s="81"/>
      <c r="O37" s="82"/>
      <c r="P37" s="320"/>
    </row>
    <row r="38" spans="2:16" ht="15.75">
      <c r="B38" s="310"/>
      <c r="C38" s="83"/>
      <c r="D38" s="499" t="s">
        <v>103</v>
      </c>
      <c r="E38" s="500" t="s">
        <v>104</v>
      </c>
      <c r="F38" s="550" t="s">
        <v>114</v>
      </c>
      <c r="G38" s="551"/>
      <c r="H38" s="639" t="s">
        <v>128</v>
      </c>
      <c r="J38" s="523" t="s">
        <v>105</v>
      </c>
      <c r="K38" s="524"/>
      <c r="L38" s="525" t="s">
        <v>49</v>
      </c>
      <c r="M38" s="500" t="s">
        <v>16</v>
      </c>
      <c r="N38" s="526" t="s">
        <v>106</v>
      </c>
      <c r="O38" s="527"/>
      <c r="P38" s="320"/>
    </row>
    <row r="39" spans="2:16" ht="15">
      <c r="B39" s="310"/>
      <c r="C39" s="83"/>
      <c r="D39" s="504" t="s">
        <v>10</v>
      </c>
      <c r="E39" s="505" t="s">
        <v>115</v>
      </c>
      <c r="F39" s="552">
        <v>30</v>
      </c>
      <c r="G39" s="553"/>
      <c r="H39" s="512">
        <f>+F39*$J$18*$E$17</f>
        <v>5423.76</v>
      </c>
      <c r="J39" s="528" t="s">
        <v>116</v>
      </c>
      <c r="K39" s="510"/>
      <c r="L39" s="507" t="s">
        <v>117</v>
      </c>
      <c r="M39" s="529">
        <v>132</v>
      </c>
      <c r="N39" s="530">
        <f>M16*E17</f>
        <v>2412.792</v>
      </c>
      <c r="O39" s="531"/>
      <c r="P39" s="320"/>
    </row>
    <row r="40" spans="2:16" ht="15">
      <c r="B40" s="310"/>
      <c r="C40" s="83"/>
      <c r="D40" s="532" t="s">
        <v>13</v>
      </c>
      <c r="E40" s="79" t="s">
        <v>118</v>
      </c>
      <c r="F40" s="554">
        <v>88</v>
      </c>
      <c r="G40" s="555"/>
      <c r="H40" s="533">
        <f>+F40*$J$18*$E$17</f>
        <v>15909.696</v>
      </c>
      <c r="J40" s="534" t="s">
        <v>11</v>
      </c>
      <c r="K40" s="535"/>
      <c r="L40" s="80" t="s">
        <v>119</v>
      </c>
      <c r="M40" s="81">
        <v>33</v>
      </c>
      <c r="N40" s="536">
        <f>+M17*E17*2</f>
        <v>3620.3039999999996</v>
      </c>
      <c r="O40" s="537"/>
      <c r="P40" s="320"/>
    </row>
    <row r="41" spans="2:16" ht="15">
      <c r="B41" s="310"/>
      <c r="C41" s="83"/>
      <c r="D41" s="532" t="s">
        <v>11</v>
      </c>
      <c r="E41" s="79" t="s">
        <v>9</v>
      </c>
      <c r="F41" s="554">
        <v>7.5</v>
      </c>
      <c r="G41" s="555"/>
      <c r="H41" s="533">
        <f>+F41*$J$18*$E$17</f>
        <v>1355.94</v>
      </c>
      <c r="J41" s="534" t="s">
        <v>12</v>
      </c>
      <c r="K41" s="535"/>
      <c r="L41" s="80" t="s">
        <v>120</v>
      </c>
      <c r="M41" s="81">
        <v>33</v>
      </c>
      <c r="N41" s="536">
        <f>3*M17*E17</f>
        <v>5430.455999999999</v>
      </c>
      <c r="O41" s="537"/>
      <c r="P41" s="320"/>
    </row>
    <row r="42" spans="2:16" ht="15">
      <c r="B42" s="310"/>
      <c r="C42" s="83"/>
      <c r="D42" s="532" t="s">
        <v>12</v>
      </c>
      <c r="E42" s="79" t="s">
        <v>9</v>
      </c>
      <c r="F42" s="554">
        <v>15</v>
      </c>
      <c r="G42" s="555"/>
      <c r="H42" s="533">
        <f>+F42*$J$18*$E$17</f>
        <v>2711.88</v>
      </c>
      <c r="J42" s="534" t="s">
        <v>14</v>
      </c>
      <c r="K42" s="535"/>
      <c r="L42" s="80" t="s">
        <v>121</v>
      </c>
      <c r="M42" s="81">
        <v>13.2</v>
      </c>
      <c r="N42" s="536">
        <f>+M18*E17*6</f>
        <v>10860.911999999998</v>
      </c>
      <c r="O42" s="537"/>
      <c r="P42" s="320"/>
    </row>
    <row r="43" spans="2:16" ht="15">
      <c r="B43" s="310"/>
      <c r="C43" s="83"/>
      <c r="D43" s="513" t="s">
        <v>14</v>
      </c>
      <c r="E43" s="514" t="s">
        <v>122</v>
      </c>
      <c r="F43" s="556">
        <v>30</v>
      </c>
      <c r="G43" s="557"/>
      <c r="H43" s="533">
        <f>+F43*$J$18*$E$17</f>
        <v>5423.76</v>
      </c>
      <c r="J43" s="534" t="s">
        <v>10</v>
      </c>
      <c r="K43" s="535"/>
      <c r="L43" s="80" t="s">
        <v>123</v>
      </c>
      <c r="M43" s="81"/>
      <c r="N43" s="536">
        <f>+M17*E17+M18*E17*2</f>
        <v>5430.455999999999</v>
      </c>
      <c r="O43" s="537"/>
      <c r="P43" s="320"/>
    </row>
    <row r="44" spans="2:16" ht="15">
      <c r="B44" s="310"/>
      <c r="C44" s="83"/>
      <c r="D44" s="79"/>
      <c r="E44" s="79"/>
      <c r="F44" s="321"/>
      <c r="G44" s="80"/>
      <c r="H44" s="522">
        <f>SUM(H39:H43)</f>
        <v>30825.036</v>
      </c>
      <c r="J44" s="538" t="s">
        <v>13</v>
      </c>
      <c r="K44" s="519"/>
      <c r="L44" s="516" t="s">
        <v>124</v>
      </c>
      <c r="M44" s="539"/>
      <c r="N44" s="540">
        <f>(M16+M17+M18*5)*E17</f>
        <v>13273.704000000002</v>
      </c>
      <c r="O44" s="541"/>
      <c r="P44" s="320"/>
    </row>
    <row r="45" spans="2:16" ht="15">
      <c r="B45" s="310"/>
      <c r="C45" s="83"/>
      <c r="D45" s="79"/>
      <c r="E45" s="79"/>
      <c r="F45" s="321"/>
      <c r="G45" s="80"/>
      <c r="I45" s="86"/>
      <c r="J45" s="317"/>
      <c r="K45" s="317"/>
      <c r="L45" s="322"/>
      <c r="M45" s="80"/>
      <c r="N45" s="542">
        <f>SUM(N39:N44)</f>
        <v>41028.623999999996</v>
      </c>
      <c r="O45" s="527"/>
      <c r="P45" s="320"/>
    </row>
    <row r="46" spans="2:16" ht="12.75" customHeight="1" thickBot="1">
      <c r="B46" s="310"/>
      <c r="C46" s="83"/>
      <c r="D46" s="79"/>
      <c r="E46" s="79"/>
      <c r="F46" s="85"/>
      <c r="G46" s="80"/>
      <c r="H46" s="86"/>
      <c r="I46" s="79"/>
      <c r="J46" s="79"/>
      <c r="K46" s="79"/>
      <c r="L46" s="80"/>
      <c r="M46" s="80"/>
      <c r="N46" s="81"/>
      <c r="O46" s="82"/>
      <c r="P46" s="320"/>
    </row>
    <row r="47" spans="2:16" ht="20.25" thickBot="1" thickTop="1">
      <c r="B47" s="310"/>
      <c r="C47" s="83"/>
      <c r="D47" s="79"/>
      <c r="E47" s="79"/>
      <c r="F47" s="85"/>
      <c r="G47" s="80"/>
      <c r="H47" s="543" t="s">
        <v>107</v>
      </c>
      <c r="I47" s="544">
        <f>+H44+N45+L36</f>
        <v>245321.167952</v>
      </c>
      <c r="J47" s="79"/>
      <c r="K47" s="79"/>
      <c r="L47" s="80"/>
      <c r="M47" s="80"/>
      <c r="N47" s="81"/>
      <c r="O47" s="82"/>
      <c r="P47" s="320"/>
    </row>
    <row r="48" spans="2:16" ht="15.75" thickTop="1">
      <c r="B48" s="310"/>
      <c r="C48" s="83"/>
      <c r="D48" s="79"/>
      <c r="E48" s="79"/>
      <c r="F48" s="85"/>
      <c r="G48" s="80"/>
      <c r="H48" s="86"/>
      <c r="I48" s="79"/>
      <c r="J48" s="79"/>
      <c r="K48" s="79"/>
      <c r="L48" s="80"/>
      <c r="M48" s="80"/>
      <c r="N48" s="81"/>
      <c r="O48" s="82"/>
      <c r="P48" s="320"/>
    </row>
    <row r="49" spans="2:16" ht="15.75">
      <c r="B49" s="310"/>
      <c r="C49" s="545" t="s">
        <v>108</v>
      </c>
      <c r="D49" s="79"/>
      <c r="E49" s="79"/>
      <c r="F49" s="85"/>
      <c r="G49" s="80"/>
      <c r="H49" s="86"/>
      <c r="I49" s="79"/>
      <c r="J49" s="79"/>
      <c r="K49" s="79"/>
      <c r="L49" s="80"/>
      <c r="M49" s="80"/>
      <c r="N49" s="81"/>
      <c r="O49" s="82"/>
      <c r="P49" s="320"/>
    </row>
    <row r="50" spans="2:16" ht="15.75" thickBot="1">
      <c r="B50" s="310"/>
      <c r="C50" s="83"/>
      <c r="D50" s="79"/>
      <c r="E50" s="79"/>
      <c r="F50" s="85"/>
      <c r="G50" s="80"/>
      <c r="H50" s="86"/>
      <c r="I50" s="79"/>
      <c r="J50" s="79"/>
      <c r="K50" s="79"/>
      <c r="L50" s="80"/>
      <c r="M50" s="80"/>
      <c r="N50" s="81"/>
      <c r="O50" s="82"/>
      <c r="P50" s="320"/>
    </row>
    <row r="51" spans="2:16" ht="20.25" thickBot="1" thickTop="1">
      <c r="B51" s="310"/>
      <c r="C51" s="83"/>
      <c r="D51" s="265" t="s">
        <v>109</v>
      </c>
      <c r="F51" s="323"/>
      <c r="G51" s="76"/>
      <c r="H51" s="171" t="s">
        <v>110</v>
      </c>
      <c r="I51" s="546">
        <f>E18*I47</f>
        <v>6133.0291988</v>
      </c>
      <c r="J51" s="72"/>
      <c r="K51" s="72"/>
      <c r="O51" s="72"/>
      <c r="P51" s="320"/>
    </row>
    <row r="52" spans="2:16" ht="21.75" thickTop="1">
      <c r="B52" s="310"/>
      <c r="C52" s="83"/>
      <c r="F52" s="324"/>
      <c r="G52" s="47"/>
      <c r="I52" s="72"/>
      <c r="J52" s="72"/>
      <c r="K52" s="72"/>
      <c r="O52" s="72"/>
      <c r="P52" s="320"/>
    </row>
    <row r="53" spans="2:16" ht="15">
      <c r="B53" s="310"/>
      <c r="C53" s="71" t="s">
        <v>111</v>
      </c>
      <c r="E53" s="72"/>
      <c r="F53" s="72"/>
      <c r="G53" s="72"/>
      <c r="H53" s="72"/>
      <c r="I53" s="80"/>
      <c r="J53" s="80"/>
      <c r="K53" s="80"/>
      <c r="L53" s="80"/>
      <c r="M53" s="80"/>
      <c r="N53" s="81"/>
      <c r="O53" s="82"/>
      <c r="P53" s="320"/>
    </row>
    <row r="54" spans="2:16" ht="15">
      <c r="B54" s="310"/>
      <c r="C54" s="83"/>
      <c r="D54" s="78" t="s">
        <v>112</v>
      </c>
      <c r="E54" s="325">
        <f>10*I27*I51/I47</f>
        <v>16014.902875000002</v>
      </c>
      <c r="F54" s="547"/>
      <c r="H54" s="72"/>
      <c r="I54" s="80"/>
      <c r="J54" s="80"/>
      <c r="K54" s="80"/>
      <c r="L54" s="80"/>
      <c r="M54" s="80"/>
      <c r="N54" s="81"/>
      <c r="O54" s="82"/>
      <c r="P54" s="320"/>
    </row>
    <row r="55" spans="2:16" ht="15">
      <c r="B55" s="310"/>
      <c r="C55" s="83"/>
      <c r="D55" s="72"/>
      <c r="E55" s="72"/>
      <c r="J55" s="80"/>
      <c r="K55" s="80"/>
      <c r="L55" s="80"/>
      <c r="M55" s="80"/>
      <c r="N55" s="81"/>
      <c r="O55" s="82"/>
      <c r="P55" s="320"/>
    </row>
    <row r="56" spans="2:16" ht="15">
      <c r="B56" s="310"/>
      <c r="C56" s="83"/>
      <c r="D56" s="72" t="s">
        <v>125</v>
      </c>
      <c r="E56" s="72"/>
      <c r="F56" s="72"/>
      <c r="G56" s="72"/>
      <c r="H56" s="72"/>
      <c r="M56" s="80"/>
      <c r="N56" s="81"/>
      <c r="O56" s="82"/>
      <c r="P56" s="320"/>
    </row>
    <row r="57" spans="2:16" ht="15.75" thickBot="1">
      <c r="B57" s="310"/>
      <c r="C57" s="83"/>
      <c r="D57" s="72"/>
      <c r="E57" s="72"/>
      <c r="F57" s="72"/>
      <c r="G57" s="72"/>
      <c r="H57" s="72"/>
      <c r="M57" s="80"/>
      <c r="N57" s="81"/>
      <c r="O57" s="82"/>
      <c r="P57" s="320"/>
    </row>
    <row r="58" spans="2:16" ht="20.25" thickBot="1" thickTop="1">
      <c r="B58" s="310"/>
      <c r="C58" s="83"/>
      <c r="D58" s="79"/>
      <c r="E58" s="79"/>
      <c r="F58" s="85"/>
      <c r="G58" s="80"/>
      <c r="H58" s="266" t="s">
        <v>113</v>
      </c>
      <c r="I58" s="548">
        <f>IF($E$54&gt;3*I51,3*I51,$E$54)</f>
        <v>16014.902875000002</v>
      </c>
      <c r="J58" s="80"/>
      <c r="K58" s="80"/>
      <c r="L58" s="80"/>
      <c r="M58" s="80"/>
      <c r="N58" s="81"/>
      <c r="O58" s="82"/>
      <c r="P58" s="320"/>
    </row>
    <row r="59" spans="2:16" ht="16.5" thickBot="1" thickTop="1">
      <c r="B59" s="326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8"/>
    </row>
    <row r="60" spans="2:16" ht="13.5" thickTop="1">
      <c r="B60" s="1"/>
      <c r="P60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9" ht="12" customHeight="1"/>
    <row r="105" ht="12.75">
      <c r="B105" s="1"/>
    </row>
    <row r="111" ht="12.75">
      <c r="A11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T57"/>
  <sheetViews>
    <sheetView tabSelected="1" zoomScale="75" zoomScaleNormal="75" workbookViewId="0" topLeftCell="A1">
      <selection activeCell="D5" sqref="D5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67"/>
    </row>
    <row r="2" spans="2:20" s="687" customFormat="1" ht="30.75">
      <c r="B2" s="126" t="str">
        <f>'TOT-0111'!B2</f>
        <v>ANEXO I al Memoranum D.T.E.E.  N°   482  /2012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</row>
    <row r="3" spans="1:2" ht="12.75" customHeight="1">
      <c r="A3" s="689" t="s">
        <v>17</v>
      </c>
      <c r="B3" s="690"/>
    </row>
    <row r="4" spans="1:4" ht="12.75" customHeight="1">
      <c r="A4" s="689" t="s">
        <v>18</v>
      </c>
      <c r="B4" s="690"/>
      <c r="D4" s="691"/>
    </row>
    <row r="5" spans="1:4" ht="21.75" customHeight="1">
      <c r="A5" s="692"/>
      <c r="D5" s="691"/>
    </row>
    <row r="6" spans="1:20" ht="26.25">
      <c r="A6" s="692"/>
      <c r="B6" s="693" t="s">
        <v>162</v>
      </c>
      <c r="C6" s="89"/>
      <c r="D6" s="691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4" ht="18.75" customHeight="1">
      <c r="A7" s="692"/>
      <c r="D7" s="691"/>
    </row>
    <row r="8" spans="1:20" ht="26.25">
      <c r="A8" s="692"/>
      <c r="B8" s="694" t="s">
        <v>1</v>
      </c>
      <c r="C8" s="89"/>
      <c r="D8" s="691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4" ht="18.75" customHeight="1">
      <c r="A9" s="692"/>
      <c r="D9" s="691"/>
    </row>
    <row r="10" spans="1:20" ht="26.25">
      <c r="A10" s="692"/>
      <c r="B10" s="694" t="s">
        <v>163</v>
      </c>
      <c r="C10" s="89"/>
      <c r="D10" s="691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ht="18.75" customHeight="1" thickBot="1"/>
    <row r="12" spans="2:20" ht="18.75" customHeight="1" thickTop="1">
      <c r="B12" s="695"/>
      <c r="C12" s="696"/>
      <c r="D12" s="697"/>
      <c r="E12" s="697"/>
      <c r="F12" s="697"/>
      <c r="G12" s="696"/>
      <c r="H12" s="696"/>
      <c r="I12" s="696"/>
      <c r="J12" s="696"/>
      <c r="K12" s="696"/>
      <c r="L12" s="696"/>
      <c r="M12" s="696"/>
      <c r="N12" s="696"/>
      <c r="O12" s="696"/>
      <c r="P12" s="696"/>
      <c r="Q12" s="696"/>
      <c r="R12" s="696"/>
      <c r="S12" s="696"/>
      <c r="T12" s="698"/>
    </row>
    <row r="13" spans="2:20" ht="19.5">
      <c r="B13" s="267" t="s">
        <v>164</v>
      </c>
      <c r="C13" s="89"/>
      <c r="D13" s="699"/>
      <c r="E13" s="699"/>
      <c r="F13" s="699"/>
      <c r="G13" s="700"/>
      <c r="H13" s="700"/>
      <c r="I13" s="700"/>
      <c r="J13" s="700"/>
      <c r="K13" s="700"/>
      <c r="L13" s="700"/>
      <c r="M13" s="700"/>
      <c r="N13" s="700"/>
      <c r="O13" s="700"/>
      <c r="P13" s="700"/>
      <c r="Q13" s="700"/>
      <c r="R13" s="700"/>
      <c r="S13" s="700"/>
      <c r="T13" s="701"/>
    </row>
    <row r="14" spans="2:20" ht="18.75" customHeight="1" thickBot="1">
      <c r="B14" s="2"/>
      <c r="C14" s="702"/>
      <c r="D14" s="703"/>
      <c r="E14" s="703"/>
      <c r="F14" s="70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12" customFormat="1" ht="34.5" customHeight="1" thickBot="1" thickTop="1">
      <c r="A15" s="690"/>
      <c r="B15" s="705"/>
      <c r="C15" s="706"/>
      <c r="D15" s="707" t="s">
        <v>20</v>
      </c>
      <c r="E15" s="708" t="s">
        <v>46</v>
      </c>
      <c r="F15" s="709" t="s">
        <v>47</v>
      </c>
      <c r="G15" s="710">
        <v>40179</v>
      </c>
      <c r="H15" s="710">
        <v>40210</v>
      </c>
      <c r="I15" s="710">
        <v>40238</v>
      </c>
      <c r="J15" s="710">
        <v>40269</v>
      </c>
      <c r="K15" s="710">
        <v>40299</v>
      </c>
      <c r="L15" s="710">
        <v>40330</v>
      </c>
      <c r="M15" s="710">
        <v>40360</v>
      </c>
      <c r="N15" s="710">
        <v>40391</v>
      </c>
      <c r="O15" s="710">
        <v>40422</v>
      </c>
      <c r="P15" s="710">
        <v>40452</v>
      </c>
      <c r="Q15" s="710">
        <v>40483</v>
      </c>
      <c r="R15" s="710">
        <v>40513</v>
      </c>
      <c r="S15" s="710">
        <v>40544</v>
      </c>
      <c r="T15" s="711"/>
    </row>
    <row r="16" spans="2:20" ht="15" customHeight="1" thickTop="1">
      <c r="B16" s="2"/>
      <c r="C16" s="713"/>
      <c r="D16" s="714"/>
      <c r="E16" s="714"/>
      <c r="F16" s="715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7"/>
      <c r="T16" s="3"/>
    </row>
    <row r="17" spans="2:20" ht="15" customHeight="1" hidden="1">
      <c r="B17" s="2"/>
      <c r="C17" s="718">
        <f>IF('[1]Tasa de Falla'!C17=0,"",'[1]Tasa de Falla'!C17)</f>
        <v>1</v>
      </c>
      <c r="D17" s="719" t="str">
        <f>IF('[1]Tasa de Falla'!D17=0,"",'[1]Tasa de Falla'!D17)</f>
        <v>AMEGHINO - COMODORO RIVADAVIA</v>
      </c>
      <c r="E17" s="719">
        <f>IF('[1]Tasa de Falla'!E17=0,"",'[1]Tasa de Falla'!E17)</f>
        <v>132</v>
      </c>
      <c r="F17" s="720">
        <f>IF('[1]Tasa de Falla'!F17=0,"",'[1]Tasa de Falla'!F17)</f>
        <v>305</v>
      </c>
      <c r="G17" s="721" t="str">
        <f>IF('[1]Tasa de Falla'!DC17=0,"",'[1]Tasa de Falla'!DC17)</f>
        <v>XXXX</v>
      </c>
      <c r="H17" s="721" t="str">
        <f>IF('[1]Tasa de Falla'!DD17=0,"",'[1]Tasa de Falla'!DD17)</f>
        <v>XXXX</v>
      </c>
      <c r="I17" s="721" t="str">
        <f>IF('[1]Tasa de Falla'!DE17=0,"",'[1]Tasa de Falla'!DE17)</f>
        <v>XXXX</v>
      </c>
      <c r="J17" s="721" t="str">
        <f>IF('[1]Tasa de Falla'!DF17=0,"",'[1]Tasa de Falla'!DF17)</f>
        <v>XXXX</v>
      </c>
      <c r="K17" s="721" t="str">
        <f>IF('[1]Tasa de Falla'!DG17=0,"",'[1]Tasa de Falla'!DG17)</f>
        <v>XXXX</v>
      </c>
      <c r="L17" s="721" t="str">
        <f>IF('[1]Tasa de Falla'!DH17=0,"",'[1]Tasa de Falla'!DH17)</f>
        <v>XXXX</v>
      </c>
      <c r="M17" s="721" t="str">
        <f>IF('[1]Tasa de Falla'!DI17=0,"",'[1]Tasa de Falla'!DI17)</f>
        <v>XXXX</v>
      </c>
      <c r="N17" s="721" t="str">
        <f>IF('[1]Tasa de Falla'!DJ17=0,"",'[1]Tasa de Falla'!DJ17)</f>
        <v>XXXX</v>
      </c>
      <c r="O17" s="721" t="str">
        <f>IF('[1]Tasa de Falla'!DK17=0,"",'[1]Tasa de Falla'!DK17)</f>
        <v>XXXX</v>
      </c>
      <c r="P17" s="721" t="str">
        <f>IF('[1]Tasa de Falla'!DL17=0,"",'[1]Tasa de Falla'!DL17)</f>
        <v>XXXX</v>
      </c>
      <c r="Q17" s="721" t="str">
        <f>IF('[1]Tasa de Falla'!DM17=0,"",'[1]Tasa de Falla'!DM17)</f>
        <v>XXXX</v>
      </c>
      <c r="R17" s="721" t="str">
        <f>IF('[1]Tasa de Falla'!DN17=0,"",'[1]Tasa de Falla'!DN17)</f>
        <v>XXXX</v>
      </c>
      <c r="S17" s="722"/>
      <c r="T17" s="3"/>
    </row>
    <row r="18" spans="2:20" ht="18" customHeight="1">
      <c r="B18" s="2"/>
      <c r="C18" s="723">
        <f>IF('[1]Tasa de Falla'!C18=0,"",'[1]Tasa de Falla'!C18)</f>
        <v>2</v>
      </c>
      <c r="D18" s="724" t="str">
        <f>IF('[1]Tasa de Falla'!D18=0,"",'[1]Tasa de Falla'!D18)</f>
        <v>AMEGHINO - ESTACION PATAGONIA</v>
      </c>
      <c r="E18" s="724">
        <f>IF('[1]Tasa de Falla'!E18=0,"",'[1]Tasa de Falla'!E18)</f>
        <v>132</v>
      </c>
      <c r="F18" s="725">
        <f>IF('[1]Tasa de Falla'!F18=0,"",'[1]Tasa de Falla'!F18)</f>
        <v>299.6</v>
      </c>
      <c r="G18" s="721">
        <f>IF('[1]Tasa de Falla'!GF18=0,"",'[1]Tasa de Falla'!GF18)</f>
      </c>
      <c r="H18" s="721">
        <f>IF('[1]Tasa de Falla'!GG18=0,"",'[1]Tasa de Falla'!GG18)</f>
      </c>
      <c r="I18" s="721">
        <f>IF('[1]Tasa de Falla'!GH18=0,"",'[1]Tasa de Falla'!GH18)</f>
      </c>
      <c r="J18" s="721">
        <f>IF('[1]Tasa de Falla'!GI18=0,"",'[1]Tasa de Falla'!GI18)</f>
      </c>
      <c r="K18" s="721">
        <f>IF('[1]Tasa de Falla'!GJ18=0,"",'[1]Tasa de Falla'!GJ18)</f>
      </c>
      <c r="L18" s="721">
        <f>IF('[1]Tasa de Falla'!GK18=0,"",'[1]Tasa de Falla'!GK18)</f>
      </c>
      <c r="M18" s="721">
        <f>IF('[1]Tasa de Falla'!GL18=0,"",'[1]Tasa de Falla'!GL18)</f>
      </c>
      <c r="N18" s="721">
        <f>IF('[1]Tasa de Falla'!GM18=0,"",'[1]Tasa de Falla'!GM18)</f>
        <v>3</v>
      </c>
      <c r="O18" s="721">
        <f>IF('[1]Tasa de Falla'!GN18=0,"",'[1]Tasa de Falla'!GN18)</f>
      </c>
      <c r="P18" s="721">
        <f>IF('[1]Tasa de Falla'!GO18=0,"",'[1]Tasa de Falla'!GO18)</f>
      </c>
      <c r="Q18" s="721">
        <f>IF('[1]Tasa de Falla'!GP18=0,"",'[1]Tasa de Falla'!GP18)</f>
      </c>
      <c r="R18" s="721">
        <f>IF('[1]Tasa de Falla'!GQ18=0,"",'[1]Tasa de Falla'!GQ18)</f>
        <v>1</v>
      </c>
      <c r="S18" s="722"/>
      <c r="T18" s="3"/>
    </row>
    <row r="19" spans="2:20" ht="15" customHeight="1">
      <c r="B19" s="2"/>
      <c r="C19" s="726">
        <f>IF('[1]Tasa de Falla'!C19=0,"",'[1]Tasa de Falla'!C19)</f>
        <v>3</v>
      </c>
      <c r="D19" s="727" t="str">
        <f>IF('[1]Tasa de Falla'!D19=0,"",'[1]Tasa de Falla'!D19)</f>
        <v>AMEGHINO - TRELEW</v>
      </c>
      <c r="E19" s="727">
        <f>IF('[1]Tasa de Falla'!E19=0,"",'[1]Tasa de Falla'!E19)</f>
        <v>132</v>
      </c>
      <c r="F19" s="728">
        <f>IF('[1]Tasa de Falla'!F19=0,"",'[1]Tasa de Falla'!F19)</f>
        <v>112</v>
      </c>
      <c r="G19" s="721">
        <f>IF('[1]Tasa de Falla'!GF19=0,"",'[1]Tasa de Falla'!GF19)</f>
      </c>
      <c r="H19" s="721">
        <f>IF('[1]Tasa de Falla'!GG19=0,"",'[1]Tasa de Falla'!GG19)</f>
      </c>
      <c r="I19" s="721">
        <f>IF('[1]Tasa de Falla'!GH19=0,"",'[1]Tasa de Falla'!GH19)</f>
      </c>
      <c r="J19" s="721">
        <f>IF('[1]Tasa de Falla'!GI19=0,"",'[1]Tasa de Falla'!GI19)</f>
      </c>
      <c r="K19" s="721">
        <f>IF('[1]Tasa de Falla'!GJ19=0,"",'[1]Tasa de Falla'!GJ19)</f>
      </c>
      <c r="L19" s="721">
        <f>IF('[1]Tasa de Falla'!GK19=0,"",'[1]Tasa de Falla'!GK19)</f>
      </c>
      <c r="M19" s="721">
        <f>IF('[1]Tasa de Falla'!GL19=0,"",'[1]Tasa de Falla'!GL19)</f>
      </c>
      <c r="N19" s="721">
        <f>IF('[1]Tasa de Falla'!GM19=0,"",'[1]Tasa de Falla'!GM19)</f>
      </c>
      <c r="O19" s="721">
        <f>IF('[1]Tasa de Falla'!GN19=0,"",'[1]Tasa de Falla'!GN19)</f>
      </c>
      <c r="P19" s="721">
        <f>IF('[1]Tasa de Falla'!GO19=0,"",'[1]Tasa de Falla'!GO19)</f>
      </c>
      <c r="Q19" s="721">
        <f>IF('[1]Tasa de Falla'!GP19=0,"",'[1]Tasa de Falla'!GP19)</f>
      </c>
      <c r="R19" s="721">
        <f>IF('[1]Tasa de Falla'!GQ19=0,"",'[1]Tasa de Falla'!GQ19)</f>
      </c>
      <c r="S19" s="722"/>
      <c r="T19" s="3"/>
    </row>
    <row r="20" spans="2:20" ht="15" customHeight="1">
      <c r="B20" s="2"/>
      <c r="C20" s="723">
        <f>IF('[1]Tasa de Falla'!C20=0,"",'[1]Tasa de Falla'!C20)</f>
        <v>4</v>
      </c>
      <c r="D20" s="724" t="str">
        <f>IF('[1]Tasa de Falla'!D20=0,"",'[1]Tasa de Falla'!D20)</f>
        <v>FUTALEUFU - ESQUEL</v>
      </c>
      <c r="E20" s="724">
        <f>IF('[1]Tasa de Falla'!E20=0,"",'[1]Tasa de Falla'!E20)</f>
        <v>132</v>
      </c>
      <c r="F20" s="725">
        <f>IF('[1]Tasa de Falla'!F20=0,"",'[1]Tasa de Falla'!F20)</f>
        <v>28.41</v>
      </c>
      <c r="G20" s="721">
        <f>IF('[1]Tasa de Falla'!GF20=0,"",'[1]Tasa de Falla'!GF20)</f>
      </c>
      <c r="H20" s="721">
        <f>IF('[1]Tasa de Falla'!GG20=0,"",'[1]Tasa de Falla'!GG20)</f>
      </c>
      <c r="I20" s="721">
        <f>IF('[1]Tasa de Falla'!GH20=0,"",'[1]Tasa de Falla'!GH20)</f>
      </c>
      <c r="J20" s="721">
        <f>IF('[1]Tasa de Falla'!GI20=0,"",'[1]Tasa de Falla'!GI20)</f>
      </c>
      <c r="K20" s="721">
        <f>IF('[1]Tasa de Falla'!GJ20=0,"",'[1]Tasa de Falla'!GJ20)</f>
      </c>
      <c r="L20" s="721">
        <f>IF('[1]Tasa de Falla'!GK20=0,"",'[1]Tasa de Falla'!GK20)</f>
      </c>
      <c r="M20" s="721">
        <f>IF('[1]Tasa de Falla'!GL20=0,"",'[1]Tasa de Falla'!GL20)</f>
      </c>
      <c r="N20" s="721">
        <f>IF('[1]Tasa de Falla'!GM20=0,"",'[1]Tasa de Falla'!GM20)</f>
      </c>
      <c r="O20" s="721">
        <f>IF('[1]Tasa de Falla'!GN20=0,"",'[1]Tasa de Falla'!GN20)</f>
      </c>
      <c r="P20" s="721">
        <f>IF('[1]Tasa de Falla'!GO20=0,"",'[1]Tasa de Falla'!GO20)</f>
      </c>
      <c r="Q20" s="721">
        <f>IF('[1]Tasa de Falla'!GP20=0,"",'[1]Tasa de Falla'!GP20)</f>
      </c>
      <c r="R20" s="721">
        <f>IF('[1]Tasa de Falla'!GQ20=0,"",'[1]Tasa de Falla'!GQ20)</f>
      </c>
      <c r="S20" s="722"/>
      <c r="T20" s="3"/>
    </row>
    <row r="21" spans="2:20" ht="15" customHeight="1">
      <c r="B21" s="2"/>
      <c r="C21" s="726">
        <f>IF('[1]Tasa de Falla'!C21=0,"",'[1]Tasa de Falla'!C21)</f>
        <v>5</v>
      </c>
      <c r="D21" s="727" t="str">
        <f>IF('[1]Tasa de Falla'!D21=0,"",'[1]Tasa de Falla'!D21)</f>
        <v>BARRIO SAN MARTIN - ESTACION PATAGONIA</v>
      </c>
      <c r="E21" s="727">
        <f>IF('[1]Tasa de Falla'!E21=0,"",'[1]Tasa de Falla'!E21)</f>
        <v>132</v>
      </c>
      <c r="F21" s="728">
        <f>IF('[1]Tasa de Falla'!F21=0,"",'[1]Tasa de Falla'!F21)</f>
        <v>9.43</v>
      </c>
      <c r="G21" s="721">
        <f>IF('[1]Tasa de Falla'!GF21=0,"",'[1]Tasa de Falla'!GF21)</f>
      </c>
      <c r="H21" s="721">
        <f>IF('[1]Tasa de Falla'!GG21=0,"",'[1]Tasa de Falla'!GG21)</f>
      </c>
      <c r="I21" s="721">
        <f>IF('[1]Tasa de Falla'!GH21=0,"",'[1]Tasa de Falla'!GH21)</f>
      </c>
      <c r="J21" s="721">
        <f>IF('[1]Tasa de Falla'!GI21=0,"",'[1]Tasa de Falla'!GI21)</f>
      </c>
      <c r="K21" s="721">
        <f>IF('[1]Tasa de Falla'!GJ21=0,"",'[1]Tasa de Falla'!GJ21)</f>
      </c>
      <c r="L21" s="721">
        <f>IF('[1]Tasa de Falla'!GK21=0,"",'[1]Tasa de Falla'!GK21)</f>
      </c>
      <c r="M21" s="721">
        <f>IF('[1]Tasa de Falla'!GL21=0,"",'[1]Tasa de Falla'!GL21)</f>
      </c>
      <c r="N21" s="721">
        <f>IF('[1]Tasa de Falla'!GM21=0,"",'[1]Tasa de Falla'!GM21)</f>
      </c>
      <c r="O21" s="721">
        <f>IF('[1]Tasa de Falla'!GN21=0,"",'[1]Tasa de Falla'!GN21)</f>
      </c>
      <c r="P21" s="721">
        <f>IF('[1]Tasa de Falla'!GO21=0,"",'[1]Tasa de Falla'!GO21)</f>
      </c>
      <c r="Q21" s="721">
        <f>IF('[1]Tasa de Falla'!GP21=0,"",'[1]Tasa de Falla'!GP21)</f>
      </c>
      <c r="R21" s="721">
        <f>IF('[1]Tasa de Falla'!GQ21=0,"",'[1]Tasa de Falla'!GQ21)</f>
      </c>
      <c r="S21" s="722"/>
      <c r="T21" s="3"/>
    </row>
    <row r="22" spans="2:20" ht="15" customHeight="1">
      <c r="B22" s="2"/>
      <c r="C22" s="723">
        <f>IF('[1]Tasa de Falla'!C22=0,"",'[1]Tasa de Falla'!C22)</f>
        <v>6</v>
      </c>
      <c r="D22" s="724" t="str">
        <f>IF('[1]Tasa de Falla'!D22=0,"",'[1]Tasa de Falla'!D22)</f>
        <v>COMODORO RIVADAVIA - E.T. A1</v>
      </c>
      <c r="E22" s="724">
        <f>IF('[1]Tasa de Falla'!E22=0,"",'[1]Tasa de Falla'!E22)</f>
        <v>132</v>
      </c>
      <c r="F22" s="725">
        <f>IF('[1]Tasa de Falla'!F22=0,"",'[1]Tasa de Falla'!F22)</f>
        <v>0.5</v>
      </c>
      <c r="G22" s="721">
        <f>IF('[1]Tasa de Falla'!GF22=0,"",'[1]Tasa de Falla'!GF22)</f>
      </c>
      <c r="H22" s="721">
        <f>IF('[1]Tasa de Falla'!GG22=0,"",'[1]Tasa de Falla'!GG22)</f>
      </c>
      <c r="I22" s="721">
        <f>IF('[1]Tasa de Falla'!GH22=0,"",'[1]Tasa de Falla'!GH22)</f>
      </c>
      <c r="J22" s="721">
        <f>IF('[1]Tasa de Falla'!GI22=0,"",'[1]Tasa de Falla'!GI22)</f>
      </c>
      <c r="K22" s="721">
        <f>IF('[1]Tasa de Falla'!GJ22=0,"",'[1]Tasa de Falla'!GJ22)</f>
      </c>
      <c r="L22" s="721">
        <f>IF('[1]Tasa de Falla'!GK22=0,"",'[1]Tasa de Falla'!GK22)</f>
      </c>
      <c r="M22" s="721">
        <f>IF('[1]Tasa de Falla'!GL22=0,"",'[1]Tasa de Falla'!GL22)</f>
      </c>
      <c r="N22" s="721">
        <f>IF('[1]Tasa de Falla'!GM22=0,"",'[1]Tasa de Falla'!GM22)</f>
      </c>
      <c r="O22" s="721">
        <f>IF('[1]Tasa de Falla'!GN22=0,"",'[1]Tasa de Falla'!GN22)</f>
      </c>
      <c r="P22" s="721">
        <f>IF('[1]Tasa de Falla'!GO22=0,"",'[1]Tasa de Falla'!GO22)</f>
      </c>
      <c r="Q22" s="721">
        <f>IF('[1]Tasa de Falla'!GP22=0,"",'[1]Tasa de Falla'!GP22)</f>
      </c>
      <c r="R22" s="721">
        <f>IF('[1]Tasa de Falla'!GQ22=0,"",'[1]Tasa de Falla'!GQ22)</f>
      </c>
      <c r="S22" s="722"/>
      <c r="T22" s="3"/>
    </row>
    <row r="23" spans="2:20" ht="15" customHeight="1">
      <c r="B23" s="2"/>
      <c r="C23" s="726">
        <f>IF('[1]Tasa de Falla'!C23=0,"",'[1]Tasa de Falla'!C23)</f>
        <v>7</v>
      </c>
      <c r="D23" s="727" t="str">
        <f>IF('[1]Tasa de Falla'!D23=0,"",'[1]Tasa de Falla'!D23)</f>
        <v>COMODORO RIVADAVIA (A1) - ESTACION PATAGONIA</v>
      </c>
      <c r="E23" s="727">
        <f>IF('[1]Tasa de Falla'!E23=0,"",'[1]Tasa de Falla'!E23)</f>
        <v>132</v>
      </c>
      <c r="F23" s="728">
        <f>IF('[1]Tasa de Falla'!F23=0,"",'[1]Tasa de Falla'!F23)</f>
        <v>6.9</v>
      </c>
      <c r="G23" s="721">
        <f>IF('[1]Tasa de Falla'!GF23=0,"",'[1]Tasa de Falla'!GF23)</f>
      </c>
      <c r="H23" s="721">
        <f>IF('[1]Tasa de Falla'!GG23=0,"",'[1]Tasa de Falla'!GG23)</f>
      </c>
      <c r="I23" s="721">
        <f>IF('[1]Tasa de Falla'!GH23=0,"",'[1]Tasa de Falla'!GH23)</f>
      </c>
      <c r="J23" s="721">
        <f>IF('[1]Tasa de Falla'!GI23=0,"",'[1]Tasa de Falla'!GI23)</f>
      </c>
      <c r="K23" s="721">
        <f>IF('[1]Tasa de Falla'!GJ23=0,"",'[1]Tasa de Falla'!GJ23)</f>
      </c>
      <c r="L23" s="721">
        <f>IF('[1]Tasa de Falla'!GK23=0,"",'[1]Tasa de Falla'!GK23)</f>
      </c>
      <c r="M23" s="721">
        <f>IF('[1]Tasa de Falla'!GL23=0,"",'[1]Tasa de Falla'!GL23)</f>
      </c>
      <c r="N23" s="721">
        <f>IF('[1]Tasa de Falla'!GM23=0,"",'[1]Tasa de Falla'!GM23)</f>
      </c>
      <c r="O23" s="721">
        <f>IF('[1]Tasa de Falla'!GN23=0,"",'[1]Tasa de Falla'!GN23)</f>
      </c>
      <c r="P23" s="721">
        <f>IF('[1]Tasa de Falla'!GO23=0,"",'[1]Tasa de Falla'!GO23)</f>
      </c>
      <c r="Q23" s="721">
        <f>IF('[1]Tasa de Falla'!GP23=0,"",'[1]Tasa de Falla'!GP23)</f>
      </c>
      <c r="R23" s="721">
        <f>IF('[1]Tasa de Falla'!GQ23=0,"",'[1]Tasa de Falla'!GQ23)</f>
      </c>
      <c r="S23" s="722"/>
      <c r="T23" s="3"/>
    </row>
    <row r="24" spans="2:20" ht="15" customHeight="1">
      <c r="B24" s="2"/>
      <c r="C24" s="723">
        <f>IF('[1]Tasa de Falla'!C24=0,"",'[1]Tasa de Falla'!C24)</f>
        <v>8</v>
      </c>
      <c r="D24" s="724" t="str">
        <f>IF('[1]Tasa de Falla'!D24=0,"",'[1]Tasa de Falla'!D24)</f>
        <v>COMODORO RIVADAVIA - PICO TRUNCADO</v>
      </c>
      <c r="E24" s="724">
        <f>IF('[1]Tasa de Falla'!E24=0,"",'[1]Tasa de Falla'!E24)</f>
        <v>132</v>
      </c>
      <c r="F24" s="725">
        <f>IF('[1]Tasa de Falla'!F24=0,"",'[1]Tasa de Falla'!F24)</f>
        <v>138</v>
      </c>
      <c r="G24" s="721">
        <f>IF('[1]Tasa de Falla'!GF24=0,"",'[1]Tasa de Falla'!GF24)</f>
        <v>1</v>
      </c>
      <c r="H24" s="721">
        <f>IF('[1]Tasa de Falla'!GG24=0,"",'[1]Tasa de Falla'!GG24)</f>
      </c>
      <c r="I24" s="721">
        <f>IF('[1]Tasa de Falla'!GH24=0,"",'[1]Tasa de Falla'!GH24)</f>
      </c>
      <c r="J24" s="721">
        <f>IF('[1]Tasa de Falla'!GI24=0,"",'[1]Tasa de Falla'!GI24)</f>
      </c>
      <c r="K24" s="721">
        <f>IF('[1]Tasa de Falla'!GJ24=0,"",'[1]Tasa de Falla'!GJ24)</f>
      </c>
      <c r="L24" s="721">
        <f>IF('[1]Tasa de Falla'!GK24=0,"",'[1]Tasa de Falla'!GK24)</f>
      </c>
      <c r="M24" s="721">
        <f>IF('[1]Tasa de Falla'!GL24=0,"",'[1]Tasa de Falla'!GL24)</f>
      </c>
      <c r="N24" s="721">
        <f>IF('[1]Tasa de Falla'!GM24=0,"",'[1]Tasa de Falla'!GM24)</f>
      </c>
      <c r="O24" s="721">
        <f>IF('[1]Tasa de Falla'!GN24=0,"",'[1]Tasa de Falla'!GN24)</f>
      </c>
      <c r="P24" s="721">
        <f>IF('[1]Tasa de Falla'!GO24=0,"",'[1]Tasa de Falla'!GO24)</f>
      </c>
      <c r="Q24" s="721">
        <f>IF('[1]Tasa de Falla'!GP24=0,"",'[1]Tasa de Falla'!GP24)</f>
      </c>
      <c r="R24" s="721">
        <f>IF('[1]Tasa de Falla'!GQ24=0,"",'[1]Tasa de Falla'!GQ24)</f>
      </c>
      <c r="S24" s="722"/>
      <c r="T24" s="3"/>
    </row>
    <row r="25" spans="2:20" ht="15" customHeight="1">
      <c r="B25" s="2"/>
      <c r="C25" s="726">
        <f>IF('[1]Tasa de Falla'!C25=0,"",'[1]Tasa de Falla'!C25)</f>
        <v>9</v>
      </c>
      <c r="D25" s="727" t="str">
        <f>IF('[1]Tasa de Falla'!D25=0,"",'[1]Tasa de Falla'!D25)</f>
        <v>FUTALEUFÚ - PUERTO MADRYN 1</v>
      </c>
      <c r="E25" s="727">
        <f>IF('[1]Tasa de Falla'!E25=0,"",'[1]Tasa de Falla'!E25)</f>
        <v>330</v>
      </c>
      <c r="F25" s="728">
        <f>IF('[1]Tasa de Falla'!F25=0,"",'[1]Tasa de Falla'!F25)</f>
        <v>550</v>
      </c>
      <c r="G25" s="721">
        <f>IF('[1]Tasa de Falla'!GF25=0,"",'[1]Tasa de Falla'!GF25)</f>
      </c>
      <c r="H25" s="721">
        <f>IF('[1]Tasa de Falla'!GG25=0,"",'[1]Tasa de Falla'!GG25)</f>
      </c>
      <c r="I25" s="721">
        <f>IF('[1]Tasa de Falla'!GH25=0,"",'[1]Tasa de Falla'!GH25)</f>
      </c>
      <c r="J25" s="721">
        <f>IF('[1]Tasa de Falla'!GI25=0,"",'[1]Tasa de Falla'!GI25)</f>
        <v>1</v>
      </c>
      <c r="K25" s="721">
        <f>IF('[1]Tasa de Falla'!GJ25=0,"",'[1]Tasa de Falla'!GJ25)</f>
      </c>
      <c r="L25" s="721">
        <f>IF('[1]Tasa de Falla'!GK25=0,"",'[1]Tasa de Falla'!GK25)</f>
      </c>
      <c r="M25" s="721">
        <f>IF('[1]Tasa de Falla'!GL25=0,"",'[1]Tasa de Falla'!GL25)</f>
      </c>
      <c r="N25" s="721">
        <f>IF('[1]Tasa de Falla'!GM25=0,"",'[1]Tasa de Falla'!GM25)</f>
      </c>
      <c r="O25" s="721">
        <f>IF('[1]Tasa de Falla'!GN25=0,"",'[1]Tasa de Falla'!GN25)</f>
      </c>
      <c r="P25" s="721">
        <f>IF('[1]Tasa de Falla'!GO25=0,"",'[1]Tasa de Falla'!GO25)</f>
        <v>2</v>
      </c>
      <c r="Q25" s="721">
        <f>IF('[1]Tasa de Falla'!GP25=0,"",'[1]Tasa de Falla'!GP25)</f>
      </c>
      <c r="R25" s="721">
        <f>IF('[1]Tasa de Falla'!GQ25=0,"",'[1]Tasa de Falla'!GQ25)</f>
      </c>
      <c r="S25" s="722"/>
      <c r="T25" s="3"/>
    </row>
    <row r="26" spans="2:20" ht="15" customHeight="1">
      <c r="B26" s="2"/>
      <c r="C26" s="723">
        <f>IF('[1]Tasa de Falla'!C26=0,"",'[1]Tasa de Falla'!C26)</f>
        <v>10</v>
      </c>
      <c r="D26" s="724" t="str">
        <f>IF('[1]Tasa de Falla'!D26=0,"",'[1]Tasa de Falla'!D26)</f>
        <v>FUTALEUFÚ - PUERTO MADRYN 2</v>
      </c>
      <c r="E26" s="724">
        <f>IF('[1]Tasa de Falla'!E26=0,"",'[1]Tasa de Falla'!E26)</f>
        <v>330</v>
      </c>
      <c r="F26" s="725">
        <f>IF('[1]Tasa de Falla'!F26=0,"",'[1]Tasa de Falla'!F26)</f>
        <v>550</v>
      </c>
      <c r="G26" s="721">
        <f>IF('[1]Tasa de Falla'!GF26=0,"",'[1]Tasa de Falla'!GF26)</f>
      </c>
      <c r="H26" s="721">
        <f>IF('[1]Tasa de Falla'!GG26=0,"",'[1]Tasa de Falla'!GG26)</f>
      </c>
      <c r="I26" s="721">
        <f>IF('[1]Tasa de Falla'!GH26=0,"",'[1]Tasa de Falla'!GH26)</f>
      </c>
      <c r="J26" s="721">
        <f>IF('[1]Tasa de Falla'!GI26=0,"",'[1]Tasa de Falla'!GI26)</f>
      </c>
      <c r="K26" s="721">
        <f>IF('[1]Tasa de Falla'!GJ26=0,"",'[1]Tasa de Falla'!GJ26)</f>
      </c>
      <c r="L26" s="721">
        <f>IF('[1]Tasa de Falla'!GK26=0,"",'[1]Tasa de Falla'!GK26)</f>
      </c>
      <c r="M26" s="721">
        <f>IF('[1]Tasa de Falla'!GL26=0,"",'[1]Tasa de Falla'!GL26)</f>
        <v>1</v>
      </c>
      <c r="N26" s="721">
        <f>IF('[1]Tasa de Falla'!GM26=0,"",'[1]Tasa de Falla'!GM26)</f>
      </c>
      <c r="O26" s="721">
        <f>IF('[1]Tasa de Falla'!GN26=0,"",'[1]Tasa de Falla'!GN26)</f>
      </c>
      <c r="P26" s="721">
        <f>IF('[1]Tasa de Falla'!GO26=0,"",'[1]Tasa de Falla'!GO26)</f>
      </c>
      <c r="Q26" s="721">
        <f>IF('[1]Tasa de Falla'!GP26=0,"",'[1]Tasa de Falla'!GP26)</f>
      </c>
      <c r="R26" s="721">
        <f>IF('[1]Tasa de Falla'!GQ26=0,"",'[1]Tasa de Falla'!GQ26)</f>
      </c>
      <c r="S26" s="722"/>
      <c r="T26" s="3"/>
    </row>
    <row r="27" spans="2:20" ht="15" customHeight="1">
      <c r="B27" s="2"/>
      <c r="C27" s="726">
        <f>IF('[1]Tasa de Falla'!C27=0,"",'[1]Tasa de Falla'!C27)</f>
        <v>11</v>
      </c>
      <c r="D27" s="727" t="str">
        <f>IF('[1]Tasa de Falla'!D27=0,"",'[1]Tasa de Falla'!D27)</f>
        <v>PLANTA ALUMINIO APPA - PUERTO MADRYN 1</v>
      </c>
      <c r="E27" s="727">
        <f>IF('[1]Tasa de Falla'!E27=0,"",'[1]Tasa de Falla'!E27)</f>
        <v>330</v>
      </c>
      <c r="F27" s="728">
        <f>IF('[1]Tasa de Falla'!F27=0,"",'[1]Tasa de Falla'!F27)</f>
        <v>5.5</v>
      </c>
      <c r="G27" s="721">
        <f>IF('[1]Tasa de Falla'!GF27=0,"",'[1]Tasa de Falla'!GF27)</f>
      </c>
      <c r="H27" s="721">
        <f>IF('[1]Tasa de Falla'!GG27=0,"",'[1]Tasa de Falla'!GG27)</f>
      </c>
      <c r="I27" s="721">
        <f>IF('[1]Tasa de Falla'!GH27=0,"",'[1]Tasa de Falla'!GH27)</f>
      </c>
      <c r="J27" s="721">
        <f>IF('[1]Tasa de Falla'!GI27=0,"",'[1]Tasa de Falla'!GI27)</f>
      </c>
      <c r="K27" s="721">
        <f>IF('[1]Tasa de Falla'!GJ27=0,"",'[1]Tasa de Falla'!GJ27)</f>
      </c>
      <c r="L27" s="721">
        <f>IF('[1]Tasa de Falla'!GK27=0,"",'[1]Tasa de Falla'!GK27)</f>
      </c>
      <c r="M27" s="721">
        <f>IF('[1]Tasa de Falla'!GL27=0,"",'[1]Tasa de Falla'!GL27)</f>
      </c>
      <c r="N27" s="721">
        <f>IF('[1]Tasa de Falla'!GM27=0,"",'[1]Tasa de Falla'!GM27)</f>
      </c>
      <c r="O27" s="721">
        <f>IF('[1]Tasa de Falla'!GN27=0,"",'[1]Tasa de Falla'!GN27)</f>
      </c>
      <c r="P27" s="721">
        <f>IF('[1]Tasa de Falla'!GO27=0,"",'[1]Tasa de Falla'!GO27)</f>
      </c>
      <c r="Q27" s="721">
        <f>IF('[1]Tasa de Falla'!GP27=0,"",'[1]Tasa de Falla'!GP27)</f>
      </c>
      <c r="R27" s="721">
        <f>IF('[1]Tasa de Falla'!GQ27=0,"",'[1]Tasa de Falla'!GQ27)</f>
      </c>
      <c r="S27" s="722"/>
      <c r="T27" s="3"/>
    </row>
    <row r="28" spans="2:20" ht="15" customHeight="1">
      <c r="B28" s="2"/>
      <c r="C28" s="723">
        <f>IF('[1]Tasa de Falla'!C28=0,"",'[1]Tasa de Falla'!C28)</f>
        <v>12</v>
      </c>
      <c r="D28" s="724" t="str">
        <f>IF('[1]Tasa de Falla'!D28=0,"",'[1]Tasa de Falla'!D28)</f>
        <v>PLANTA ALUMINIO APPA - PUERTO MADRYN 2</v>
      </c>
      <c r="E28" s="724">
        <f>IF('[1]Tasa de Falla'!E28=0,"",'[1]Tasa de Falla'!E28)</f>
        <v>330</v>
      </c>
      <c r="F28" s="725">
        <f>IF('[1]Tasa de Falla'!F28=0,"",'[1]Tasa de Falla'!F28)</f>
        <v>5.5</v>
      </c>
      <c r="G28" s="721">
        <f>IF('[1]Tasa de Falla'!GF28=0,"",'[1]Tasa de Falla'!GF28)</f>
      </c>
      <c r="H28" s="721">
        <f>IF('[1]Tasa de Falla'!GG28=0,"",'[1]Tasa de Falla'!GG28)</f>
      </c>
      <c r="I28" s="721">
        <f>IF('[1]Tasa de Falla'!GH28=0,"",'[1]Tasa de Falla'!GH28)</f>
      </c>
      <c r="J28" s="721">
        <f>IF('[1]Tasa de Falla'!GI28=0,"",'[1]Tasa de Falla'!GI28)</f>
      </c>
      <c r="K28" s="721">
        <f>IF('[1]Tasa de Falla'!GJ28=0,"",'[1]Tasa de Falla'!GJ28)</f>
      </c>
      <c r="L28" s="721">
        <f>IF('[1]Tasa de Falla'!GK28=0,"",'[1]Tasa de Falla'!GK28)</f>
      </c>
      <c r="M28" s="721">
        <f>IF('[1]Tasa de Falla'!GL28=0,"",'[1]Tasa de Falla'!GL28)</f>
      </c>
      <c r="N28" s="721">
        <f>IF('[1]Tasa de Falla'!GM28=0,"",'[1]Tasa de Falla'!GM28)</f>
      </c>
      <c r="O28" s="721">
        <f>IF('[1]Tasa de Falla'!GN28=0,"",'[1]Tasa de Falla'!GN28)</f>
      </c>
      <c r="P28" s="721">
        <f>IF('[1]Tasa de Falla'!GO28=0,"",'[1]Tasa de Falla'!GO28)</f>
      </c>
      <c r="Q28" s="721">
        <f>IF('[1]Tasa de Falla'!GP28=0,"",'[1]Tasa de Falla'!GP28)</f>
      </c>
      <c r="R28" s="721">
        <f>IF('[1]Tasa de Falla'!GQ28=0,"",'[1]Tasa de Falla'!GQ28)</f>
      </c>
      <c r="S28" s="722"/>
      <c r="T28" s="3"/>
    </row>
    <row r="29" spans="2:20" ht="15" customHeight="1">
      <c r="B29" s="2"/>
      <c r="C29" s="726">
        <f>IF('[1]Tasa de Falla'!C29=0,"",'[1]Tasa de Falla'!C29)</f>
        <v>13</v>
      </c>
      <c r="D29" s="727" t="str">
        <f>IF('[1]Tasa de Falla'!D29=0,"",'[1]Tasa de Falla'!D29)</f>
        <v>PICO TRUNCADO I - PICO TRUNCADO II</v>
      </c>
      <c r="E29" s="727">
        <f>IF('[1]Tasa de Falla'!E29=0,"",'[1]Tasa de Falla'!E29)</f>
        <v>132</v>
      </c>
      <c r="F29" s="728">
        <f>IF('[1]Tasa de Falla'!F29=0,"",'[1]Tasa de Falla'!F29)</f>
        <v>13.4</v>
      </c>
      <c r="G29" s="721">
        <f>IF('[1]Tasa de Falla'!GF29=0,"",'[1]Tasa de Falla'!GF29)</f>
      </c>
      <c r="H29" s="721">
        <f>IF('[1]Tasa de Falla'!GG29=0,"",'[1]Tasa de Falla'!GG29)</f>
      </c>
      <c r="I29" s="721">
        <f>IF('[1]Tasa de Falla'!GH29=0,"",'[1]Tasa de Falla'!GH29)</f>
        <v>1</v>
      </c>
      <c r="J29" s="721">
        <f>IF('[1]Tasa de Falla'!GI29=0,"",'[1]Tasa de Falla'!GI29)</f>
      </c>
      <c r="K29" s="721">
        <f>IF('[1]Tasa de Falla'!GJ29=0,"",'[1]Tasa de Falla'!GJ29)</f>
      </c>
      <c r="L29" s="721">
        <f>IF('[1]Tasa de Falla'!GK29=0,"",'[1]Tasa de Falla'!GK29)</f>
      </c>
      <c r="M29" s="721">
        <f>IF('[1]Tasa de Falla'!GL29=0,"",'[1]Tasa de Falla'!GL29)</f>
      </c>
      <c r="N29" s="721">
        <f>IF('[1]Tasa de Falla'!GM29=0,"",'[1]Tasa de Falla'!GM29)</f>
      </c>
      <c r="O29" s="721">
        <f>IF('[1]Tasa de Falla'!GN29=0,"",'[1]Tasa de Falla'!GN29)</f>
      </c>
      <c r="P29" s="721">
        <f>IF('[1]Tasa de Falla'!GO29=0,"",'[1]Tasa de Falla'!GO29)</f>
      </c>
      <c r="Q29" s="721">
        <f>IF('[1]Tasa de Falla'!GP29=0,"",'[1]Tasa de Falla'!GP29)</f>
      </c>
      <c r="R29" s="721">
        <f>IF('[1]Tasa de Falla'!GQ29=0,"",'[1]Tasa de Falla'!GQ29)</f>
      </c>
      <c r="S29" s="722"/>
      <c r="T29" s="3"/>
    </row>
    <row r="30" spans="2:20" ht="15" customHeight="1">
      <c r="B30" s="2"/>
      <c r="C30" s="723">
        <f>IF('[1]Tasa de Falla'!C30=0,"",'[1]Tasa de Falla'!C30)</f>
        <v>14</v>
      </c>
      <c r="D30" s="724" t="str">
        <f>IF('[1]Tasa de Falla'!D30=0,"",'[1]Tasa de Falla'!D30)</f>
        <v>PLANTA ALUMINIO DGPA - PTO MADRYN</v>
      </c>
      <c r="E30" s="724">
        <f>IF('[1]Tasa de Falla'!E30=0,"",'[1]Tasa de Falla'!E30)</f>
        <v>132</v>
      </c>
      <c r="F30" s="725">
        <f>IF('[1]Tasa de Falla'!F30=0,"",'[1]Tasa de Falla'!F30)</f>
        <v>5.7</v>
      </c>
      <c r="G30" s="721">
        <f>IF('[1]Tasa de Falla'!GF30=0,"",'[1]Tasa de Falla'!GF30)</f>
      </c>
      <c r="H30" s="721">
        <f>IF('[1]Tasa de Falla'!GG30=0,"",'[1]Tasa de Falla'!GG30)</f>
      </c>
      <c r="I30" s="721">
        <f>IF('[1]Tasa de Falla'!GH30=0,"",'[1]Tasa de Falla'!GH30)</f>
      </c>
      <c r="J30" s="721">
        <f>IF('[1]Tasa de Falla'!GI30=0,"",'[1]Tasa de Falla'!GI30)</f>
        <v>1</v>
      </c>
      <c r="K30" s="721">
        <f>IF('[1]Tasa de Falla'!GJ30=0,"",'[1]Tasa de Falla'!GJ30)</f>
      </c>
      <c r="L30" s="721">
        <f>IF('[1]Tasa de Falla'!GK30=0,"",'[1]Tasa de Falla'!GK30)</f>
      </c>
      <c r="M30" s="721">
        <f>IF('[1]Tasa de Falla'!GL30=0,"",'[1]Tasa de Falla'!GL30)</f>
      </c>
      <c r="N30" s="721">
        <f>IF('[1]Tasa de Falla'!GM30=0,"",'[1]Tasa de Falla'!GM30)</f>
      </c>
      <c r="O30" s="721">
        <f>IF('[1]Tasa de Falla'!GN30=0,"",'[1]Tasa de Falla'!GN30)</f>
      </c>
      <c r="P30" s="721">
        <f>IF('[1]Tasa de Falla'!GO30=0,"",'[1]Tasa de Falla'!GO30)</f>
      </c>
      <c r="Q30" s="721">
        <f>IF('[1]Tasa de Falla'!GP30=0,"",'[1]Tasa de Falla'!GP30)</f>
      </c>
      <c r="R30" s="721">
        <f>IF('[1]Tasa de Falla'!GQ30=0,"",'[1]Tasa de Falla'!GQ30)</f>
      </c>
      <c r="S30" s="722"/>
      <c r="T30" s="3"/>
    </row>
    <row r="31" spans="2:20" ht="15" customHeight="1">
      <c r="B31" s="2"/>
      <c r="C31" s="726">
        <f>IF('[1]Tasa de Falla'!C31=0,"",'[1]Tasa de Falla'!C31)</f>
        <v>15</v>
      </c>
      <c r="D31" s="727" t="str">
        <f>IF('[1]Tasa de Falla'!D31=0,"",'[1]Tasa de Falla'!D31)</f>
        <v>PLANTA ALUMINIO DGPA - SS.AA. PTO MADRYN</v>
      </c>
      <c r="E31" s="727">
        <f>IF('[1]Tasa de Falla'!E31=0,"",'[1]Tasa de Falla'!E31)</f>
        <v>33</v>
      </c>
      <c r="F31" s="728">
        <f>IF('[1]Tasa de Falla'!F31=0,"",'[1]Tasa de Falla'!F31)</f>
        <v>6</v>
      </c>
      <c r="G31" s="721">
        <f>IF('[1]Tasa de Falla'!GF31=0,"",'[1]Tasa de Falla'!GF31)</f>
      </c>
      <c r="H31" s="721">
        <f>IF('[1]Tasa de Falla'!GG31=0,"",'[1]Tasa de Falla'!GG31)</f>
      </c>
      <c r="I31" s="721">
        <f>IF('[1]Tasa de Falla'!GH31=0,"",'[1]Tasa de Falla'!GH31)</f>
      </c>
      <c r="J31" s="721">
        <f>IF('[1]Tasa de Falla'!GI31=0,"",'[1]Tasa de Falla'!GI31)</f>
      </c>
      <c r="K31" s="721">
        <f>IF('[1]Tasa de Falla'!GJ31=0,"",'[1]Tasa de Falla'!GJ31)</f>
      </c>
      <c r="L31" s="721">
        <f>IF('[1]Tasa de Falla'!GK31=0,"",'[1]Tasa de Falla'!GK31)</f>
      </c>
      <c r="M31" s="721">
        <f>IF('[1]Tasa de Falla'!GL31=0,"",'[1]Tasa de Falla'!GL31)</f>
      </c>
      <c r="N31" s="721">
        <f>IF('[1]Tasa de Falla'!GM31=0,"",'[1]Tasa de Falla'!GM31)</f>
      </c>
      <c r="O31" s="721">
        <f>IF('[1]Tasa de Falla'!GN31=0,"",'[1]Tasa de Falla'!GN31)</f>
      </c>
      <c r="P31" s="721">
        <f>IF('[1]Tasa de Falla'!GO31=0,"",'[1]Tasa de Falla'!GO31)</f>
      </c>
      <c r="Q31" s="721">
        <f>IF('[1]Tasa de Falla'!GP31=0,"",'[1]Tasa de Falla'!GP31)</f>
      </c>
      <c r="R31" s="721">
        <f>IF('[1]Tasa de Falla'!GQ31=0,"",'[1]Tasa de Falla'!GQ31)</f>
      </c>
      <c r="S31" s="722"/>
      <c r="T31" s="3"/>
    </row>
    <row r="32" spans="2:20" ht="15" customHeight="1">
      <c r="B32" s="2"/>
      <c r="C32" s="723">
        <f>IF('[1]Tasa de Falla'!C32=0,"",'[1]Tasa de Falla'!C32)</f>
        <v>16</v>
      </c>
      <c r="D32" s="724" t="str">
        <f>IF('[1]Tasa de Falla'!D32=0,"",'[1]Tasa de Falla'!D32)</f>
        <v>PLANTA ALUMINIO DGPA - TRELEW</v>
      </c>
      <c r="E32" s="724">
        <f>IF('[1]Tasa de Falla'!E32=0,"",'[1]Tasa de Falla'!E32)</f>
        <v>132</v>
      </c>
      <c r="F32" s="725">
        <f>IF('[1]Tasa de Falla'!F32=0,"",'[1]Tasa de Falla'!F32)</f>
        <v>62</v>
      </c>
      <c r="G32" s="721">
        <f>IF('[1]Tasa de Falla'!GF32=0,"",'[1]Tasa de Falla'!GF32)</f>
      </c>
      <c r="H32" s="721">
        <f>IF('[1]Tasa de Falla'!GG32=0,"",'[1]Tasa de Falla'!GG32)</f>
      </c>
      <c r="I32" s="721">
        <f>IF('[1]Tasa de Falla'!GH32=0,"",'[1]Tasa de Falla'!GH32)</f>
      </c>
      <c r="J32" s="721">
        <f>IF('[1]Tasa de Falla'!GI32=0,"",'[1]Tasa de Falla'!GI32)</f>
      </c>
      <c r="K32" s="721">
        <f>IF('[1]Tasa de Falla'!GJ32=0,"",'[1]Tasa de Falla'!GJ32)</f>
      </c>
      <c r="L32" s="721">
        <f>IF('[1]Tasa de Falla'!GK32=0,"",'[1]Tasa de Falla'!GK32)</f>
      </c>
      <c r="M32" s="721">
        <f>IF('[1]Tasa de Falla'!GL32=0,"",'[1]Tasa de Falla'!GL32)</f>
      </c>
      <c r="N32" s="721">
        <f>IF('[1]Tasa de Falla'!GM32=0,"",'[1]Tasa de Falla'!GM32)</f>
      </c>
      <c r="O32" s="721">
        <f>IF('[1]Tasa de Falla'!GN32=0,"",'[1]Tasa de Falla'!GN32)</f>
      </c>
      <c r="P32" s="721">
        <f>IF('[1]Tasa de Falla'!GO32=0,"",'[1]Tasa de Falla'!GO32)</f>
      </c>
      <c r="Q32" s="721">
        <f>IF('[1]Tasa de Falla'!GP32=0,"",'[1]Tasa de Falla'!GP32)</f>
      </c>
      <c r="R32" s="721">
        <f>IF('[1]Tasa de Falla'!GQ32=0,"",'[1]Tasa de Falla'!GQ32)</f>
      </c>
      <c r="S32" s="722"/>
      <c r="T32" s="3"/>
    </row>
    <row r="33" spans="2:20" ht="18" customHeight="1">
      <c r="B33" s="2"/>
      <c r="C33" s="726">
        <f>IF('[1]Tasa de Falla'!C33=0,"",'[1]Tasa de Falla'!C33)</f>
        <v>17</v>
      </c>
      <c r="D33" s="727" t="str">
        <f>IF('[1]Tasa de Falla'!D33=0,"",'[1]Tasa de Falla'!D33)</f>
        <v>PUERTO MADRYN - SIERRA GRANDE</v>
      </c>
      <c r="E33" s="727">
        <f>IF('[1]Tasa de Falla'!E33=0,"",'[1]Tasa de Falla'!E33)</f>
        <v>132</v>
      </c>
      <c r="F33" s="728">
        <f>IF('[1]Tasa de Falla'!F33=0,"",'[1]Tasa de Falla'!F33)</f>
        <v>121.5</v>
      </c>
      <c r="G33" s="721">
        <f>IF('[1]Tasa de Falla'!GF33=0,"",'[1]Tasa de Falla'!GF33)</f>
      </c>
      <c r="H33" s="721">
        <f>IF('[1]Tasa de Falla'!GG33=0,"",'[1]Tasa de Falla'!GG33)</f>
      </c>
      <c r="I33" s="721">
        <f>IF('[1]Tasa de Falla'!GH33=0,"",'[1]Tasa de Falla'!GH33)</f>
      </c>
      <c r="J33" s="721">
        <f>IF('[1]Tasa de Falla'!GI33=0,"",'[1]Tasa de Falla'!GI33)</f>
      </c>
      <c r="K33" s="721">
        <f>IF('[1]Tasa de Falla'!GJ33=0,"",'[1]Tasa de Falla'!GJ33)</f>
      </c>
      <c r="L33" s="721">
        <f>IF('[1]Tasa de Falla'!GK33=0,"",'[1]Tasa de Falla'!GK33)</f>
        <v>1</v>
      </c>
      <c r="M33" s="721">
        <f>IF('[1]Tasa de Falla'!GL33=0,"",'[1]Tasa de Falla'!GL33)</f>
      </c>
      <c r="N33" s="721">
        <f>IF('[1]Tasa de Falla'!GM33=0,"",'[1]Tasa de Falla'!GM33)</f>
      </c>
      <c r="O33" s="721">
        <f>IF('[1]Tasa de Falla'!GN33=0,"",'[1]Tasa de Falla'!GN33)</f>
        <v>3</v>
      </c>
      <c r="P33" s="721">
        <f>IF('[1]Tasa de Falla'!GO33=0,"",'[1]Tasa de Falla'!GO33)</f>
      </c>
      <c r="Q33" s="721">
        <f>IF('[1]Tasa de Falla'!GP33=0,"",'[1]Tasa de Falla'!GP33)</f>
      </c>
      <c r="R33" s="721">
        <f>IF('[1]Tasa de Falla'!GQ33=0,"",'[1]Tasa de Falla'!GQ33)</f>
      </c>
      <c r="S33" s="722"/>
      <c r="T33" s="3"/>
    </row>
    <row r="34" spans="2:20" ht="16.5" customHeight="1">
      <c r="B34" s="2"/>
      <c r="C34" s="723">
        <f>IF('[1]Tasa de Falla'!C34=0,"",'[1]Tasa de Falla'!C34)</f>
        <v>18</v>
      </c>
      <c r="D34" s="724" t="str">
        <f>IF('[1]Tasa de Falla'!D34=0,"",'[1]Tasa de Falla'!D34)</f>
        <v>BARRIO SAN MARTIN - A CONEXION "T"</v>
      </c>
      <c r="E34" s="724">
        <f>IF('[1]Tasa de Falla'!E34=0,"",'[1]Tasa de Falla'!E34)</f>
        <v>132</v>
      </c>
      <c r="F34" s="725">
        <f>IF('[1]Tasa de Falla'!F34=0,"",'[1]Tasa de Falla'!F34)</f>
        <v>7.5</v>
      </c>
      <c r="G34" s="721" t="str">
        <f>IF('[1]Tasa de Falla'!GF34=0,"",'[1]Tasa de Falla'!GF34)</f>
        <v>XXXX</v>
      </c>
      <c r="H34" s="721" t="str">
        <f>IF('[1]Tasa de Falla'!GG34=0,"",'[1]Tasa de Falla'!GG34)</f>
        <v>XXXX</v>
      </c>
      <c r="I34" s="721" t="str">
        <f>IF('[1]Tasa de Falla'!GH34=0,"",'[1]Tasa de Falla'!GH34)</f>
        <v>XXXX</v>
      </c>
      <c r="J34" s="721" t="str">
        <f>IF('[1]Tasa de Falla'!GI34=0,"",'[1]Tasa de Falla'!GI34)</f>
        <v>XXXX</v>
      </c>
      <c r="K34" s="721" t="str">
        <f>IF('[1]Tasa de Falla'!GJ34=0,"",'[1]Tasa de Falla'!GJ34)</f>
        <v>XXXX</v>
      </c>
      <c r="L34" s="721" t="str">
        <f>IF('[1]Tasa de Falla'!GK34=0,"",'[1]Tasa de Falla'!GK34)</f>
        <v>XXXX</v>
      </c>
      <c r="M34" s="721" t="str">
        <f>IF('[1]Tasa de Falla'!GL34=0,"",'[1]Tasa de Falla'!GL34)</f>
        <v>XXXX</v>
      </c>
      <c r="N34" s="721" t="str">
        <f>IF('[1]Tasa de Falla'!GM34=0,"",'[1]Tasa de Falla'!GM34)</f>
        <v>XXXX</v>
      </c>
      <c r="O34" s="721" t="str">
        <f>IF('[1]Tasa de Falla'!GN34=0,"",'[1]Tasa de Falla'!GN34)</f>
        <v>XXXX</v>
      </c>
      <c r="P34" s="721" t="str">
        <f>IF('[1]Tasa de Falla'!GO34=0,"",'[1]Tasa de Falla'!GO34)</f>
        <v>XXXX</v>
      </c>
      <c r="Q34" s="721" t="str">
        <f>IF('[1]Tasa de Falla'!GP34=0,"",'[1]Tasa de Falla'!GP34)</f>
        <v>XXXX</v>
      </c>
      <c r="R34" s="721" t="str">
        <f>IF('[1]Tasa de Falla'!GQ34=0,"",'[1]Tasa de Falla'!GQ34)</f>
        <v>XXXX</v>
      </c>
      <c r="S34" s="722"/>
      <c r="T34" s="3"/>
    </row>
    <row r="35" spans="2:20" ht="15" customHeight="1">
      <c r="B35" s="2"/>
      <c r="C35" s="726">
        <f>IF('[1]Tasa de Falla'!C35=0,"",'[1]Tasa de Falla'!C35)</f>
        <v>19</v>
      </c>
      <c r="D35" s="727" t="str">
        <f>IF('[1]Tasa de Falla'!D35=0,"",'[1]Tasa de Falla'!D35)</f>
        <v>PICO TRUNCADO I - LAS HERAS</v>
      </c>
      <c r="E35" s="727">
        <f>IF('[1]Tasa de Falla'!E35=0,"",'[1]Tasa de Falla'!E35)</f>
        <v>132</v>
      </c>
      <c r="F35" s="728">
        <f>IF('[1]Tasa de Falla'!F35=0,"",'[1]Tasa de Falla'!F35)</f>
        <v>82.5</v>
      </c>
      <c r="G35" s="721">
        <f>IF('[1]Tasa de Falla'!GF35=0,"",'[1]Tasa de Falla'!GF35)</f>
      </c>
      <c r="H35" s="721">
        <f>IF('[1]Tasa de Falla'!GG35=0,"",'[1]Tasa de Falla'!GG35)</f>
      </c>
      <c r="I35" s="721">
        <f>IF('[1]Tasa de Falla'!GH35=0,"",'[1]Tasa de Falla'!GH35)</f>
      </c>
      <c r="J35" s="721">
        <f>IF('[1]Tasa de Falla'!GI35=0,"",'[1]Tasa de Falla'!GI35)</f>
      </c>
      <c r="K35" s="721">
        <f>IF('[1]Tasa de Falla'!GJ35=0,"",'[1]Tasa de Falla'!GJ35)</f>
      </c>
      <c r="L35" s="721">
        <f>IF('[1]Tasa de Falla'!GK35=0,"",'[1]Tasa de Falla'!GK35)</f>
      </c>
      <c r="M35" s="721">
        <f>IF('[1]Tasa de Falla'!GL35=0,"",'[1]Tasa de Falla'!GL35)</f>
      </c>
      <c r="N35" s="721" t="str">
        <f>IF('[1]Tasa de Falla'!GM35=0,"",'[1]Tasa de Falla'!GM35)</f>
        <v>XXXX</v>
      </c>
      <c r="O35" s="721" t="str">
        <f>IF('[1]Tasa de Falla'!GN35=0,"",'[1]Tasa de Falla'!GN35)</f>
        <v>XXXX</v>
      </c>
      <c r="P35" s="721" t="str">
        <f>IF('[1]Tasa de Falla'!GO35=0,"",'[1]Tasa de Falla'!GO35)</f>
        <v>XXXX</v>
      </c>
      <c r="Q35" s="721" t="str">
        <f>IF('[1]Tasa de Falla'!GP35=0,"",'[1]Tasa de Falla'!GP35)</f>
        <v>XXXX</v>
      </c>
      <c r="R35" s="721" t="str">
        <f>IF('[1]Tasa de Falla'!GQ35=0,"",'[1]Tasa de Falla'!GQ35)</f>
        <v>XXXX</v>
      </c>
      <c r="S35" s="722"/>
      <c r="T35" s="3"/>
    </row>
    <row r="36" spans="2:20" ht="15" customHeight="1">
      <c r="B36" s="2"/>
      <c r="C36" s="723">
        <f>IF('[1]Tasa de Falla'!C36=0,"",'[1]Tasa de Falla'!C36)</f>
        <v>20</v>
      </c>
      <c r="D36" s="724" t="str">
        <f>IF('[1]Tasa de Falla'!D36=0,"",'[1]Tasa de Falla'!D36)</f>
        <v>LAS HERAS - LOS PERALES</v>
      </c>
      <c r="E36" s="724">
        <f>IF('[1]Tasa de Falla'!E36=0,"",'[1]Tasa de Falla'!E36)</f>
        <v>132</v>
      </c>
      <c r="F36" s="725">
        <f>IF('[1]Tasa de Falla'!F36=0,"",'[1]Tasa de Falla'!F36)</f>
        <v>47</v>
      </c>
      <c r="G36" s="721">
        <f>IF('[1]Tasa de Falla'!GF36=0,"",'[1]Tasa de Falla'!GF36)</f>
      </c>
      <c r="H36" s="721">
        <f>IF('[1]Tasa de Falla'!GG36=0,"",'[1]Tasa de Falla'!GG36)</f>
      </c>
      <c r="I36" s="721">
        <f>IF('[1]Tasa de Falla'!GH36=0,"",'[1]Tasa de Falla'!GH36)</f>
      </c>
      <c r="J36" s="721">
        <f>IF('[1]Tasa de Falla'!GI36=0,"",'[1]Tasa de Falla'!GI36)</f>
      </c>
      <c r="K36" s="721">
        <f>IF('[1]Tasa de Falla'!GJ36=0,"",'[1]Tasa de Falla'!GJ36)</f>
      </c>
      <c r="L36" s="721">
        <f>IF('[1]Tasa de Falla'!GK36=0,"",'[1]Tasa de Falla'!GK36)</f>
      </c>
      <c r="M36" s="721">
        <f>IF('[1]Tasa de Falla'!GL36=0,"",'[1]Tasa de Falla'!GL36)</f>
      </c>
      <c r="N36" s="721">
        <f>IF('[1]Tasa de Falla'!GM36=0,"",'[1]Tasa de Falla'!GM36)</f>
      </c>
      <c r="O36" s="721">
        <f>IF('[1]Tasa de Falla'!GN36=0,"",'[1]Tasa de Falla'!GN36)</f>
      </c>
      <c r="P36" s="721">
        <f>IF('[1]Tasa de Falla'!GO36=0,"",'[1]Tasa de Falla'!GO36)</f>
      </c>
      <c r="Q36" s="721">
        <f>IF('[1]Tasa de Falla'!GP36=0,"",'[1]Tasa de Falla'!GP36)</f>
        <v>1</v>
      </c>
      <c r="R36" s="721">
        <f>IF('[1]Tasa de Falla'!GQ36=0,"",'[1]Tasa de Falla'!GQ36)</f>
      </c>
      <c r="S36" s="722"/>
      <c r="T36" s="3"/>
    </row>
    <row r="37" spans="2:20" ht="15" customHeight="1">
      <c r="B37" s="2"/>
      <c r="C37" s="726">
        <f>IF('[1]Tasa de Falla'!C37=0,"",'[1]Tasa de Falla'!C37)</f>
        <v>21</v>
      </c>
      <c r="D37" s="727" t="str">
        <f>IF('[1]Tasa de Falla'!D37=0,"",'[1]Tasa de Falla'!D37)</f>
        <v>N. P. MADRYN - P. MADRYN 330 kV</v>
      </c>
      <c r="E37" s="727">
        <f>IF('[1]Tasa de Falla'!E37=0,"",'[1]Tasa de Falla'!E37)</f>
        <v>330</v>
      </c>
      <c r="F37" s="728">
        <f>IF('[1]Tasa de Falla'!F37=0,"",'[1]Tasa de Falla'!F37)</f>
        <v>0.47</v>
      </c>
      <c r="G37" s="721">
        <f>IF('[1]Tasa de Falla'!GF37=0,"",'[1]Tasa de Falla'!GF37)</f>
      </c>
      <c r="H37" s="721">
        <f>IF('[1]Tasa de Falla'!GG37=0,"",'[1]Tasa de Falla'!GG37)</f>
      </c>
      <c r="I37" s="721">
        <f>IF('[1]Tasa de Falla'!GH37=0,"",'[1]Tasa de Falla'!GH37)</f>
      </c>
      <c r="J37" s="721">
        <f>IF('[1]Tasa de Falla'!GI37=0,"",'[1]Tasa de Falla'!GI37)</f>
      </c>
      <c r="K37" s="721">
        <f>IF('[1]Tasa de Falla'!GJ37=0,"",'[1]Tasa de Falla'!GJ37)</f>
      </c>
      <c r="L37" s="721">
        <f>IF('[1]Tasa de Falla'!GK37=0,"",'[1]Tasa de Falla'!GK37)</f>
      </c>
      <c r="M37" s="721">
        <f>IF('[1]Tasa de Falla'!GL37=0,"",'[1]Tasa de Falla'!GL37)</f>
      </c>
      <c r="N37" s="721">
        <f>IF('[1]Tasa de Falla'!GM37=0,"",'[1]Tasa de Falla'!GM37)</f>
      </c>
      <c r="O37" s="721">
        <f>IF('[1]Tasa de Falla'!GN37=0,"",'[1]Tasa de Falla'!GN37)</f>
      </c>
      <c r="P37" s="721">
        <f>IF('[1]Tasa de Falla'!GO37=0,"",'[1]Tasa de Falla'!GO37)</f>
      </c>
      <c r="Q37" s="721">
        <f>IF('[1]Tasa de Falla'!GP37=0,"",'[1]Tasa de Falla'!GP37)</f>
      </c>
      <c r="R37" s="721">
        <f>IF('[1]Tasa de Falla'!GQ37=0,"",'[1]Tasa de Falla'!GQ37)</f>
      </c>
      <c r="S37" s="722"/>
      <c r="T37" s="3"/>
    </row>
    <row r="38" spans="2:20" ht="18" customHeight="1">
      <c r="B38" s="2"/>
      <c r="C38" s="723">
        <f>IF('[1]Tasa de Falla'!C38=0,"",'[1]Tasa de Falla'!C38)</f>
        <v>31</v>
      </c>
      <c r="D38" s="724" t="str">
        <f>IF('[1]Tasa de Falla'!D38=0,"",'[1]Tasa de Falla'!D38)</f>
        <v>LAS HERAS - MINA SAN JOSE</v>
      </c>
      <c r="E38" s="724">
        <f>IF('[1]Tasa de Falla'!E38=0,"",'[1]Tasa de Falla'!E38)</f>
        <v>132</v>
      </c>
      <c r="F38" s="725">
        <f>IF('[1]Tasa de Falla'!F38=0,"",'[1]Tasa de Falla'!F38)</f>
        <v>128</v>
      </c>
      <c r="G38" s="721" t="str">
        <f>IF('[1]Tasa de Falla'!GF38=0,"",'[1]Tasa de Falla'!GF38)</f>
        <v>XXXX</v>
      </c>
      <c r="H38" s="721" t="str">
        <f>IF('[1]Tasa de Falla'!GG38=0,"",'[1]Tasa de Falla'!GG38)</f>
        <v>XXXX</v>
      </c>
      <c r="I38" s="721" t="str">
        <f>IF('[1]Tasa de Falla'!GH38=0,"",'[1]Tasa de Falla'!GH38)</f>
        <v>XXXX</v>
      </c>
      <c r="J38" s="721" t="str">
        <f>IF('[1]Tasa de Falla'!GI38=0,"",'[1]Tasa de Falla'!GI38)</f>
        <v>XXXX</v>
      </c>
      <c r="K38" s="721" t="str">
        <f>IF('[1]Tasa de Falla'!GJ38=0,"",'[1]Tasa de Falla'!GJ38)</f>
        <v>XXXX</v>
      </c>
      <c r="L38" s="721" t="str">
        <f>IF('[1]Tasa de Falla'!GK38=0,"",'[1]Tasa de Falla'!GK38)</f>
        <v>XXXX</v>
      </c>
      <c r="M38" s="721" t="str">
        <f>IF('[1]Tasa de Falla'!GL38=0,"",'[1]Tasa de Falla'!GL38)</f>
        <v>XXXX</v>
      </c>
      <c r="N38" s="721">
        <f>IF('[1]Tasa de Falla'!GM38=0,"",'[1]Tasa de Falla'!GM38)</f>
        <v>1</v>
      </c>
      <c r="O38" s="721">
        <f>IF('[1]Tasa de Falla'!GN38=0,"",'[1]Tasa de Falla'!GN38)</f>
      </c>
      <c r="P38" s="721">
        <f>IF('[1]Tasa de Falla'!GO38=0,"",'[1]Tasa de Falla'!GO38)</f>
      </c>
      <c r="Q38" s="721">
        <f>IF('[1]Tasa de Falla'!GP38=0,"",'[1]Tasa de Falla'!GP38)</f>
        <v>1</v>
      </c>
      <c r="R38" s="721">
        <f>IF('[1]Tasa de Falla'!GQ38=0,"",'[1]Tasa de Falla'!GQ38)</f>
      </c>
      <c r="S38" s="722"/>
      <c r="T38" s="3"/>
    </row>
    <row r="39" spans="2:20" ht="19.5" customHeight="1">
      <c r="B39" s="2"/>
      <c r="C39" s="726">
        <f>IF('[1]Tasa de Falla'!C39=0,"",'[1]Tasa de Falla'!C39)</f>
        <v>27</v>
      </c>
      <c r="D39" s="727" t="str">
        <f>IF('[1]Tasa de Falla'!D39=0,"",'[1]Tasa de Falla'!D39)</f>
        <v>PAMPA DEL CASTILLO - EL TORDILLO</v>
      </c>
      <c r="E39" s="727">
        <f>IF('[1]Tasa de Falla'!E39=0,"",'[1]Tasa de Falla'!E39)</f>
        <v>132</v>
      </c>
      <c r="F39" s="728">
        <f>IF('[1]Tasa de Falla'!F39=0,"",'[1]Tasa de Falla'!F39)</f>
        <v>8.9</v>
      </c>
      <c r="G39" s="721">
        <f>IF('[1]Tasa de Falla'!GF39=0,"",'[1]Tasa de Falla'!GF39)</f>
      </c>
      <c r="H39" s="721">
        <f>IF('[1]Tasa de Falla'!GG39=0,"",'[1]Tasa de Falla'!GG39)</f>
      </c>
      <c r="I39" s="721">
        <f>IF('[1]Tasa de Falla'!GH39=0,"",'[1]Tasa de Falla'!GH39)</f>
        <v>2</v>
      </c>
      <c r="J39" s="721">
        <f>IF('[1]Tasa de Falla'!GI39=0,"",'[1]Tasa de Falla'!GI39)</f>
      </c>
      <c r="K39" s="721">
        <f>IF('[1]Tasa de Falla'!GJ39=0,"",'[1]Tasa de Falla'!GJ39)</f>
      </c>
      <c r="L39" s="721">
        <f>IF('[1]Tasa de Falla'!GK39=0,"",'[1]Tasa de Falla'!GK39)</f>
      </c>
      <c r="M39" s="721">
        <f>IF('[1]Tasa de Falla'!GL39=0,"",'[1]Tasa de Falla'!GL39)</f>
      </c>
      <c r="N39" s="721">
        <f>IF('[1]Tasa de Falla'!GM39=0,"",'[1]Tasa de Falla'!GM39)</f>
      </c>
      <c r="O39" s="721">
        <f>IF('[1]Tasa de Falla'!GN39=0,"",'[1]Tasa de Falla'!GN39)</f>
      </c>
      <c r="P39" s="721">
        <f>IF('[1]Tasa de Falla'!GO39=0,"",'[1]Tasa de Falla'!GO39)</f>
      </c>
      <c r="Q39" s="721">
        <f>IF('[1]Tasa de Falla'!GP39=0,"",'[1]Tasa de Falla'!GP39)</f>
      </c>
      <c r="R39" s="721">
        <f>IF('[1]Tasa de Falla'!GQ39=0,"",'[1]Tasa de Falla'!GQ39)</f>
      </c>
      <c r="S39" s="722"/>
      <c r="T39" s="3"/>
    </row>
    <row r="40" spans="2:20" ht="16.5" customHeight="1">
      <c r="B40" s="2"/>
      <c r="C40" s="723">
        <f>IF('[1]Tasa de Falla'!C40=0,"",'[1]Tasa de Falla'!C40)</f>
        <v>28</v>
      </c>
      <c r="D40" s="724" t="str">
        <f>IF('[1]Tasa de Falla'!D40=0,"",'[1]Tasa de Falla'!D40)</f>
        <v>PLANTA ALUMINIO APPA - PUERTO MADRYN 3</v>
      </c>
      <c r="E40" s="724">
        <f>IF('[1]Tasa de Falla'!E40=0,"",'[1]Tasa de Falla'!E40)</f>
        <v>330</v>
      </c>
      <c r="F40" s="725">
        <f>IF('[1]Tasa de Falla'!F40=0,"",'[1]Tasa de Falla'!F40)</f>
        <v>4.85</v>
      </c>
      <c r="G40" s="721">
        <f>IF('[1]Tasa de Falla'!GF40=0,"",'[1]Tasa de Falla'!GF40)</f>
      </c>
      <c r="H40" s="721">
        <f>IF('[1]Tasa de Falla'!GG40=0,"",'[1]Tasa de Falla'!GG40)</f>
      </c>
      <c r="I40" s="721">
        <f>IF('[1]Tasa de Falla'!GH40=0,"",'[1]Tasa de Falla'!GH40)</f>
      </c>
      <c r="J40" s="721">
        <f>IF('[1]Tasa de Falla'!GI40=0,"",'[1]Tasa de Falla'!GI40)</f>
      </c>
      <c r="K40" s="721">
        <f>IF('[1]Tasa de Falla'!GJ40=0,"",'[1]Tasa de Falla'!GJ40)</f>
      </c>
      <c r="L40" s="721">
        <f>IF('[1]Tasa de Falla'!GK40=0,"",'[1]Tasa de Falla'!GK40)</f>
      </c>
      <c r="M40" s="721">
        <f>IF('[1]Tasa de Falla'!GL40=0,"",'[1]Tasa de Falla'!GL40)</f>
      </c>
      <c r="N40" s="721">
        <f>IF('[1]Tasa de Falla'!GM40=0,"",'[1]Tasa de Falla'!GM40)</f>
      </c>
      <c r="O40" s="721">
        <f>IF('[1]Tasa de Falla'!GN40=0,"",'[1]Tasa de Falla'!GN40)</f>
      </c>
      <c r="P40" s="721">
        <f>IF('[1]Tasa de Falla'!GO40=0,"",'[1]Tasa de Falla'!GO40)</f>
      </c>
      <c r="Q40" s="721">
        <f>IF('[1]Tasa de Falla'!GP40=0,"",'[1]Tasa de Falla'!GP40)</f>
      </c>
      <c r="R40" s="721">
        <f>IF('[1]Tasa de Falla'!GQ40=0,"",'[1]Tasa de Falla'!GQ40)</f>
      </c>
      <c r="S40" s="722"/>
      <c r="T40" s="3"/>
    </row>
    <row r="41" spans="2:20" ht="16.5" customHeight="1">
      <c r="B41" s="2"/>
      <c r="C41" s="726">
        <f>IF('[1]Tasa de Falla'!C41=0,"",'[1]Tasa de Falla'!C41)</f>
        <v>30</v>
      </c>
      <c r="D41" s="727" t="str">
        <f>IF('[1]Tasa de Falla'!D41=0,"",'[1]Tasa de Falla'!D41)</f>
        <v>TRELEW - RAWSON</v>
      </c>
      <c r="E41" s="727">
        <f>IF('[1]Tasa de Falla'!E41=0,"",'[1]Tasa de Falla'!E41)</f>
        <v>132</v>
      </c>
      <c r="F41" s="728">
        <f>IF('[1]Tasa de Falla'!F41=0,"",'[1]Tasa de Falla'!F41)</f>
        <v>21.8</v>
      </c>
      <c r="G41" s="721">
        <f>IF('[1]Tasa de Falla'!GF41=0,"",'[1]Tasa de Falla'!GF41)</f>
      </c>
      <c r="H41" s="721">
        <f>IF('[1]Tasa de Falla'!GG41=0,"",'[1]Tasa de Falla'!GG41)</f>
      </c>
      <c r="I41" s="721">
        <f>IF('[1]Tasa de Falla'!GH41=0,"",'[1]Tasa de Falla'!GH41)</f>
        <v>1</v>
      </c>
      <c r="J41" s="721">
        <f>IF('[1]Tasa de Falla'!GI41=0,"",'[1]Tasa de Falla'!GI41)</f>
        <v>2</v>
      </c>
      <c r="K41" s="721">
        <f>IF('[1]Tasa de Falla'!GJ41=0,"",'[1]Tasa de Falla'!GJ41)</f>
      </c>
      <c r="L41" s="721">
        <f>IF('[1]Tasa de Falla'!GK41=0,"",'[1]Tasa de Falla'!GK41)</f>
      </c>
      <c r="M41" s="721">
        <f>IF('[1]Tasa de Falla'!GL41=0,"",'[1]Tasa de Falla'!GL41)</f>
      </c>
      <c r="N41" s="721">
        <f>IF('[1]Tasa de Falla'!GM41=0,"",'[1]Tasa de Falla'!GM41)</f>
      </c>
      <c r="O41" s="721">
        <f>IF('[1]Tasa de Falla'!GN41=0,"",'[1]Tasa de Falla'!GN41)</f>
        <v>1</v>
      </c>
      <c r="P41" s="721">
        <f>IF('[1]Tasa de Falla'!GO41=0,"",'[1]Tasa de Falla'!GO41)</f>
      </c>
      <c r="Q41" s="721">
        <f>IF('[1]Tasa de Falla'!GP41=0,"",'[1]Tasa de Falla'!GP41)</f>
      </c>
      <c r="R41" s="721">
        <f>IF('[1]Tasa de Falla'!GQ41=0,"",'[1]Tasa de Falla'!GQ41)</f>
      </c>
      <c r="S41" s="722"/>
      <c r="T41" s="3"/>
    </row>
    <row r="42" spans="2:20" ht="16.5" customHeight="1">
      <c r="B42" s="2"/>
      <c r="C42" s="723">
        <f>IF('[1]Tasa de Falla'!C42=0,"",'[1]Tasa de Falla'!C42)</f>
        <v>37</v>
      </c>
      <c r="D42" s="724" t="str">
        <f>IF('[1]Tasa de Falla'!D42=0,"",'[1]Tasa de Falla'!D42)</f>
        <v>PICO TRUNCADO 1 - SANTA CRUZ NORTE     1</v>
      </c>
      <c r="E42" s="724">
        <f>IF('[1]Tasa de Falla'!E42=0,"",'[1]Tasa de Falla'!E42)</f>
        <v>132</v>
      </c>
      <c r="F42" s="725">
        <f>IF('[1]Tasa de Falla'!F42=0,"",'[1]Tasa de Falla'!F42)</f>
        <v>2.5</v>
      </c>
      <c r="G42" s="721">
        <f>IF('[1]Tasa de Falla'!GF42=0,"",'[1]Tasa de Falla'!GF42)</f>
      </c>
      <c r="H42" s="721">
        <f>IF('[1]Tasa de Falla'!GG42=0,"",'[1]Tasa de Falla'!GG42)</f>
      </c>
      <c r="I42" s="721">
        <f>IF('[1]Tasa de Falla'!GH42=0,"",'[1]Tasa de Falla'!GH42)</f>
      </c>
      <c r="J42" s="721">
        <f>IF('[1]Tasa de Falla'!GI42=0,"",'[1]Tasa de Falla'!GI42)</f>
      </c>
      <c r="K42" s="721">
        <f>IF('[1]Tasa de Falla'!GJ42=0,"",'[1]Tasa de Falla'!GJ42)</f>
      </c>
      <c r="L42" s="721">
        <f>IF('[1]Tasa de Falla'!GK42=0,"",'[1]Tasa de Falla'!GK42)</f>
      </c>
      <c r="M42" s="721">
        <f>IF('[1]Tasa de Falla'!GL42=0,"",'[1]Tasa de Falla'!GL42)</f>
      </c>
      <c r="N42" s="721">
        <f>IF('[1]Tasa de Falla'!GM42=0,"",'[1]Tasa de Falla'!GM42)</f>
      </c>
      <c r="O42" s="721">
        <f>IF('[1]Tasa de Falla'!GN42=0,"",'[1]Tasa de Falla'!GN42)</f>
      </c>
      <c r="P42" s="721">
        <f>IF('[1]Tasa de Falla'!GO42=0,"",'[1]Tasa de Falla'!GO42)</f>
      </c>
      <c r="Q42" s="721">
        <f>IF('[1]Tasa de Falla'!GP42=0,"",'[1]Tasa de Falla'!GP42)</f>
      </c>
      <c r="R42" s="721">
        <f>IF('[1]Tasa de Falla'!GQ42=0,"",'[1]Tasa de Falla'!GQ42)</f>
      </c>
      <c r="S42" s="722"/>
      <c r="T42" s="3"/>
    </row>
    <row r="43" spans="2:20" ht="15" customHeight="1">
      <c r="B43" s="2"/>
      <c r="C43" s="726">
        <f>IF('[1]Tasa de Falla'!C43=0,"",'[1]Tasa de Falla'!C43)</f>
        <v>38</v>
      </c>
      <c r="D43" s="727" t="str">
        <f>IF('[1]Tasa de Falla'!D43=0,"",'[1]Tasa de Falla'!D43)</f>
        <v>PICO TRUNCADO 1 - SANTA CRUZ NORTE     2</v>
      </c>
      <c r="E43" s="727">
        <f>IF('[1]Tasa de Falla'!E43=0,"",'[1]Tasa de Falla'!E43)</f>
        <v>132</v>
      </c>
      <c r="F43" s="728">
        <f>IF('[1]Tasa de Falla'!F43=0,"",'[1]Tasa de Falla'!F43)</f>
        <v>2.5</v>
      </c>
      <c r="G43" s="721">
        <f>IF('[1]Tasa de Falla'!GF43=0,"",'[1]Tasa de Falla'!GF43)</f>
      </c>
      <c r="H43" s="721">
        <f>IF('[1]Tasa de Falla'!GG43=0,"",'[1]Tasa de Falla'!GG43)</f>
      </c>
      <c r="I43" s="721">
        <f>IF('[1]Tasa de Falla'!GH43=0,"",'[1]Tasa de Falla'!GH43)</f>
      </c>
      <c r="J43" s="721">
        <f>IF('[1]Tasa de Falla'!GI43=0,"",'[1]Tasa de Falla'!GI43)</f>
      </c>
      <c r="K43" s="721">
        <f>IF('[1]Tasa de Falla'!GJ43=0,"",'[1]Tasa de Falla'!GJ43)</f>
      </c>
      <c r="L43" s="721">
        <f>IF('[1]Tasa de Falla'!GK43=0,"",'[1]Tasa de Falla'!GK43)</f>
      </c>
      <c r="M43" s="721">
        <f>IF('[1]Tasa de Falla'!GL43=0,"",'[1]Tasa de Falla'!GL43)</f>
      </c>
      <c r="N43" s="721">
        <f>IF('[1]Tasa de Falla'!GM43=0,"",'[1]Tasa de Falla'!GM43)</f>
      </c>
      <c r="O43" s="721">
        <f>IF('[1]Tasa de Falla'!GN43=0,"",'[1]Tasa de Falla'!GN43)</f>
      </c>
      <c r="P43" s="721">
        <f>IF('[1]Tasa de Falla'!GO43=0,"",'[1]Tasa de Falla'!GO43)</f>
      </c>
      <c r="Q43" s="721">
        <f>IF('[1]Tasa de Falla'!GP43=0,"",'[1]Tasa de Falla'!GP43)</f>
      </c>
      <c r="R43" s="721">
        <f>IF('[1]Tasa de Falla'!GQ43=0,"",'[1]Tasa de Falla'!GQ43)</f>
      </c>
      <c r="S43" s="722"/>
      <c r="T43" s="3"/>
    </row>
    <row r="44" spans="2:20" ht="15" customHeight="1">
      <c r="B44" s="2"/>
      <c r="C44" s="723">
        <f>IF('[1]Tasa de Falla'!C44=0,"",'[1]Tasa de Falla'!C44)</f>
        <v>39</v>
      </c>
      <c r="D44" s="724" t="str">
        <f>IF('[1]Tasa de Falla'!D44=0,"",'[1]Tasa de Falla'!D44)</f>
        <v>LAS HERAS - SANTA CRUZ NORTE</v>
      </c>
      <c r="E44" s="724">
        <f>IF('[1]Tasa de Falla'!E44=0,"",'[1]Tasa de Falla'!E44)</f>
        <v>132</v>
      </c>
      <c r="F44" s="725">
        <f>IF('[1]Tasa de Falla'!F44=0,"",'[1]Tasa de Falla'!F44)</f>
        <v>80</v>
      </c>
      <c r="G44" s="721" t="str">
        <f>IF('[1]Tasa de Falla'!GF44=0,"",'[1]Tasa de Falla'!GF44)</f>
        <v>XXXX</v>
      </c>
      <c r="H44" s="721" t="str">
        <f>IF('[1]Tasa de Falla'!GG44=0,"",'[1]Tasa de Falla'!GG44)</f>
        <v>XXXX</v>
      </c>
      <c r="I44" s="721" t="str">
        <f>IF('[1]Tasa de Falla'!GH44=0,"",'[1]Tasa de Falla'!GH44)</f>
        <v>XXXX</v>
      </c>
      <c r="J44" s="721" t="str">
        <f>IF('[1]Tasa de Falla'!GI44=0,"",'[1]Tasa de Falla'!GI44)</f>
        <v>XXXX</v>
      </c>
      <c r="K44" s="721" t="str">
        <f>IF('[1]Tasa de Falla'!GJ44=0,"",'[1]Tasa de Falla'!GJ44)</f>
        <v>XXXX</v>
      </c>
      <c r="L44" s="721" t="str">
        <f>IF('[1]Tasa de Falla'!GK44=0,"",'[1]Tasa de Falla'!GK44)</f>
        <v>XXXX</v>
      </c>
      <c r="M44" s="721" t="str">
        <f>IF('[1]Tasa de Falla'!GL44=0,"",'[1]Tasa de Falla'!GL44)</f>
        <v>XXXX</v>
      </c>
      <c r="N44" s="721">
        <f>IF('[1]Tasa de Falla'!GM44=0,"",'[1]Tasa de Falla'!GM44)</f>
      </c>
      <c r="O44" s="721">
        <f>IF('[1]Tasa de Falla'!GN44=0,"",'[1]Tasa de Falla'!GN44)</f>
      </c>
      <c r="P44" s="721">
        <f>IF('[1]Tasa de Falla'!GO44=0,"",'[1]Tasa de Falla'!GO44)</f>
      </c>
      <c r="Q44" s="721">
        <f>IF('[1]Tasa de Falla'!GP44=0,"",'[1]Tasa de Falla'!GP44)</f>
      </c>
      <c r="R44" s="721">
        <f>IF('[1]Tasa de Falla'!GQ44=0,"",'[1]Tasa de Falla'!GQ44)</f>
      </c>
      <c r="S44" s="722"/>
      <c r="T44" s="3"/>
    </row>
    <row r="45" spans="2:20" ht="15" customHeight="1">
      <c r="B45" s="2"/>
      <c r="C45" s="726">
        <f>IF('[1]Tasa de Falla'!C45=0,"",'[1]Tasa de Falla'!C45)</f>
      </c>
      <c r="D45" s="727">
        <f>IF('[1]Tasa de Falla'!D45=0,"",'[1]Tasa de Falla'!D45)</f>
      </c>
      <c r="E45" s="727">
        <f>IF('[1]Tasa de Falla'!E45=0,"",'[1]Tasa de Falla'!E45)</f>
      </c>
      <c r="F45" s="728">
        <f>IF('[1]Tasa de Falla'!F45=0,"",'[1]Tasa de Falla'!F45)</f>
      </c>
      <c r="G45" s="721">
        <f>IF('[1]Tasa de Falla'!GF45=0,"",'[1]Tasa de Falla'!GF45)</f>
      </c>
      <c r="H45" s="721">
        <f>IF('[1]Tasa de Falla'!GG45=0,"",'[1]Tasa de Falla'!GG45)</f>
      </c>
      <c r="I45" s="721">
        <f>IF('[1]Tasa de Falla'!GH45=0,"",'[1]Tasa de Falla'!GH45)</f>
      </c>
      <c r="J45" s="721">
        <f>IF('[1]Tasa de Falla'!GI45=0,"",'[1]Tasa de Falla'!GI45)</f>
      </c>
      <c r="K45" s="721">
        <f>IF('[1]Tasa de Falla'!GJ45=0,"",'[1]Tasa de Falla'!GJ45)</f>
      </c>
      <c r="L45" s="721">
        <f>IF('[1]Tasa de Falla'!GK45=0,"",'[1]Tasa de Falla'!GK45)</f>
      </c>
      <c r="M45" s="721">
        <f>IF('[1]Tasa de Falla'!GL45=0,"",'[1]Tasa de Falla'!GL45)</f>
      </c>
      <c r="N45" s="721">
        <f>IF('[1]Tasa de Falla'!GM45=0,"",'[1]Tasa de Falla'!GM45)</f>
      </c>
      <c r="O45" s="721">
        <f>IF('[1]Tasa de Falla'!GN45=0,"",'[1]Tasa de Falla'!GN45)</f>
      </c>
      <c r="P45" s="721">
        <f>IF('[1]Tasa de Falla'!GO45=0,"",'[1]Tasa de Falla'!GO45)</f>
      </c>
      <c r="Q45" s="721">
        <f>IF('[1]Tasa de Falla'!GP45=0,"",'[1]Tasa de Falla'!GP45)</f>
      </c>
      <c r="R45" s="721">
        <f>IF('[1]Tasa de Falla'!GQ45=0,"",'[1]Tasa de Falla'!GQ45)</f>
      </c>
      <c r="S45" s="722"/>
      <c r="T45" s="3"/>
    </row>
    <row r="46" spans="2:20" ht="15" customHeight="1">
      <c r="B46" s="2"/>
      <c r="C46" s="723">
        <f>IF('[1]Tasa de Falla'!C46=0,"",'[1]Tasa de Falla'!C46)</f>
        <v>19</v>
      </c>
      <c r="D46" s="724" t="str">
        <f>IF('[1]Tasa de Falla'!D46=0,"",'[1]Tasa de Falla'!D46)</f>
        <v>PUNTA COLORADA - SIERRA GRANDE</v>
      </c>
      <c r="E46" s="724">
        <f>IF('[1]Tasa de Falla'!E46=0,"",'[1]Tasa de Falla'!E46)</f>
        <v>132</v>
      </c>
      <c r="F46" s="725">
        <f>IF('[1]Tasa de Falla'!F46=0,"",'[1]Tasa de Falla'!F46)</f>
        <v>31</v>
      </c>
      <c r="G46" s="721">
        <f>IF('[1]Tasa de Falla'!GF46=0,"",'[1]Tasa de Falla'!GF46)</f>
      </c>
      <c r="H46" s="721">
        <f>IF('[1]Tasa de Falla'!GG46=0,"",'[1]Tasa de Falla'!GG46)</f>
      </c>
      <c r="I46" s="721">
        <f>IF('[1]Tasa de Falla'!GH46=0,"",'[1]Tasa de Falla'!GH46)</f>
      </c>
      <c r="J46" s="721">
        <f>IF('[1]Tasa de Falla'!GI46=0,"",'[1]Tasa de Falla'!GI46)</f>
      </c>
      <c r="K46" s="721">
        <f>IF('[1]Tasa de Falla'!GJ46=0,"",'[1]Tasa de Falla'!GJ46)</f>
      </c>
      <c r="L46" s="721">
        <f>IF('[1]Tasa de Falla'!GK46=0,"",'[1]Tasa de Falla'!GK46)</f>
      </c>
      <c r="M46" s="721">
        <f>IF('[1]Tasa de Falla'!GL46=0,"",'[1]Tasa de Falla'!GL46)</f>
      </c>
      <c r="N46" s="721">
        <f>IF('[1]Tasa de Falla'!GM46=0,"",'[1]Tasa de Falla'!GM46)</f>
      </c>
      <c r="O46" s="721">
        <f>IF('[1]Tasa de Falla'!GN46=0,"",'[1]Tasa de Falla'!GN46)</f>
      </c>
      <c r="P46" s="721">
        <f>IF('[1]Tasa de Falla'!GO46=0,"",'[1]Tasa de Falla'!GO46)</f>
      </c>
      <c r="Q46" s="721">
        <f>IF('[1]Tasa de Falla'!GP46=0,"",'[1]Tasa de Falla'!GP46)</f>
      </c>
      <c r="R46" s="721">
        <f>IF('[1]Tasa de Falla'!GQ46=0,"",'[1]Tasa de Falla'!GQ46)</f>
      </c>
      <c r="S46" s="722"/>
      <c r="T46" s="3"/>
    </row>
    <row r="47" spans="2:20" ht="15" customHeight="1">
      <c r="B47" s="2"/>
      <c r="C47" s="726">
        <f>IF('[1]Tasa de Falla'!C47=0,"",'[1]Tasa de Falla'!C47)</f>
        <v>20</v>
      </c>
      <c r="D47" s="727" t="str">
        <f>IF('[1]Tasa de Falla'!D47=0,"",'[1]Tasa de Falla'!D47)</f>
        <v>CARMEN DE PATAGONES - VIEDMA</v>
      </c>
      <c r="E47" s="727">
        <f>IF('[1]Tasa de Falla'!E47=0,"",'[1]Tasa de Falla'!E47)</f>
        <v>132</v>
      </c>
      <c r="F47" s="728">
        <f>IF('[1]Tasa de Falla'!F47=0,"",'[1]Tasa de Falla'!F47)</f>
        <v>7</v>
      </c>
      <c r="G47" s="721" t="str">
        <f>IF('[1]Tasa de Falla'!GF47=0,"",'[1]Tasa de Falla'!GF47)</f>
        <v>XXXX</v>
      </c>
      <c r="H47" s="721" t="str">
        <f>IF('[1]Tasa de Falla'!GG47=0,"",'[1]Tasa de Falla'!GG47)</f>
        <v>XXXX</v>
      </c>
      <c r="I47" s="721" t="str">
        <f>IF('[1]Tasa de Falla'!GH47=0,"",'[1]Tasa de Falla'!GH47)</f>
        <v>XXXX</v>
      </c>
      <c r="J47" s="721" t="str">
        <f>IF('[1]Tasa de Falla'!GI47=0,"",'[1]Tasa de Falla'!GI47)</f>
        <v>XXXX</v>
      </c>
      <c r="K47" s="721" t="str">
        <f>IF('[1]Tasa de Falla'!GJ47=0,"",'[1]Tasa de Falla'!GJ47)</f>
        <v>XXXX</v>
      </c>
      <c r="L47" s="721" t="str">
        <f>IF('[1]Tasa de Falla'!GK47=0,"",'[1]Tasa de Falla'!GK47)</f>
        <v>XXXX</v>
      </c>
      <c r="M47" s="721" t="str">
        <f>IF('[1]Tasa de Falla'!GL47=0,"",'[1]Tasa de Falla'!GL47)</f>
        <v>XXXX</v>
      </c>
      <c r="N47" s="721" t="str">
        <f>IF('[1]Tasa de Falla'!GM47=0,"",'[1]Tasa de Falla'!GM47)</f>
        <v>XXXX</v>
      </c>
      <c r="O47" s="721" t="str">
        <f>IF('[1]Tasa de Falla'!GN47=0,"",'[1]Tasa de Falla'!GN47)</f>
        <v>XXXX</v>
      </c>
      <c r="P47" s="721" t="str">
        <f>IF('[1]Tasa de Falla'!GO47=0,"",'[1]Tasa de Falla'!GO47)</f>
        <v>XXXX</v>
      </c>
      <c r="Q47" s="721" t="str">
        <f>IF('[1]Tasa de Falla'!GP47=0,"",'[1]Tasa de Falla'!GP47)</f>
        <v>XXXX</v>
      </c>
      <c r="R47" s="721" t="str">
        <f>IF('[1]Tasa de Falla'!GQ47=0,"",'[1]Tasa de Falla'!GQ47)</f>
        <v>XXXX</v>
      </c>
      <c r="S47" s="722"/>
      <c r="T47" s="3"/>
    </row>
    <row r="48" spans="2:20" ht="15" customHeight="1">
      <c r="B48" s="2"/>
      <c r="C48" s="723">
        <f>IF('[1]Tasa de Falla'!C48=0,"",'[1]Tasa de Falla'!C48)</f>
      </c>
      <c r="D48" s="724" t="str">
        <f>IF('[1]Tasa de Falla'!D48=0,"",'[1]Tasa de Falla'!D48)</f>
        <v>CARMEN DE PATAGONES - VIEDMA</v>
      </c>
      <c r="E48" s="724">
        <f>IF('[1]Tasa de Falla'!E48=0,"",'[1]Tasa de Falla'!E48)</f>
        <v>132</v>
      </c>
      <c r="F48" s="725">
        <f>IF('[1]Tasa de Falla'!F48=0,"",'[1]Tasa de Falla'!F48)</f>
        <v>4.4</v>
      </c>
      <c r="G48" s="721">
        <f>IF('[1]Tasa de Falla'!GF48=0,"",'[1]Tasa de Falla'!GF48)</f>
      </c>
      <c r="H48" s="721">
        <f>IF('[1]Tasa de Falla'!GG48=0,"",'[1]Tasa de Falla'!GG48)</f>
      </c>
      <c r="I48" s="721">
        <f>IF('[1]Tasa de Falla'!GH48=0,"",'[1]Tasa de Falla'!GH48)</f>
      </c>
      <c r="J48" s="721">
        <f>IF('[1]Tasa de Falla'!GI48=0,"",'[1]Tasa de Falla'!GI48)</f>
      </c>
      <c r="K48" s="721">
        <f>IF('[1]Tasa de Falla'!GJ48=0,"",'[1]Tasa de Falla'!GJ48)</f>
        <v>1</v>
      </c>
      <c r="L48" s="721">
        <f>IF('[1]Tasa de Falla'!GK48=0,"",'[1]Tasa de Falla'!GK48)</f>
      </c>
      <c r="M48" s="721">
        <f>IF('[1]Tasa de Falla'!GL48=0,"",'[1]Tasa de Falla'!GL48)</f>
      </c>
      <c r="N48" s="721">
        <f>IF('[1]Tasa de Falla'!GM48=0,"",'[1]Tasa de Falla'!GM48)</f>
      </c>
      <c r="O48" s="721">
        <f>IF('[1]Tasa de Falla'!GN48=0,"",'[1]Tasa de Falla'!GN48)</f>
      </c>
      <c r="P48" s="721">
        <f>IF('[1]Tasa de Falla'!GO48=0,"",'[1]Tasa de Falla'!GO48)</f>
      </c>
      <c r="Q48" s="721">
        <f>IF('[1]Tasa de Falla'!GP48=0,"",'[1]Tasa de Falla'!GP48)</f>
      </c>
      <c r="R48" s="721">
        <f>IF('[1]Tasa de Falla'!GQ48=0,"",'[1]Tasa de Falla'!GQ48)</f>
      </c>
      <c r="S48" s="722"/>
      <c r="T48" s="3"/>
    </row>
    <row r="49" spans="2:20" ht="15" customHeight="1">
      <c r="B49" s="2"/>
      <c r="C49" s="726">
        <f>IF('[1]Tasa de Falla'!C49=0,"",'[1]Tasa de Falla'!C49)</f>
        <v>21</v>
      </c>
      <c r="D49" s="727" t="str">
        <f>IF('[1]Tasa de Falla'!D49=0,"",'[1]Tasa de Falla'!D49)</f>
        <v>SAN ANTONIO OESTE - SIERRA GRANDE</v>
      </c>
      <c r="E49" s="727">
        <f>IF('[1]Tasa de Falla'!E49=0,"",'[1]Tasa de Falla'!E49)</f>
        <v>132</v>
      </c>
      <c r="F49" s="728">
        <f>IF('[1]Tasa de Falla'!F49=0,"",'[1]Tasa de Falla'!F49)</f>
        <v>110.3</v>
      </c>
      <c r="G49" s="721">
        <f>IF('[1]Tasa de Falla'!GF49=0,"",'[1]Tasa de Falla'!GF49)</f>
        <v>1</v>
      </c>
      <c r="H49" s="721">
        <f>IF('[1]Tasa de Falla'!GG49=0,"",'[1]Tasa de Falla'!GG49)</f>
      </c>
      <c r="I49" s="721">
        <f>IF('[1]Tasa de Falla'!GH49=0,"",'[1]Tasa de Falla'!GH49)</f>
      </c>
      <c r="J49" s="721">
        <f>IF('[1]Tasa de Falla'!GI49=0,"",'[1]Tasa de Falla'!GI49)</f>
      </c>
      <c r="K49" s="721">
        <f>IF('[1]Tasa de Falla'!GJ49=0,"",'[1]Tasa de Falla'!GJ49)</f>
      </c>
      <c r="L49" s="721">
        <f>IF('[1]Tasa de Falla'!GK49=0,"",'[1]Tasa de Falla'!GK49)</f>
      </c>
      <c r="M49" s="721">
        <f>IF('[1]Tasa de Falla'!GL49=0,"",'[1]Tasa de Falla'!GL49)</f>
      </c>
      <c r="N49" s="721">
        <f>IF('[1]Tasa de Falla'!GM49=0,"",'[1]Tasa de Falla'!GM49)</f>
      </c>
      <c r="O49" s="721">
        <f>IF('[1]Tasa de Falla'!GN49=0,"",'[1]Tasa de Falla'!GN49)</f>
      </c>
      <c r="P49" s="721">
        <f>IF('[1]Tasa de Falla'!GO49=0,"",'[1]Tasa de Falla'!GO49)</f>
        <v>1</v>
      </c>
      <c r="Q49" s="721">
        <f>IF('[1]Tasa de Falla'!GP49=0,"",'[1]Tasa de Falla'!GP49)</f>
      </c>
      <c r="R49" s="721">
        <f>IF('[1]Tasa de Falla'!GQ49=0,"",'[1]Tasa de Falla'!GQ49)</f>
      </c>
      <c r="S49" s="722"/>
      <c r="T49" s="3"/>
    </row>
    <row r="50" spans="2:20" ht="15" customHeight="1">
      <c r="B50" s="2"/>
      <c r="C50" s="723">
        <f>IF('[1]Tasa de Falla'!C50=0,"",'[1]Tasa de Falla'!C50)</f>
        <v>22</v>
      </c>
      <c r="D50" s="724" t="str">
        <f>IF('[1]Tasa de Falla'!D50=0,"",'[1]Tasa de Falla'!D50)</f>
        <v>SAN ANTONIO OESTE -VIEDMA-SAN ANTONIO ESTE</v>
      </c>
      <c r="E50" s="724">
        <f>IF('[1]Tasa de Falla'!E50=0,"",'[1]Tasa de Falla'!E50)</f>
        <v>132</v>
      </c>
      <c r="F50" s="725">
        <f>IF('[1]Tasa de Falla'!F50=0,"",'[1]Tasa de Falla'!F50)</f>
        <v>185.6</v>
      </c>
      <c r="G50" s="721">
        <f>IF('[1]Tasa de Falla'!GF50=0,"",'[1]Tasa de Falla'!GF50)</f>
        <v>1</v>
      </c>
      <c r="H50" s="721">
        <f>IF('[1]Tasa de Falla'!GG50=0,"",'[1]Tasa de Falla'!GG50)</f>
      </c>
      <c r="I50" s="721">
        <f>IF('[1]Tasa de Falla'!GH50=0,"",'[1]Tasa de Falla'!GH50)</f>
      </c>
      <c r="J50" s="721">
        <f>IF('[1]Tasa de Falla'!GI50=0,"",'[1]Tasa de Falla'!GI50)</f>
      </c>
      <c r="K50" s="721">
        <f>IF('[1]Tasa de Falla'!GJ50=0,"",'[1]Tasa de Falla'!GJ50)</f>
      </c>
      <c r="L50" s="721">
        <f>IF('[1]Tasa de Falla'!GK50=0,"",'[1]Tasa de Falla'!GK50)</f>
      </c>
      <c r="M50" s="721">
        <f>IF('[1]Tasa de Falla'!GL50=0,"",'[1]Tasa de Falla'!GL50)</f>
      </c>
      <c r="N50" s="721">
        <f>IF('[1]Tasa de Falla'!GM50=0,"",'[1]Tasa de Falla'!GM50)</f>
      </c>
      <c r="O50" s="721">
        <f>IF('[1]Tasa de Falla'!GN50=0,"",'[1]Tasa de Falla'!GN50)</f>
      </c>
      <c r="P50" s="721">
        <f>IF('[1]Tasa de Falla'!GO50=0,"",'[1]Tasa de Falla'!GO50)</f>
        <v>3</v>
      </c>
      <c r="Q50" s="721">
        <f>IF('[1]Tasa de Falla'!GP50=0,"",'[1]Tasa de Falla'!GP50)</f>
      </c>
      <c r="R50" s="721">
        <f>IF('[1]Tasa de Falla'!GQ50=0,"",'[1]Tasa de Falla'!GQ50)</f>
      </c>
      <c r="S50" s="722"/>
      <c r="T50" s="3"/>
    </row>
    <row r="51" spans="2:20" ht="15" customHeight="1" thickBot="1">
      <c r="B51" s="2"/>
      <c r="C51" s="729"/>
      <c r="D51" s="730"/>
      <c r="E51" s="731"/>
      <c r="F51" s="732"/>
      <c r="G51" s="721" t="str">
        <f>IF('[1]Tasa de Falla'!GF51=0,"",'[1]Tasa de Falla'!GF51)</f>
        <v>XXXX</v>
      </c>
      <c r="H51" s="721" t="str">
        <f>IF('[1]Tasa de Falla'!GG51=0,"",'[1]Tasa de Falla'!GG51)</f>
        <v>XXXX</v>
      </c>
      <c r="I51" s="721" t="str">
        <f>IF('[1]Tasa de Falla'!GH51=0,"",'[1]Tasa de Falla'!GH51)</f>
        <v>XXXX</v>
      </c>
      <c r="J51" s="721" t="str">
        <f>IF('[1]Tasa de Falla'!GI51=0,"",'[1]Tasa de Falla'!GI51)</f>
        <v>XXXX</v>
      </c>
      <c r="K51" s="721" t="str">
        <f>IF('[1]Tasa de Falla'!GJ51=0,"",'[1]Tasa de Falla'!GJ51)</f>
        <v>XXXX</v>
      </c>
      <c r="L51" s="721" t="str">
        <f>IF('[1]Tasa de Falla'!GK51=0,"",'[1]Tasa de Falla'!GK51)</f>
        <v>XXXX</v>
      </c>
      <c r="M51" s="721" t="str">
        <f>IF('[1]Tasa de Falla'!GL51=0,"",'[1]Tasa de Falla'!GL51)</f>
        <v>XXXX</v>
      </c>
      <c r="N51" s="721" t="str">
        <f>IF('[1]Tasa de Falla'!GM51=0,"",'[1]Tasa de Falla'!GM51)</f>
        <v>XXXX</v>
      </c>
      <c r="O51" s="721" t="str">
        <f>IF('[1]Tasa de Falla'!GN51=0,"",'[1]Tasa de Falla'!GN51)</f>
        <v>XXXX</v>
      </c>
      <c r="P51" s="721" t="str">
        <f>IF('[1]Tasa de Falla'!GO51=0,"",'[1]Tasa de Falla'!GO51)</f>
        <v>XXXX</v>
      </c>
      <c r="Q51" s="721" t="str">
        <f>IF('[1]Tasa de Falla'!GP51=0,"",'[1]Tasa de Falla'!GP51)</f>
        <v>XXXX</v>
      </c>
      <c r="R51" s="721" t="str">
        <f>IF('[1]Tasa de Falla'!GQ51=0,"",'[1]Tasa de Falla'!GQ51)</f>
        <v>XXXX</v>
      </c>
      <c r="S51" s="722"/>
      <c r="T51" s="3"/>
    </row>
    <row r="52" spans="2:20" ht="15" customHeight="1" thickBot="1" thickTop="1">
      <c r="B52" s="2"/>
      <c r="C52" s="77"/>
      <c r="D52" s="197"/>
      <c r="E52" s="733" t="s">
        <v>165</v>
      </c>
      <c r="F52" s="734">
        <f>SUM(F18:F51)-F34</f>
        <v>2631.2600000000007</v>
      </c>
      <c r="G52" s="735"/>
      <c r="H52" s="735"/>
      <c r="I52" s="735"/>
      <c r="J52" s="735"/>
      <c r="K52" s="735"/>
      <c r="L52" s="735"/>
      <c r="M52" s="735"/>
      <c r="N52" s="735"/>
      <c r="O52" s="735"/>
      <c r="P52" s="735"/>
      <c r="Q52" s="735"/>
      <c r="R52" s="735"/>
      <c r="S52" s="722"/>
      <c r="T52" s="3"/>
    </row>
    <row r="53" spans="2:20" ht="15" customHeight="1" thickBot="1" thickTop="1">
      <c r="B53" s="2"/>
      <c r="C53" s="32"/>
      <c r="D53" s="39"/>
      <c r="E53" s="736"/>
      <c r="F53" s="737" t="s">
        <v>166</v>
      </c>
      <c r="G53" s="738">
        <f aca="true" t="shared" si="0" ref="G53:R53">SUM(G17:G51)</f>
        <v>3</v>
      </c>
      <c r="H53" s="738">
        <f t="shared" si="0"/>
        <v>0</v>
      </c>
      <c r="I53" s="738">
        <f t="shared" si="0"/>
        <v>4</v>
      </c>
      <c r="J53" s="738">
        <f t="shared" si="0"/>
        <v>4</v>
      </c>
      <c r="K53" s="738">
        <f t="shared" si="0"/>
        <v>1</v>
      </c>
      <c r="L53" s="738">
        <f t="shared" si="0"/>
        <v>1</v>
      </c>
      <c r="M53" s="738">
        <f t="shared" si="0"/>
        <v>1</v>
      </c>
      <c r="N53" s="738">
        <f t="shared" si="0"/>
        <v>4</v>
      </c>
      <c r="O53" s="738">
        <f t="shared" si="0"/>
        <v>4</v>
      </c>
      <c r="P53" s="738">
        <f t="shared" si="0"/>
        <v>6</v>
      </c>
      <c r="Q53" s="738">
        <f t="shared" si="0"/>
        <v>2</v>
      </c>
      <c r="R53" s="738">
        <f t="shared" si="0"/>
        <v>1</v>
      </c>
      <c r="S53" s="739"/>
      <c r="T53" s="3"/>
    </row>
    <row r="54" spans="2:20" ht="17.25" thickBot="1" thickTop="1">
      <c r="B54" s="2"/>
      <c r="C54" s="736"/>
      <c r="D54" s="736"/>
      <c r="E54" s="32"/>
      <c r="F54" s="740" t="s">
        <v>167</v>
      </c>
      <c r="G54" s="741">
        <f>'[1]Tasa de Falla'!GG72</f>
        <v>1.46</v>
      </c>
      <c r="H54" s="741">
        <f>'[1]Tasa de Falla'!GH72</f>
        <v>1.43</v>
      </c>
      <c r="I54" s="741">
        <f>'[1]Tasa de Falla'!GI72</f>
        <v>1.46</v>
      </c>
      <c r="J54" s="741">
        <f>'[1]Tasa de Falla'!GJ72</f>
        <v>1.18</v>
      </c>
      <c r="K54" s="741">
        <f>'[1]Tasa de Falla'!GK72</f>
        <v>1.22</v>
      </c>
      <c r="L54" s="741">
        <f>'[1]Tasa de Falla'!GL72</f>
        <v>1.11</v>
      </c>
      <c r="M54" s="741">
        <f>'[1]Tasa de Falla'!GM72</f>
        <v>0.87</v>
      </c>
      <c r="N54" s="741">
        <f>'[1]Tasa de Falla'!GN72</f>
        <v>0.93</v>
      </c>
      <c r="O54" s="741">
        <f>'[1]Tasa de Falla'!GO72</f>
        <v>1.03</v>
      </c>
      <c r="P54" s="741">
        <f>'[1]Tasa de Falla'!GP72</f>
        <v>1.24</v>
      </c>
      <c r="Q54" s="741">
        <f>'[1]Tasa de Falla'!GQ72</f>
        <v>1.27</v>
      </c>
      <c r="R54" s="741">
        <f>'[1]Tasa de Falla'!GR72</f>
        <v>1.2</v>
      </c>
      <c r="S54" s="741">
        <f>'[1]Tasa de Falla'!GS72</f>
        <v>1.2</v>
      </c>
      <c r="T54" s="3"/>
    </row>
    <row r="55" spans="2:20" ht="18.75" customHeight="1" thickBot="1" thickTop="1">
      <c r="B55" s="2"/>
      <c r="C55" s="742" t="s">
        <v>168</v>
      </c>
      <c r="D55" s="32" t="s">
        <v>169</v>
      </c>
      <c r="E55" s="743"/>
      <c r="F55" s="744"/>
      <c r="G55" s="745"/>
      <c r="H55" s="745"/>
      <c r="I55" s="745"/>
      <c r="J55" s="745"/>
      <c r="K55" s="745"/>
      <c r="L55" s="745"/>
      <c r="M55" s="745"/>
      <c r="N55" s="745"/>
      <c r="O55" s="745"/>
      <c r="P55" s="745"/>
      <c r="Q55" s="745"/>
      <c r="R55" s="745"/>
      <c r="S55" s="745"/>
      <c r="T55" s="63"/>
    </row>
    <row r="56" spans="2:20" ht="17.25" thickBot="1" thickTop="1">
      <c r="B56" s="746"/>
      <c r="C56" s="747"/>
      <c r="D56" s="748" t="s">
        <v>170</v>
      </c>
      <c r="H56" s="749" t="s">
        <v>171</v>
      </c>
      <c r="I56" s="750"/>
      <c r="J56" s="751">
        <f>S54</f>
        <v>1.2</v>
      </c>
      <c r="K56" s="752" t="s">
        <v>172</v>
      </c>
      <c r="L56" s="752"/>
      <c r="M56" s="753"/>
      <c r="N56" s="748"/>
      <c r="O56" s="748"/>
      <c r="P56" s="748"/>
      <c r="Q56" s="748"/>
      <c r="R56" s="748"/>
      <c r="S56" s="748"/>
      <c r="T56" s="3"/>
    </row>
    <row r="57" spans="2:20" ht="18.75" customHeight="1" thickBot="1">
      <c r="B57" s="754"/>
      <c r="C57" s="755"/>
      <c r="D57" s="51"/>
      <c r="E57" s="51"/>
      <c r="F57" s="756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8"/>
    </row>
    <row r="58" ht="13.5" thickTop="1"/>
  </sheetData>
  <printOptions horizontalCentered="1" verticalCentered="1"/>
  <pageMargins left="0.26" right="0.1968503937007874" top="0.7874015748031497" bottom="0.52" header="0.5118110236220472" footer="0.2"/>
  <pageSetup fitToHeight="1" fitToWidth="1" horizontalDpi="300" verticalDpi="300" orientation="landscape" paperSize="9" scale="52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2012-04-26T15:19:07Z</cp:lastPrinted>
  <dcterms:created xsi:type="dcterms:W3CDTF">2000-10-04T20:14:32Z</dcterms:created>
  <dcterms:modified xsi:type="dcterms:W3CDTF">2012-08-02T17:45:10Z</dcterms:modified>
  <cp:category/>
  <cp:version/>
  <cp:contentType/>
  <cp:contentStatus/>
</cp:coreProperties>
</file>