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928" activeTab="0"/>
  </bookViews>
  <sheets>
    <sheet name="TOT-0511" sheetId="1" r:id="rId1"/>
    <sheet name="LI-05 (1)" sheetId="2" r:id="rId2"/>
    <sheet name="LI-EDERSA-05 (1)" sheetId="3" r:id="rId3"/>
    <sheet name="LI-SPSE-05 (1)" sheetId="4" r:id="rId4"/>
    <sheet name="TR-05 (1)" sheetId="5" r:id="rId5"/>
    <sheet name="TR-EDERSA-05 (1)" sheetId="6" r:id="rId6"/>
    <sheet name="SA-05 (1)" sheetId="7" r:id="rId7"/>
    <sheet name="SA-EDERSA-05 (1)" sheetId="8" r:id="rId8"/>
    <sheet name="SUP-EDERSA" sheetId="9" r:id="rId9"/>
    <sheet name="SUP-SPSE" sheetId="10" r:id="rId10"/>
    <sheet name="TASA FALLA " sheetId="11" r:id="rId11"/>
  </sheets>
  <externalReferences>
    <externalReference r:id="rId14"/>
  </externalReferences>
  <definedNames>
    <definedName name="_xlnm.Print_Area" localSheetId="10">'TASA FALLA '!$A$1:$T$57</definedName>
    <definedName name="DD" localSheetId="10">'TASA FALLA '!DD</definedName>
    <definedName name="DD">[0]!DD</definedName>
    <definedName name="DDD" localSheetId="10">'TASA FALLA '!DDD</definedName>
    <definedName name="DDD">[0]!DDD</definedName>
    <definedName name="DISTROCUYO" localSheetId="10">'TASA FALLA '!DISTROCUYO</definedName>
    <definedName name="DISTROCUYO">[0]!DISTROCUYO</definedName>
    <definedName name="INICIO" localSheetId="10">'TASA FALLA '!INICIO</definedName>
    <definedName name="INICIO">[0]!INICIO</definedName>
    <definedName name="INICIOTI" localSheetId="10">'TASA FALLA '!INICIOTI</definedName>
    <definedName name="INICIOTI">[0]!INICIOTI</definedName>
    <definedName name="LINEAS" localSheetId="10">'TASA FALLA '!LINEAS</definedName>
    <definedName name="LINEAS">[0]!LINEAS</definedName>
    <definedName name="NAME_L" localSheetId="10">'TASA FALLA '!NAME_L</definedName>
    <definedName name="NAME_L">[0]!NAME_L</definedName>
    <definedName name="NAME_L_TI" localSheetId="10">'TASA FALLA '!NAME_L_TI</definedName>
    <definedName name="NAME_L_TI">[0]!NAME_L_TI</definedName>
    <definedName name="TRAN" localSheetId="10">'TASA FALLA '!TRAN</definedName>
    <definedName name="TRAN">[0]!TRAN</definedName>
    <definedName name="TRANSNOA" localSheetId="10">'TASA FALLA '!TRANSNOA</definedName>
    <definedName name="TRANSNOA">[0]!TRANSNOA</definedName>
    <definedName name="x" localSheetId="10">'TASA FALLA '!x</definedName>
    <definedName name="x">[0]!x</definedName>
    <definedName name="XX" localSheetId="10">'TASA FALLA '!XX</definedName>
    <definedName name="XX">[0]!XX</definedName>
  </definedNames>
  <calcPr fullCalcOnLoad="1"/>
</workbook>
</file>

<file path=xl/comments7.xml><?xml version="1.0" encoding="utf-8"?>
<comments xmlns="http://schemas.openxmlformats.org/spreadsheetml/2006/main">
  <authors>
    <author>jmessina</author>
  </authors>
  <commentList>
    <comment ref="G16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7,577 
hasta 01/07/2008 RES330</t>
        </r>
      </text>
    </commen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3,030 hasta 01/07/2008 RES330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2,274 hasta 01/07/2008 RES330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2,274 hasta 01/07/2008 RES330</t>
        </r>
      </text>
    </comment>
  </commentList>
</comments>
</file>

<file path=xl/comments9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ATRAXX.TXT
SECCION A21
DISTPAT
SAO -132    SAE -132
EDERPSAT</t>
        </r>
      </text>
    </comment>
  </commentList>
</comments>
</file>

<file path=xl/sharedStrings.xml><?xml version="1.0" encoding="utf-8"?>
<sst xmlns="http://schemas.openxmlformats.org/spreadsheetml/2006/main" count="499" uniqueCount="201">
  <si>
    <t>SISTEMA DE TRANSPORTE DE ENERGÍA ELÉCTRICA POR DISTRIBUCIÓN TRONCAL</t>
  </si>
  <si>
    <t>TRANSPA S.A.</t>
  </si>
  <si>
    <t>TOTAL</t>
  </si>
  <si>
    <t>SALIDAS</t>
  </si>
  <si>
    <t>PICO TRUNCADO I - PUERTO DESEADO</t>
  </si>
  <si>
    <t>PUNTA COLORADA - SIERRA GRANDE</t>
  </si>
  <si>
    <t>S.A. OESTE - SIERRA GRANDE</t>
  </si>
  <si>
    <t>S.A. OESTE - VIEDMA</t>
  </si>
  <si>
    <t>VIEDMA - CARMEN DE PATAGONES</t>
  </si>
  <si>
    <t>TRAFO 2</t>
  </si>
  <si>
    <t>TRAFO 1</t>
  </si>
  <si>
    <t>PUERTO DESEADO</t>
  </si>
  <si>
    <t>PUNTA COLORADA</t>
  </si>
  <si>
    <t>SAN ANTONIO ESTE</t>
  </si>
  <si>
    <t>SAN ANTONIO OESTE</t>
  </si>
  <si>
    <t>SIERRA GRANDE</t>
  </si>
  <si>
    <t>VIEDMA</t>
  </si>
  <si>
    <t>ALIMENTADOR 1</t>
  </si>
  <si>
    <t>ALIMENTADOR 2</t>
  </si>
  <si>
    <t>EQUIPO</t>
  </si>
  <si>
    <t>U [kV]</t>
  </si>
  <si>
    <t xml:space="preserve">ENTE NACIONAL REGULADOR </t>
  </si>
  <si>
    <t>DE LA ELECTRICIDAD</t>
  </si>
  <si>
    <t>1.-</t>
  </si>
  <si>
    <t>LÍNEAS</t>
  </si>
  <si>
    <t>1.1.-</t>
  </si>
  <si>
    <t>Equipamiento propio</t>
  </si>
  <si>
    <t>1.2.-</t>
  </si>
  <si>
    <t>Transportista Independiente E.D.E.R.S.A.</t>
  </si>
  <si>
    <t>1.3.-</t>
  </si>
  <si>
    <t>Transportista Independiente S.P.S.E.</t>
  </si>
  <si>
    <t>2.-</t>
  </si>
  <si>
    <t>CONEXIÓN</t>
  </si>
  <si>
    <t>2.1.-</t>
  </si>
  <si>
    <t>Transformación</t>
  </si>
  <si>
    <t>2.1.1.-</t>
  </si>
  <si>
    <t>2.1.2.-</t>
  </si>
  <si>
    <t>2.2.-</t>
  </si>
  <si>
    <t>Salidas</t>
  </si>
  <si>
    <t>2.2.1.-</t>
  </si>
  <si>
    <t>2.2.2.-</t>
  </si>
  <si>
    <t>4.-</t>
  </si>
  <si>
    <t>SUPERVISIÓN</t>
  </si>
  <si>
    <t>4.1.-</t>
  </si>
  <si>
    <t>4.2.-</t>
  </si>
  <si>
    <t xml:space="preserve">TOTAL </t>
  </si>
  <si>
    <t>SISTEMA DE TRANSPORTE DE ENERGÍA ELÉCTRICA POR DISTRIBUCIÓN TRONCAL - TRANSPA S.A.</t>
  </si>
  <si>
    <t>1.- LÍNEAS</t>
  </si>
  <si>
    <t>1.1.- Equipamiento propio</t>
  </si>
  <si>
    <t xml:space="preserve">$/100 km-h : LINEAS 330 kV 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</si>
  <si>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</si>
  <si>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</si>
  <si>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</si>
  <si>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</si>
  <si>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</si>
  <si>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</si>
  <si>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</si>
  <si>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</si>
  <si>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</si>
  <si>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</si>
  <si>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</si>
  <si>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</si>
  <si>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</si>
  <si>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</si>
  <si>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1ras 3 hs.   hs. Restante</t>
  </si>
  <si>
    <t>REDUCC. FORZADA
Por Salida   1ras 3 hs.   hs. Restante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</si>
  <si>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</si>
  <si>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</si>
  <si>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</si>
  <si>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</si>
  <si>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</si>
  <si>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</si>
  <si>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</si>
  <si>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</si>
  <si>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</si>
  <si>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</si>
  <si>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</si>
  <si>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POT.
[MVA]</t>
  </si>
  <si>
    <t xml:space="preserve">  Salida</t>
  </si>
  <si>
    <t xml:space="preserve">  Entrada</t>
  </si>
  <si>
    <t>Hs.
Indisp.</t>
  </si>
  <si>
    <t>Mtos.
Indisp.</t>
  </si>
  <si>
    <t>AUT.</t>
  </si>
  <si>
    <t>REST.
%</t>
  </si>
  <si>
    <t>E.N.S.</t>
  </si>
  <si>
    <t>K (P;ENS)</t>
  </si>
  <si>
    <t>PENALIZACIONES
Por Salida  hs. Restantes</t>
  </si>
  <si>
    <t xml:space="preserve"> 2.1.2.- Transportista Independiente E.D.E.R.S.A.</t>
  </si>
  <si>
    <t>2.2.- Salidas</t>
  </si>
  <si>
    <t>2.2.1.- Equipamiento propio</t>
  </si>
  <si>
    <t>Salida en 330 kV</t>
  </si>
  <si>
    <t xml:space="preserve">Salida en 132 kV o 66 kV = </t>
  </si>
  <si>
    <t xml:space="preserve">Salida en 33 kV </t>
  </si>
  <si>
    <t>Salida en 13,2 kV =</t>
  </si>
  <si>
    <t>K (U)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</si>
  <si>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</si>
  <si>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</si>
  <si>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</si>
  <si>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</si>
  <si>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</si>
  <si>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</si>
  <si>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</si>
  <si>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</si>
  <si>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SEGÚN 1.2.</t>
  </si>
  <si>
    <t>TRANSFORMACIÓN</t>
  </si>
  <si>
    <t>SEGÚN 2.1.2.</t>
  </si>
  <si>
    <t>SEGÚN 2.2.2.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</si>
  <si>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</si>
  <si>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</si>
  <si>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</si>
  <si>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Long [km]</t>
  </si>
  <si>
    <t>Cargo por Capacidad de Transformación</t>
  </si>
  <si>
    <t>Equipo</t>
  </si>
  <si>
    <t>Pot [MVA]</t>
  </si>
  <si>
    <t>E.T</t>
  </si>
  <si>
    <t>Cargo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</si>
  <si>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</si>
  <si>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</si>
  <si>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</si>
  <si>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</si>
  <si>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</si>
  <si>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</si>
  <si>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TOTAL A PENALIZAR A TRANSPA S.A. POR SUPERVISIÓN A  SPSE</t>
  </si>
  <si>
    <t>SANCIÓN  =</t>
  </si>
  <si>
    <t>Pot  E.T. [MVA]</t>
  </si>
  <si>
    <t>TRAFOS 1y2</t>
  </si>
  <si>
    <t>C. DE PATAGONES</t>
  </si>
  <si>
    <t>Salida Viedma</t>
  </si>
  <si>
    <t>Tr 1, 2, 4 y 5</t>
  </si>
  <si>
    <t>Salida Conesa y SA Oeste</t>
  </si>
  <si>
    <t>Salidas Valcheta, SA Oeste y SA Este</t>
  </si>
  <si>
    <t>Alimentadores 1,2,3,5,6 y 8</t>
  </si>
  <si>
    <t>TRAFOS 1 y 2</t>
  </si>
  <si>
    <t>Alimentadores en 33 y 6,6 (2)</t>
  </si>
  <si>
    <t>Salidas en 132, 33, 13,2 (3), 6,6 (2)</t>
  </si>
  <si>
    <t>TOTAL A PENALIZAR A TRANSPA S.A. POR SUPERVISIÓN A EDERSA</t>
  </si>
  <si>
    <r>
      <t xml:space="preserve">        RM</t>
    </r>
    <r>
      <rPr>
        <sz val="12"/>
        <rFont val="Times New Roman"/>
        <family val="1"/>
      </rPr>
      <t xml:space="preserve"> por Energía Transportada</t>
    </r>
  </si>
  <si>
    <r>
      <t xml:space="preserve">  RM</t>
    </r>
    <r>
      <rPr>
        <sz val="12"/>
        <rFont val="Times New Roman"/>
        <family val="1"/>
      </rPr>
      <t xml:space="preserve"> por Cap. Transporte</t>
    </r>
  </si>
  <si>
    <r>
      <t>RM</t>
    </r>
    <r>
      <rPr>
        <sz val="12"/>
        <rFont val="Times New Roman"/>
        <family val="1"/>
      </rPr>
      <t xml:space="preserve"> Cap. Transformación</t>
    </r>
  </si>
  <si>
    <t>4.1.- SUPERVISIÓN - Transportista Independiente E.D.E.R.S.A.</t>
  </si>
  <si>
    <t>4.2.- SUPERVISIÓN - Transportista Independiente S.P.S.E.</t>
  </si>
  <si>
    <t>2.2.2.- Transportista Independiente E.D.E.R.S.A.</t>
  </si>
  <si>
    <t>1.3.- Transportista Independiente S.P.S.E.</t>
  </si>
  <si>
    <t>1.2.- Transportista Independiente E.D.E.R.S.A.</t>
  </si>
  <si>
    <t>ID EQUIPO</t>
  </si>
  <si>
    <t>INDISP</t>
  </si>
  <si>
    <t xml:space="preserve">        DE LA ELECTRICIDAD</t>
  </si>
  <si>
    <t xml:space="preserve">              DE LA ELECTRICIDAD</t>
  </si>
  <si>
    <t xml:space="preserve">           ENTE NACIONAL REGULADOR </t>
  </si>
  <si>
    <t>(DTE 0609)</t>
  </si>
  <si>
    <t>Desde el 01 al 31 de mayo de 2011</t>
  </si>
  <si>
    <t>FUTALEUFU - PTO. MADRYN 1</t>
  </si>
  <si>
    <t>P</t>
  </si>
  <si>
    <t>SI</t>
  </si>
  <si>
    <t>0,000</t>
  </si>
  <si>
    <t>F</t>
  </si>
  <si>
    <t>BARRIO SAN MARTIN</t>
  </si>
  <si>
    <t>132/33/13,2</t>
  </si>
  <si>
    <t>TRAFO 3</t>
  </si>
  <si>
    <t>PUERTO MADRYN</t>
  </si>
  <si>
    <t>AUTOTRAFO 1</t>
  </si>
  <si>
    <t>330/132/33</t>
  </si>
  <si>
    <t>AUTOTRAFO 2</t>
  </si>
  <si>
    <t>PICO TRUNCADO 1</t>
  </si>
  <si>
    <t>TRAFO 4</t>
  </si>
  <si>
    <t>R</t>
  </si>
  <si>
    <t>TRELEW</t>
  </si>
  <si>
    <t>S.A. OESTE - S.A. ESTE - VIEDMA</t>
  </si>
  <si>
    <t>F - FORZADA</t>
  </si>
  <si>
    <t>P - PROGRAMADA</t>
  </si>
  <si>
    <t>PTQ. C. RIVADAVIA - P. DESEADO</t>
  </si>
  <si>
    <t>234515 / ...16</t>
  </si>
  <si>
    <t>1634 / 1635</t>
  </si>
  <si>
    <t>S. ANTONIO OESTE</t>
  </si>
  <si>
    <t xml:space="preserve">ALIMENTADOR 5 - COOP. </t>
  </si>
  <si>
    <t>ALIMENTADOR 5 - COOP.</t>
  </si>
  <si>
    <t xml:space="preserve">F - FORZADA </t>
  </si>
  <si>
    <t>P - PROGRAMADA ;   F - FORZADA ;   R - REDUCCIÓN FORZADA</t>
  </si>
  <si>
    <t xml:space="preserve"> -</t>
  </si>
  <si>
    <t>ALIMENTADOR 1 RURAL</t>
  </si>
  <si>
    <t>ALIMENTADOR 2  C. PATAGONES</t>
  </si>
  <si>
    <t>SEGÚN 1.3.</t>
  </si>
  <si>
    <t xml:space="preserve">P - PROGRAMADA </t>
  </si>
  <si>
    <t xml:space="preserve">SISTEMA DE TRANSPORTE DE ENERGÍA ELÉCTRICA POR DISTRIBUCIÓN TRONCAL </t>
  </si>
  <si>
    <t>INDISPONIBILIDADES FORZADAS DE LÍNEAS - TASA DE FALLA</t>
  </si>
  <si>
    <t>Tasa de falla correspondiente al mes de mayo de 2011 (provisoria).-</t>
  </si>
  <si>
    <t xml:space="preserve">Longitud Total </t>
  </si>
  <si>
    <t xml:space="preserve">Indisponibilidades Forzadas </t>
  </si>
  <si>
    <t xml:space="preserve">TASA DE FALLA </t>
  </si>
  <si>
    <t>XXX</t>
  </si>
  <si>
    <t xml:space="preserve">  Líneas No existentes en los respectivos meses</t>
  </si>
  <si>
    <t>VALOR PROVISORIO</t>
  </si>
  <si>
    <t>TASA DE FALLA</t>
  </si>
  <si>
    <t>SALIDAS x AÑO / 100 km</t>
  </si>
  <si>
    <t>Valores remuneratorios Decreto PEN N° 1779/07 -  Res. ENRE N° 331/08 -  Res. ENRE N° 645/08</t>
  </si>
  <si>
    <t>TOTAL DE PENALIZACIONES</t>
  </si>
  <si>
    <t>5a</t>
  </si>
  <si>
    <t>NO</t>
  </si>
  <si>
    <t>10a</t>
  </si>
  <si>
    <t>RF</t>
  </si>
  <si>
    <t>ANEXO V al Memorandum  D.T.E.E.  N°482  / 2012</t>
  </si>
</sst>
</file>

<file path=xl/styles.xml><?xml version="1.0" encoding="utf-8"?>
<styleSheet xmlns="http://schemas.openxmlformats.org/spreadsheetml/2006/main">
  <numFmts count="7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"/>
    <numFmt numFmtId="174" formatCode="0.0\ \k\V"/>
    <numFmt numFmtId="175" formatCode="0.00\ &quot;km&quot;"/>
    <numFmt numFmtId="176" formatCode="0.00\ &quot;MVA&quot;"/>
    <numFmt numFmtId="177" formatCode="0.000_)"/>
    <numFmt numFmtId="178" formatCode="&quot;$&quot;#,##0.00;&quot;$&quot;\-#,##0.00"/>
    <numFmt numFmtId="179" formatCode="&quot;$&quot;#,##0.00"/>
    <numFmt numFmtId="180" formatCode="#&quot;.&quot;#&quot;.-&quot;"/>
    <numFmt numFmtId="181" formatCode="#&quot;.&quot;#&quot;.&quot;#&quot;.-&quot;"/>
    <numFmt numFmtId="182" formatCode="#,##0;[Red]#,##0"/>
    <numFmt numFmtId="183" formatCode="#,##0.000000"/>
    <numFmt numFmtId="184" formatCode="#,##0.00;[Red]#,##0.00"/>
    <numFmt numFmtId="185" formatCode="dd/mm/yy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  <numFmt numFmtId="226" formatCode="#,##0.000000_ ;\-#,##0.000000\ "/>
  </numFmts>
  <fonts count="8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0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double"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sz val="16"/>
      <name val="MS Sans Serif"/>
      <family val="0"/>
    </font>
    <font>
      <b/>
      <i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name val="MS Sans Serif"/>
      <family val="0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0"/>
    </font>
    <font>
      <sz val="11"/>
      <color indexed="48"/>
      <name val="MS Sans Serif"/>
      <family val="2"/>
    </font>
    <font>
      <sz val="10"/>
      <color indexed="48"/>
      <name val="MS Sans Serif"/>
      <family val="0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2"/>
      <name val="Times New Roman"/>
      <family val="0"/>
    </font>
    <font>
      <sz val="10"/>
      <color indexed="3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MS Sans Serif"/>
      <family val="0"/>
    </font>
    <font>
      <sz val="10"/>
      <color indexed="9"/>
      <name val="Times New Roman"/>
      <family val="1"/>
    </font>
    <font>
      <b/>
      <sz val="10"/>
      <color indexed="8"/>
      <name val="MS Sans Serif"/>
      <family val="0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MS Sans Serif"/>
      <family val="0"/>
    </font>
    <font>
      <b/>
      <sz val="10"/>
      <color indexed="48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9"/>
      <name val="Times New Roman"/>
      <family val="1"/>
    </font>
    <font>
      <sz val="24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b/>
      <sz val="11"/>
      <name val="MS Sans Serif"/>
      <family val="2"/>
    </font>
    <font>
      <b/>
      <u val="single"/>
      <sz val="12"/>
      <name val="Arial"/>
      <family val="0"/>
    </font>
    <font>
      <b/>
      <sz val="12"/>
      <name val="MS Sans Serif"/>
      <family val="2"/>
    </font>
    <font>
      <b/>
      <sz val="8"/>
      <name val="MS Sans Serif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gray0625">
        <fgColor indexed="8"/>
      </patternFill>
    </fill>
    <fill>
      <patternFill patternType="solid">
        <fgColor indexed="65"/>
        <bgColor indexed="64"/>
      </patternFill>
    </fill>
    <fill>
      <patternFill patternType="mediumGray">
        <fgColor indexed="8"/>
      </patternFill>
    </fill>
    <fill>
      <patternFill patternType="gray125">
        <fgColor indexed="8"/>
      </patternFill>
    </fill>
  </fills>
  <borders count="7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172" fontId="9" fillId="0" borderId="3" xfId="0" applyNumberFormat="1" applyFont="1" applyFill="1" applyBorder="1" applyAlignment="1" applyProtection="1">
      <alignment horizontal="center"/>
      <protection/>
    </xf>
    <xf numFmtId="2" fontId="7" fillId="0" borderId="3" xfId="0" applyNumberFormat="1" applyFont="1" applyBorder="1" applyAlignment="1" applyProtection="1">
      <alignment horizontal="center"/>
      <protection/>
    </xf>
    <xf numFmtId="1" fontId="7" fillId="0" borderId="3" xfId="0" applyNumberFormat="1" applyFont="1" applyBorder="1" applyAlignment="1" applyProtection="1">
      <alignment horizontal="center"/>
      <protection/>
    </xf>
    <xf numFmtId="168" fontId="7" fillId="0" borderId="4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168" fontId="7" fillId="0" borderId="3" xfId="0" applyNumberFormat="1" applyFont="1" applyFill="1" applyBorder="1" applyAlignment="1" applyProtection="1">
      <alignment horizontal="center"/>
      <protection/>
    </xf>
    <xf numFmtId="2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68" fontId="7" fillId="0" borderId="7" xfId="0" applyNumberFormat="1" applyFont="1" applyFill="1" applyBorder="1" applyAlignment="1" applyProtection="1">
      <alignment horizontal="center"/>
      <protection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13" fillId="0" borderId="5" xfId="0" applyFont="1" applyFill="1" applyBorder="1" applyAlignment="1" applyProtection="1">
      <alignment horizontal="center"/>
      <protection/>
    </xf>
    <xf numFmtId="22" fontId="7" fillId="0" borderId="9" xfId="0" applyNumberFormat="1" applyFont="1" applyFill="1" applyBorder="1" applyAlignment="1">
      <alignment horizontal="center"/>
    </xf>
    <xf numFmtId="22" fontId="7" fillId="0" borderId="10" xfId="0" applyNumberFormat="1" applyFont="1" applyFill="1" applyBorder="1" applyAlignment="1" applyProtection="1">
      <alignment horizontal="center"/>
      <protection/>
    </xf>
    <xf numFmtId="2" fontId="7" fillId="0" borderId="7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" xfId="0" applyFont="1" applyBorder="1" applyAlignment="1">
      <alignment/>
    </xf>
    <xf numFmtId="0" fontId="16" fillId="0" borderId="0" xfId="0" applyFont="1" applyBorder="1" applyAlignment="1">
      <alignment/>
    </xf>
    <xf numFmtId="7" fontId="8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3" xfId="0" applyBorder="1" applyAlignment="1">
      <alignment/>
    </xf>
    <xf numFmtId="0" fontId="0" fillId="0" borderId="17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4" fontId="10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7" fontId="7" fillId="0" borderId="18" xfId="0" applyNumberFormat="1" applyFont="1" applyBorder="1" applyAlignment="1">
      <alignment horizontal="center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4" fontId="9" fillId="0" borderId="0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0" fillId="0" borderId="6" xfId="0" applyFont="1" applyFill="1" applyBorder="1" applyAlignment="1">
      <alignment/>
    </xf>
    <xf numFmtId="168" fontId="10" fillId="0" borderId="7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 applyProtection="1" quotePrefix="1">
      <alignment horizontal="center"/>
      <protection/>
    </xf>
    <xf numFmtId="168" fontId="10" fillId="0" borderId="3" xfId="0" applyNumberFormat="1" applyFont="1" applyFill="1" applyBorder="1" applyAlignment="1">
      <alignment horizontal="right"/>
    </xf>
    <xf numFmtId="7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 quotePrefix="1">
      <alignment horizontal="center"/>
      <protection/>
    </xf>
    <xf numFmtId="2" fontId="2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0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 horizontal="center"/>
      <protection/>
    </xf>
    <xf numFmtId="5" fontId="10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0" fillId="0" borderId="0" xfId="0" applyAlignment="1">
      <alignment horizontal="centerContinuous"/>
    </xf>
    <xf numFmtId="0" fontId="15" fillId="0" borderId="0" xfId="0" applyFont="1" applyBorder="1" applyAlignment="1" applyProtection="1">
      <alignment horizontal="centerContinuous"/>
      <protection/>
    </xf>
    <xf numFmtId="0" fontId="15" fillId="0" borderId="1" xfId="0" applyFont="1" applyBorder="1" applyAlignment="1" applyProtection="1">
      <alignment horizontal="centerContinuous"/>
      <protection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horizontal="center" vertical="center" wrapText="1"/>
      <protection/>
    </xf>
    <xf numFmtId="0" fontId="26" fillId="0" borderId="20" xfId="0" applyFont="1" applyBorder="1" applyAlignment="1" applyProtection="1">
      <alignment horizontal="center" vertical="center" wrapText="1"/>
      <protection/>
    </xf>
    <xf numFmtId="0" fontId="26" fillId="0" borderId="21" xfId="0" applyFont="1" applyBorder="1" applyAlignment="1" applyProtection="1">
      <alignment horizontal="center" vertical="center" wrapText="1"/>
      <protection/>
    </xf>
    <xf numFmtId="0" fontId="26" fillId="0" borderId="19" xfId="0" applyFont="1" applyBorder="1" applyAlignment="1">
      <alignment horizontal="center" vertical="center" wrapText="1"/>
    </xf>
    <xf numFmtId="0" fontId="26" fillId="0" borderId="2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 applyProtection="1">
      <alignment horizontal="centerContinuous"/>
      <protection/>
    </xf>
    <xf numFmtId="0" fontId="17" fillId="0" borderId="2" xfId="0" applyFont="1" applyBorder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2" fillId="0" borderId="0" xfId="0" applyFont="1" applyAlignment="1">
      <alignment horizontal="centerContinuous"/>
    </xf>
    <xf numFmtId="0" fontId="29" fillId="0" borderId="0" xfId="0" applyFont="1" applyFill="1" applyBorder="1" applyAlignment="1" applyProtection="1">
      <alignment horizontal="centerContinuous"/>
      <protection/>
    </xf>
    <xf numFmtId="0" fontId="30" fillId="0" borderId="0" xfId="0" applyNumberFormat="1" applyFont="1" applyAlignment="1">
      <alignment horizontal="left"/>
    </xf>
    <xf numFmtId="0" fontId="30" fillId="0" borderId="0" xfId="0" applyFont="1" applyBorder="1" applyAlignment="1">
      <alignment/>
    </xf>
    <xf numFmtId="0" fontId="33" fillId="0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>
      <alignment/>
    </xf>
    <xf numFmtId="0" fontId="34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0" fillId="0" borderId="0" xfId="0" applyNumberForma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7" fillId="0" borderId="1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2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7" fontId="8" fillId="0" borderId="22" xfId="0" applyNumberFormat="1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5" xfId="0" applyNumberFormat="1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7" fontId="20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22" fontId="7" fillId="0" borderId="0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31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164" fontId="16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7" fillId="0" borderId="2" xfId="0" applyFont="1" applyFill="1" applyBorder="1" applyAlignment="1">
      <alignment horizontal="centerContinuous"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1" xfId="0" applyFont="1" applyFill="1" applyBorder="1" applyAlignment="1" applyProtection="1" quotePrefix="1">
      <alignment horizontal="left"/>
      <protection/>
    </xf>
    <xf numFmtId="0" fontId="0" fillId="0" borderId="20" xfId="0" applyFont="1" applyFill="1" applyBorder="1" applyAlignment="1" applyProtection="1">
      <alignment horizontal="center"/>
      <protection/>
    </xf>
    <xf numFmtId="164" fontId="0" fillId="0" borderId="19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Alignment="1">
      <alignment/>
    </xf>
    <xf numFmtId="0" fontId="26" fillId="0" borderId="1" xfId="0" applyFont="1" applyFill="1" applyBorder="1" applyAlignment="1">
      <alignment/>
    </xf>
    <xf numFmtId="0" fontId="26" fillId="0" borderId="2" xfId="0" applyFont="1" applyFill="1" applyBorder="1" applyAlignment="1">
      <alignment/>
    </xf>
    <xf numFmtId="0" fontId="26" fillId="0" borderId="21" xfId="0" applyFont="1" applyFill="1" applyBorder="1" applyAlignment="1">
      <alignment horizontal="center" vertical="center"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 quotePrefix="1">
      <alignment horizontal="center" vertical="center" wrapText="1"/>
      <protection/>
    </xf>
    <xf numFmtId="0" fontId="26" fillId="0" borderId="19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 applyProtection="1" quotePrefix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2" fillId="0" borderId="0" xfId="0" applyFont="1" applyFill="1" applyAlignment="1">
      <alignment/>
    </xf>
    <xf numFmtId="22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0" fillId="0" borderId="21" xfId="0" applyFont="1" applyBorder="1" applyAlignment="1" applyProtection="1">
      <alignment horizontal="left"/>
      <protection/>
    </xf>
    <xf numFmtId="171" fontId="0" fillId="0" borderId="24" xfId="0" applyNumberFormat="1" applyFont="1" applyBorder="1" applyAlignment="1" applyProtection="1">
      <alignment horizontal="center"/>
      <protection/>
    </xf>
    <xf numFmtId="0" fontId="0" fillId="0" borderId="21" xfId="0" applyFont="1" applyBorder="1" applyAlignment="1">
      <alignment/>
    </xf>
    <xf numFmtId="171" fontId="25" fillId="0" borderId="2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1" fontId="0" fillId="0" borderId="4" xfId="0" applyNumberFormat="1" applyFont="1" applyBorder="1" applyAlignment="1">
      <alignment horizontal="center"/>
    </xf>
    <xf numFmtId="0" fontId="26" fillId="0" borderId="22" xfId="0" applyFont="1" applyFill="1" applyBorder="1" applyAlignment="1" applyProtection="1">
      <alignment horizontal="center" vertical="center"/>
      <protection/>
    </xf>
    <xf numFmtId="168" fontId="10" fillId="0" borderId="3" xfId="0" applyNumberFormat="1" applyFont="1" applyFill="1" applyBorder="1" applyAlignment="1">
      <alignment horizontal="center"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Continuous"/>
    </xf>
    <xf numFmtId="0" fontId="37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right"/>
      <protection/>
    </xf>
    <xf numFmtId="0" fontId="8" fillId="0" borderId="21" xfId="0" applyFont="1" applyFill="1" applyBorder="1" applyAlignment="1">
      <alignment horizontal="center"/>
    </xf>
    <xf numFmtId="0" fontId="15" fillId="0" borderId="1" xfId="0" applyFont="1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Continuous"/>
    </xf>
    <xf numFmtId="0" fontId="1" fillId="0" borderId="22" xfId="0" applyFont="1" applyBorder="1" applyAlignment="1" applyProtection="1">
      <alignment horizontal="centerContinuous"/>
      <protection/>
    </xf>
    <xf numFmtId="167" fontId="0" fillId="0" borderId="22" xfId="0" applyNumberFormat="1" applyFont="1" applyBorder="1" applyAlignment="1">
      <alignment horizontal="centerContinuous"/>
    </xf>
    <xf numFmtId="0" fontId="39" fillId="0" borderId="23" xfId="0" applyFont="1" applyBorder="1" applyAlignment="1">
      <alignment horizontal="center"/>
    </xf>
    <xf numFmtId="0" fontId="41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 applyProtection="1">
      <alignment horizontal="left" vertical="top"/>
      <protection/>
    </xf>
    <xf numFmtId="0" fontId="42" fillId="0" borderId="0" xfId="0" applyFont="1" applyBorder="1" applyAlignment="1">
      <alignment/>
    </xf>
    <xf numFmtId="0" fontId="42" fillId="0" borderId="1" xfId="0" applyFont="1" applyBorder="1" applyAlignment="1">
      <alignment/>
    </xf>
    <xf numFmtId="0" fontId="39" fillId="0" borderId="0" xfId="0" applyFont="1" applyBorder="1" applyAlignment="1" applyProtection="1">
      <alignment horizontal="center"/>
      <protection/>
    </xf>
    <xf numFmtId="2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 quotePrefix="1">
      <alignment horizontal="center"/>
      <protection/>
    </xf>
    <xf numFmtId="2" fontId="43" fillId="0" borderId="0" xfId="0" applyNumberFormat="1" applyFont="1" applyBorder="1" applyAlignment="1">
      <alignment horizontal="center"/>
    </xf>
    <xf numFmtId="168" fontId="44" fillId="0" borderId="0" xfId="0" applyNumberFormat="1" applyFont="1" applyBorder="1" applyAlignment="1" applyProtection="1" quotePrefix="1">
      <alignment horizontal="center"/>
      <protection/>
    </xf>
    <xf numFmtId="4" fontId="44" fillId="0" borderId="0" xfId="0" applyNumberFormat="1" applyFont="1" applyBorder="1" applyAlignment="1">
      <alignment horizontal="center"/>
    </xf>
    <xf numFmtId="4" fontId="45" fillId="0" borderId="0" xfId="0" applyNumberFormat="1" applyFont="1" applyBorder="1" applyAlignment="1">
      <alignment horizontal="right"/>
    </xf>
    <xf numFmtId="2" fontId="42" fillId="0" borderId="2" xfId="0" applyNumberFormat="1" applyFont="1" applyBorder="1" applyAlignment="1">
      <alignment horizontal="center"/>
    </xf>
    <xf numFmtId="0" fontId="42" fillId="0" borderId="0" xfId="0" applyFont="1" applyAlignment="1">
      <alignment/>
    </xf>
    <xf numFmtId="7" fontId="11" fillId="0" borderId="19" xfId="0" applyNumberFormat="1" applyFont="1" applyFill="1" applyBorder="1" applyAlignment="1">
      <alignment horizontal="right"/>
    </xf>
    <xf numFmtId="0" fontId="39" fillId="0" borderId="1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1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7" fontId="39" fillId="0" borderId="0" xfId="0" applyNumberFormat="1" applyFont="1" applyFill="1" applyBorder="1" applyAlignment="1">
      <alignment horizontal="center"/>
    </xf>
    <xf numFmtId="7" fontId="45" fillId="0" borderId="0" xfId="0" applyNumberFormat="1" applyFont="1" applyFill="1" applyBorder="1" applyAlignment="1">
      <alignment horizontal="right"/>
    </xf>
    <xf numFmtId="0" fontId="39" fillId="0" borderId="2" xfId="0" applyFont="1" applyFill="1" applyBorder="1" applyAlignment="1">
      <alignment/>
    </xf>
    <xf numFmtId="0" fontId="46" fillId="2" borderId="19" xfId="0" applyFont="1" applyFill="1" applyBorder="1" applyAlignment="1" applyProtection="1">
      <alignment horizontal="center" vertical="center"/>
      <protection/>
    </xf>
    <xf numFmtId="0" fontId="47" fillId="2" borderId="6" xfId="0" applyFont="1" applyFill="1" applyBorder="1" applyAlignment="1">
      <alignment/>
    </xf>
    <xf numFmtId="0" fontId="47" fillId="2" borderId="3" xfId="0" applyFont="1" applyFill="1" applyBorder="1" applyAlignment="1">
      <alignment/>
    </xf>
    <xf numFmtId="168" fontId="48" fillId="2" borderId="3" xfId="0" applyNumberFormat="1" applyFont="1" applyFill="1" applyBorder="1" applyAlignment="1" applyProtection="1">
      <alignment horizontal="center"/>
      <protection/>
    </xf>
    <xf numFmtId="168" fontId="48" fillId="2" borderId="4" xfId="0" applyNumberFormat="1" applyFont="1" applyFill="1" applyBorder="1" applyAlignment="1" applyProtection="1">
      <alignment horizontal="center"/>
      <protection/>
    </xf>
    <xf numFmtId="0" fontId="48" fillId="2" borderId="6" xfId="0" applyFont="1" applyFill="1" applyBorder="1" applyAlignment="1">
      <alignment/>
    </xf>
    <xf numFmtId="0" fontId="48" fillId="2" borderId="3" xfId="0" applyFont="1" applyFill="1" applyBorder="1" applyAlignment="1">
      <alignment/>
    </xf>
    <xf numFmtId="0" fontId="48" fillId="2" borderId="4" xfId="0" applyFont="1" applyFill="1" applyBorder="1" applyAlignment="1">
      <alignment/>
    </xf>
    <xf numFmtId="171" fontId="48" fillId="2" borderId="3" xfId="0" applyNumberFormat="1" applyFont="1" applyFill="1" applyBorder="1" applyAlignment="1" applyProtection="1">
      <alignment horizontal="center"/>
      <protection/>
    </xf>
    <xf numFmtId="0" fontId="51" fillId="0" borderId="0" xfId="0" applyFont="1" applyAlignment="1">
      <alignment/>
    </xf>
    <xf numFmtId="0" fontId="10" fillId="0" borderId="1" xfId="0" applyFont="1" applyBorder="1" applyAlignment="1">
      <alignment/>
    </xf>
    <xf numFmtId="169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0" fontId="18" fillId="0" borderId="0" xfId="0" applyNumberFormat="1" applyFont="1" applyFill="1" applyBorder="1" applyAlignment="1">
      <alignment/>
    </xf>
    <xf numFmtId="167" fontId="10" fillId="0" borderId="0" xfId="0" applyNumberFormat="1" applyFont="1" applyBorder="1" applyAlignment="1">
      <alignment/>
    </xf>
    <xf numFmtId="2" fontId="10" fillId="0" borderId="2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right"/>
      <protection/>
    </xf>
    <xf numFmtId="7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 applyProtection="1">
      <alignment horizontal="right"/>
      <protection/>
    </xf>
    <xf numFmtId="0" fontId="34" fillId="0" borderId="0" xfId="0" applyFont="1" applyBorder="1" applyAlignment="1">
      <alignment/>
    </xf>
    <xf numFmtId="7" fontId="10" fillId="0" borderId="0" xfId="0" applyNumberFormat="1" applyFont="1" applyBorder="1" applyAlignment="1" applyProtection="1">
      <alignment horizontal="center"/>
      <protection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53" fillId="3" borderId="19" xfId="0" applyFont="1" applyFill="1" applyBorder="1" applyAlignment="1">
      <alignment horizontal="center" vertical="center" wrapText="1"/>
    </xf>
    <xf numFmtId="0" fontId="54" fillId="3" borderId="6" xfId="0" applyFont="1" applyFill="1" applyBorder="1" applyAlignment="1">
      <alignment/>
    </xf>
    <xf numFmtId="0" fontId="54" fillId="3" borderId="3" xfId="0" applyFont="1" applyFill="1" applyBorder="1" applyAlignment="1">
      <alignment/>
    </xf>
    <xf numFmtId="0" fontId="53" fillId="4" borderId="19" xfId="0" applyFont="1" applyFill="1" applyBorder="1" applyAlignment="1">
      <alignment horizontal="center" vertical="center" wrapText="1"/>
    </xf>
    <xf numFmtId="0" fontId="54" fillId="4" borderId="6" xfId="0" applyFont="1" applyFill="1" applyBorder="1" applyAlignment="1">
      <alignment/>
    </xf>
    <xf numFmtId="0" fontId="54" fillId="4" borderId="3" xfId="0" applyFont="1" applyFill="1" applyBorder="1" applyAlignment="1">
      <alignment/>
    </xf>
    <xf numFmtId="0" fontId="27" fillId="5" borderId="19" xfId="0" applyFont="1" applyFill="1" applyBorder="1" applyAlignment="1" applyProtection="1">
      <alignment horizontal="centerContinuous" vertical="center" wrapText="1"/>
      <protection/>
    </xf>
    <xf numFmtId="0" fontId="25" fillId="5" borderId="20" xfId="0" applyFont="1" applyFill="1" applyBorder="1" applyAlignment="1">
      <alignment horizontal="centerContinuous"/>
    </xf>
    <xf numFmtId="0" fontId="27" fillId="5" borderId="22" xfId="0" applyFont="1" applyFill="1" applyBorder="1" applyAlignment="1">
      <alignment horizontal="centerContinuous" vertical="center"/>
    </xf>
    <xf numFmtId="0" fontId="56" fillId="5" borderId="25" xfId="0" applyFont="1" applyFill="1" applyBorder="1" applyAlignment="1">
      <alignment horizontal="center"/>
    </xf>
    <xf numFmtId="0" fontId="56" fillId="5" borderId="26" xfId="0" applyFont="1" applyFill="1" applyBorder="1" applyAlignment="1">
      <alignment/>
    </xf>
    <xf numFmtId="0" fontId="56" fillId="5" borderId="27" xfId="0" applyFont="1" applyFill="1" applyBorder="1" applyAlignment="1">
      <alignment/>
    </xf>
    <xf numFmtId="0" fontId="56" fillId="5" borderId="28" xfId="0" applyFont="1" applyFill="1" applyBorder="1" applyAlignment="1">
      <alignment horizontal="center"/>
    </xf>
    <xf numFmtId="0" fontId="56" fillId="5" borderId="29" xfId="0" applyFont="1" applyFill="1" applyBorder="1" applyAlignment="1">
      <alignment/>
    </xf>
    <xf numFmtId="0" fontId="56" fillId="5" borderId="7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27" fillId="6" borderId="19" xfId="0" applyFont="1" applyFill="1" applyBorder="1" applyAlignment="1" applyProtection="1">
      <alignment horizontal="centerContinuous" vertical="center" wrapText="1"/>
      <protection/>
    </xf>
    <xf numFmtId="0" fontId="25" fillId="6" borderId="20" xfId="0" applyFont="1" applyFill="1" applyBorder="1" applyAlignment="1">
      <alignment horizontal="centerContinuous"/>
    </xf>
    <xf numFmtId="0" fontId="27" fillId="6" borderId="22" xfId="0" applyFont="1" applyFill="1" applyBorder="1" applyAlignment="1">
      <alignment horizontal="centerContinuous" vertical="center"/>
    </xf>
    <xf numFmtId="0" fontId="56" fillId="6" borderId="25" xfId="0" applyFont="1" applyFill="1" applyBorder="1" applyAlignment="1">
      <alignment horizontal="center"/>
    </xf>
    <xf numFmtId="0" fontId="56" fillId="6" borderId="26" xfId="0" applyFont="1" applyFill="1" applyBorder="1" applyAlignment="1">
      <alignment/>
    </xf>
    <xf numFmtId="0" fontId="56" fillId="6" borderId="27" xfId="0" applyFont="1" applyFill="1" applyBorder="1" applyAlignment="1">
      <alignment/>
    </xf>
    <xf numFmtId="0" fontId="56" fillId="6" borderId="28" xfId="0" applyFont="1" applyFill="1" applyBorder="1" applyAlignment="1">
      <alignment horizontal="center"/>
    </xf>
    <xf numFmtId="0" fontId="56" fillId="6" borderId="29" xfId="0" applyFont="1" applyFill="1" applyBorder="1" applyAlignment="1">
      <alignment/>
    </xf>
    <xf numFmtId="0" fontId="56" fillId="6" borderId="7" xfId="0" applyFont="1" applyFill="1" applyBorder="1" applyAlignment="1">
      <alignment/>
    </xf>
    <xf numFmtId="0" fontId="27" fillId="5" borderId="19" xfId="0" applyFont="1" applyFill="1" applyBorder="1" applyAlignment="1">
      <alignment horizontal="center" vertical="center" wrapText="1"/>
    </xf>
    <xf numFmtId="0" fontId="27" fillId="7" borderId="19" xfId="0" applyFont="1" applyFill="1" applyBorder="1" applyAlignment="1">
      <alignment horizontal="center" vertical="center" wrapText="1"/>
    </xf>
    <xf numFmtId="0" fontId="56" fillId="7" borderId="6" xfId="0" applyFont="1" applyFill="1" applyBorder="1" applyAlignment="1">
      <alignment/>
    </xf>
    <xf numFmtId="0" fontId="56" fillId="7" borderId="3" xfId="0" applyFont="1" applyFill="1" applyBorder="1" applyAlignment="1">
      <alignment/>
    </xf>
    <xf numFmtId="0" fontId="53" fillId="8" borderId="19" xfId="0" applyFont="1" applyFill="1" applyBorder="1" applyAlignment="1">
      <alignment horizontal="center" vertical="center" wrapText="1"/>
    </xf>
    <xf numFmtId="0" fontId="54" fillId="8" borderId="6" xfId="0" applyFont="1" applyFill="1" applyBorder="1" applyAlignment="1">
      <alignment/>
    </xf>
    <xf numFmtId="0" fontId="54" fillId="8" borderId="3" xfId="0" applyFont="1" applyFill="1" applyBorder="1" applyAlignment="1">
      <alignment/>
    </xf>
    <xf numFmtId="2" fontId="52" fillId="3" borderId="19" xfId="0" applyNumberFormat="1" applyFont="1" applyFill="1" applyBorder="1" applyAlignment="1">
      <alignment horizontal="center"/>
    </xf>
    <xf numFmtId="2" fontId="52" fillId="4" borderId="19" xfId="0" applyNumberFormat="1" applyFont="1" applyFill="1" applyBorder="1" applyAlignment="1">
      <alignment horizontal="center"/>
    </xf>
    <xf numFmtId="168" fontId="57" fillId="5" borderId="19" xfId="0" applyNumberFormat="1" applyFont="1" applyFill="1" applyBorder="1" applyAlignment="1" applyProtection="1" quotePrefix="1">
      <alignment horizontal="center"/>
      <protection/>
    </xf>
    <xf numFmtId="4" fontId="57" fillId="5" borderId="19" xfId="0" applyNumberFormat="1" applyFont="1" applyFill="1" applyBorder="1" applyAlignment="1">
      <alignment horizontal="center"/>
    </xf>
    <xf numFmtId="168" fontId="57" fillId="6" borderId="19" xfId="0" applyNumberFormat="1" applyFont="1" applyFill="1" applyBorder="1" applyAlignment="1" applyProtection="1" quotePrefix="1">
      <alignment horizontal="center"/>
      <protection/>
    </xf>
    <xf numFmtId="4" fontId="57" fillId="6" borderId="19" xfId="0" applyNumberFormat="1" applyFont="1" applyFill="1" applyBorder="1" applyAlignment="1">
      <alignment horizontal="center"/>
    </xf>
    <xf numFmtId="168" fontId="57" fillId="7" borderId="19" xfId="0" applyNumberFormat="1" applyFont="1" applyFill="1" applyBorder="1" applyAlignment="1" applyProtection="1" quotePrefix="1">
      <alignment horizontal="center"/>
      <protection/>
    </xf>
    <xf numFmtId="4" fontId="52" fillId="8" borderId="19" xfId="0" applyNumberFormat="1" applyFont="1" applyFill="1" applyBorder="1" applyAlignment="1">
      <alignment horizontal="center"/>
    </xf>
    <xf numFmtId="0" fontId="53" fillId="8" borderId="19" xfId="0" applyFont="1" applyFill="1" applyBorder="1" applyAlignment="1" applyProtection="1">
      <alignment horizontal="center" vertical="center"/>
      <protection/>
    </xf>
    <xf numFmtId="0" fontId="52" fillId="8" borderId="6" xfId="0" applyFont="1" applyFill="1" applyBorder="1" applyAlignment="1">
      <alignment/>
    </xf>
    <xf numFmtId="0" fontId="52" fillId="8" borderId="3" xfId="0" applyFont="1" applyFill="1" applyBorder="1" applyAlignment="1">
      <alignment/>
    </xf>
    <xf numFmtId="4" fontId="52" fillId="8" borderId="3" xfId="0" applyNumberFormat="1" applyFont="1" applyFill="1" applyBorder="1" applyAlignment="1" applyProtection="1">
      <alignment horizontal="center"/>
      <protection/>
    </xf>
    <xf numFmtId="0" fontId="52" fillId="8" borderId="4" xfId="0" applyFont="1" applyFill="1" applyBorder="1" applyAlignment="1">
      <alignment/>
    </xf>
    <xf numFmtId="0" fontId="57" fillId="7" borderId="6" xfId="0" applyFont="1" applyFill="1" applyBorder="1" applyAlignment="1">
      <alignment/>
    </xf>
    <xf numFmtId="0" fontId="57" fillId="7" borderId="3" xfId="0" applyFont="1" applyFill="1" applyBorder="1" applyAlignment="1">
      <alignment/>
    </xf>
    <xf numFmtId="2" fontId="57" fillId="7" borderId="3" xfId="0" applyNumberFormat="1" applyFont="1" applyFill="1" applyBorder="1" applyAlignment="1">
      <alignment horizontal="center"/>
    </xf>
    <xf numFmtId="0" fontId="57" fillId="7" borderId="4" xfId="0" applyFont="1" applyFill="1" applyBorder="1" applyAlignment="1">
      <alignment/>
    </xf>
    <xf numFmtId="7" fontId="57" fillId="7" borderId="19" xfId="0" applyNumberFormat="1" applyFont="1" applyFill="1" applyBorder="1" applyAlignment="1">
      <alignment horizontal="center"/>
    </xf>
    <xf numFmtId="0" fontId="27" fillId="9" borderId="19" xfId="0" applyFont="1" applyFill="1" applyBorder="1" applyAlignment="1">
      <alignment horizontal="center" vertical="center" wrapText="1"/>
    </xf>
    <xf numFmtId="0" fontId="57" fillId="9" borderId="6" xfId="0" applyFont="1" applyFill="1" applyBorder="1" applyAlignment="1">
      <alignment/>
    </xf>
    <xf numFmtId="0" fontId="57" fillId="9" borderId="3" xfId="0" applyFont="1" applyFill="1" applyBorder="1" applyAlignment="1">
      <alignment/>
    </xf>
    <xf numFmtId="2" fontId="57" fillId="9" borderId="3" xfId="0" applyNumberFormat="1" applyFont="1" applyFill="1" applyBorder="1" applyAlignment="1">
      <alignment horizontal="center"/>
    </xf>
    <xf numFmtId="0" fontId="57" fillId="9" borderId="4" xfId="0" applyFont="1" applyFill="1" applyBorder="1" applyAlignment="1">
      <alignment/>
    </xf>
    <xf numFmtId="7" fontId="57" fillId="9" borderId="19" xfId="0" applyNumberFormat="1" applyFont="1" applyFill="1" applyBorder="1" applyAlignment="1">
      <alignment horizontal="center"/>
    </xf>
    <xf numFmtId="0" fontId="53" fillId="10" borderId="21" xfId="0" applyFont="1" applyFill="1" applyBorder="1" applyAlignment="1" applyProtection="1">
      <alignment horizontal="centerContinuous" vertical="center" wrapText="1"/>
      <protection/>
    </xf>
    <xf numFmtId="0" fontId="53" fillId="10" borderId="22" xfId="0" applyFont="1" applyFill="1" applyBorder="1" applyAlignment="1">
      <alignment horizontal="centerContinuous" vertical="center"/>
    </xf>
    <xf numFmtId="0" fontId="52" fillId="10" borderId="25" xfId="0" applyFont="1" applyFill="1" applyBorder="1" applyAlignment="1">
      <alignment horizontal="center"/>
    </xf>
    <xf numFmtId="0" fontId="52" fillId="10" borderId="27" xfId="0" applyFont="1" applyFill="1" applyBorder="1" applyAlignment="1">
      <alignment/>
    </xf>
    <xf numFmtId="0" fontId="52" fillId="10" borderId="28" xfId="0" applyFont="1" applyFill="1" applyBorder="1" applyAlignment="1">
      <alignment horizontal="center"/>
    </xf>
    <xf numFmtId="0" fontId="52" fillId="10" borderId="7" xfId="0" applyFont="1" applyFill="1" applyBorder="1" applyAlignment="1">
      <alignment/>
    </xf>
    <xf numFmtId="168" fontId="52" fillId="10" borderId="28" xfId="0" applyNumberFormat="1" applyFont="1" applyFill="1" applyBorder="1" applyAlignment="1" applyProtection="1" quotePrefix="1">
      <alignment horizontal="center"/>
      <protection/>
    </xf>
    <xf numFmtId="168" fontId="52" fillId="10" borderId="10" xfId="0" applyNumberFormat="1" applyFont="1" applyFill="1" applyBorder="1" applyAlignment="1" applyProtection="1" quotePrefix="1">
      <alignment horizontal="center"/>
      <protection/>
    </xf>
    <xf numFmtId="7" fontId="52" fillId="10" borderId="19" xfId="0" applyNumberFormat="1" applyFont="1" applyFill="1" applyBorder="1" applyAlignment="1">
      <alignment horizontal="center"/>
    </xf>
    <xf numFmtId="0" fontId="53" fillId="3" borderId="21" xfId="0" applyFont="1" applyFill="1" applyBorder="1" applyAlignment="1" applyProtection="1">
      <alignment horizontal="centerContinuous" vertical="center" wrapText="1"/>
      <protection/>
    </xf>
    <xf numFmtId="0" fontId="53" fillId="3" borderId="22" xfId="0" applyFont="1" applyFill="1" applyBorder="1" applyAlignment="1">
      <alignment horizontal="centerContinuous" vertical="center"/>
    </xf>
    <xf numFmtId="0" fontId="52" fillId="3" borderId="25" xfId="0" applyFont="1" applyFill="1" applyBorder="1" applyAlignment="1">
      <alignment horizontal="center"/>
    </xf>
    <xf numFmtId="0" fontId="52" fillId="3" borderId="27" xfId="0" applyFont="1" applyFill="1" applyBorder="1" applyAlignment="1">
      <alignment/>
    </xf>
    <xf numFmtId="0" fontId="52" fillId="3" borderId="28" xfId="0" applyFont="1" applyFill="1" applyBorder="1" applyAlignment="1">
      <alignment horizontal="center"/>
    </xf>
    <xf numFmtId="0" fontId="52" fillId="3" borderId="7" xfId="0" applyFont="1" applyFill="1" applyBorder="1" applyAlignment="1">
      <alignment/>
    </xf>
    <xf numFmtId="168" fontId="52" fillId="3" borderId="28" xfId="0" applyNumberFormat="1" applyFont="1" applyFill="1" applyBorder="1" applyAlignment="1" applyProtection="1" quotePrefix="1">
      <alignment horizontal="center"/>
      <protection/>
    </xf>
    <xf numFmtId="168" fontId="52" fillId="3" borderId="10" xfId="0" applyNumberFormat="1" applyFont="1" applyFill="1" applyBorder="1" applyAlignment="1" applyProtection="1" quotePrefix="1">
      <alignment horizontal="center"/>
      <protection/>
    </xf>
    <xf numFmtId="7" fontId="52" fillId="3" borderId="19" xfId="0" applyNumberFormat="1" applyFont="1" applyFill="1" applyBorder="1" applyAlignment="1">
      <alignment horizontal="center"/>
    </xf>
    <xf numFmtId="0" fontId="49" fillId="5" borderId="19" xfId="0" applyFont="1" applyFill="1" applyBorder="1" applyAlignment="1">
      <alignment horizontal="center" vertical="center" wrapText="1"/>
    </xf>
    <xf numFmtId="0" fontId="50" fillId="5" borderId="6" xfId="0" applyFont="1" applyFill="1" applyBorder="1" applyAlignment="1">
      <alignment/>
    </xf>
    <xf numFmtId="0" fontId="50" fillId="5" borderId="3" xfId="0" applyFont="1" applyFill="1" applyBorder="1" applyAlignment="1">
      <alignment/>
    </xf>
    <xf numFmtId="168" fontId="50" fillId="5" borderId="3" xfId="0" applyNumberFormat="1" applyFont="1" applyFill="1" applyBorder="1" applyAlignment="1" applyProtection="1" quotePrefix="1">
      <alignment horizontal="center"/>
      <protection/>
    </xf>
    <xf numFmtId="0" fontId="50" fillId="5" borderId="4" xfId="0" applyFont="1" applyFill="1" applyBorder="1" applyAlignment="1">
      <alignment/>
    </xf>
    <xf numFmtId="7" fontId="50" fillId="5" borderId="19" xfId="0" applyNumberFormat="1" applyFont="1" applyFill="1" applyBorder="1" applyAlignment="1">
      <alignment horizontal="center"/>
    </xf>
    <xf numFmtId="0" fontId="27" fillId="6" borderId="19" xfId="0" applyFont="1" applyFill="1" applyBorder="1" applyAlignment="1">
      <alignment horizontal="center" vertical="center" wrapText="1"/>
    </xf>
    <xf numFmtId="0" fontId="57" fillId="6" borderId="6" xfId="0" applyFont="1" applyFill="1" applyBorder="1" applyAlignment="1">
      <alignment/>
    </xf>
    <xf numFmtId="0" fontId="57" fillId="6" borderId="3" xfId="0" applyFont="1" applyFill="1" applyBorder="1" applyAlignment="1">
      <alignment/>
    </xf>
    <xf numFmtId="168" fontId="57" fillId="6" borderId="3" xfId="0" applyNumberFormat="1" applyFont="1" applyFill="1" applyBorder="1" applyAlignment="1" applyProtection="1" quotePrefix="1">
      <alignment horizontal="center"/>
      <protection/>
    </xf>
    <xf numFmtId="0" fontId="57" fillId="6" borderId="4" xfId="0" applyFont="1" applyFill="1" applyBorder="1" applyAlignment="1">
      <alignment/>
    </xf>
    <xf numFmtId="7" fontId="57" fillId="6" borderId="19" xfId="0" applyNumberFormat="1" applyFont="1" applyFill="1" applyBorder="1" applyAlignment="1">
      <alignment horizontal="center"/>
    </xf>
    <xf numFmtId="0" fontId="52" fillId="10" borderId="30" xfId="0" applyFont="1" applyFill="1" applyBorder="1" applyAlignment="1">
      <alignment/>
    </xf>
    <xf numFmtId="0" fontId="52" fillId="10" borderId="31" xfId="0" applyFont="1" applyFill="1" applyBorder="1" applyAlignment="1">
      <alignment/>
    </xf>
    <xf numFmtId="0" fontId="52" fillId="3" borderId="30" xfId="0" applyFont="1" applyFill="1" applyBorder="1" applyAlignment="1">
      <alignment/>
    </xf>
    <xf numFmtId="0" fontId="52" fillId="3" borderId="31" xfId="0" applyFont="1" applyFill="1" applyBorder="1" applyAlignment="1">
      <alignment/>
    </xf>
    <xf numFmtId="0" fontId="58" fillId="0" borderId="11" xfId="0" applyFont="1" applyBorder="1" applyAlignment="1">
      <alignment/>
    </xf>
    <xf numFmtId="0" fontId="53" fillId="6" borderId="19" xfId="0" applyFont="1" applyFill="1" applyBorder="1" applyAlignment="1" applyProtection="1">
      <alignment horizontal="center" vertical="center"/>
      <protection/>
    </xf>
    <xf numFmtId="164" fontId="52" fillId="6" borderId="3" xfId="0" applyNumberFormat="1" applyFont="1" applyFill="1" applyBorder="1" applyAlignment="1" applyProtection="1">
      <alignment horizontal="center"/>
      <protection/>
    </xf>
    <xf numFmtId="168" fontId="7" fillId="0" borderId="27" xfId="0" applyNumberFormat="1" applyFont="1" applyFill="1" applyBorder="1" applyAlignment="1" applyProtection="1">
      <alignment horizontal="center"/>
      <protection/>
    </xf>
    <xf numFmtId="164" fontId="52" fillId="6" borderId="6" xfId="0" applyNumberFormat="1" applyFont="1" applyFill="1" applyBorder="1" applyAlignment="1" applyProtection="1">
      <alignment horizontal="center"/>
      <protection/>
    </xf>
    <xf numFmtId="168" fontId="10" fillId="0" borderId="6" xfId="0" applyNumberFormat="1" applyFont="1" applyFill="1" applyBorder="1" applyAlignment="1">
      <alignment horizontal="center"/>
    </xf>
    <xf numFmtId="2" fontId="57" fillId="5" borderId="6" xfId="0" applyNumberFormat="1" applyFont="1" applyFill="1" applyBorder="1" applyAlignment="1">
      <alignment horizontal="center"/>
    </xf>
    <xf numFmtId="2" fontId="57" fillId="5" borderId="3" xfId="0" applyNumberFormat="1" applyFont="1" applyFill="1" applyBorder="1" applyAlignment="1">
      <alignment horizontal="center"/>
    </xf>
    <xf numFmtId="168" fontId="52" fillId="3" borderId="25" xfId="0" applyNumberFormat="1" applyFont="1" applyFill="1" applyBorder="1" applyAlignment="1" applyProtection="1" quotePrefix="1">
      <alignment horizontal="center"/>
      <protection/>
    </xf>
    <xf numFmtId="168" fontId="52" fillId="3" borderId="32" xfId="0" applyNumberFormat="1" applyFont="1" applyFill="1" applyBorder="1" applyAlignment="1" applyProtection="1" quotePrefix="1">
      <alignment horizontal="center"/>
      <protection/>
    </xf>
    <xf numFmtId="168" fontId="7" fillId="0" borderId="6" xfId="0" applyNumberFormat="1" applyFont="1" applyFill="1" applyBorder="1" applyAlignment="1" applyProtection="1">
      <alignment horizontal="center"/>
      <protection/>
    </xf>
    <xf numFmtId="0" fontId="53" fillId="8" borderId="19" xfId="0" applyFont="1" applyFill="1" applyBorder="1" applyAlignment="1" applyProtection="1">
      <alignment horizontal="centerContinuous" vertical="center" wrapText="1"/>
      <protection/>
    </xf>
    <xf numFmtId="168" fontId="52" fillId="8" borderId="6" xfId="0" applyNumberFormat="1" applyFont="1" applyFill="1" applyBorder="1" applyAlignment="1" applyProtection="1" quotePrefix="1">
      <alignment horizontal="center"/>
      <protection/>
    </xf>
    <xf numFmtId="168" fontId="52" fillId="8" borderId="3" xfId="0" applyNumberFormat="1" applyFont="1" applyFill="1" applyBorder="1" applyAlignment="1" applyProtection="1" quotePrefix="1">
      <alignment horizontal="center"/>
      <protection/>
    </xf>
    <xf numFmtId="2" fontId="57" fillId="5" borderId="19" xfId="0" applyNumberFormat="1" applyFont="1" applyFill="1" applyBorder="1" applyAlignment="1">
      <alignment horizontal="center"/>
    </xf>
    <xf numFmtId="2" fontId="52" fillId="8" borderId="19" xfId="0" applyNumberFormat="1" applyFont="1" applyFill="1" applyBorder="1" applyAlignment="1">
      <alignment horizontal="center"/>
    </xf>
    <xf numFmtId="0" fontId="59" fillId="2" borderId="6" xfId="0" applyFont="1" applyFill="1" applyBorder="1" applyAlignment="1">
      <alignment/>
    </xf>
    <xf numFmtId="0" fontId="59" fillId="2" borderId="3" xfId="0" applyFont="1" applyFill="1" applyBorder="1" applyAlignment="1">
      <alignment/>
    </xf>
    <xf numFmtId="168" fontId="60" fillId="2" borderId="3" xfId="0" applyNumberFormat="1" applyFont="1" applyFill="1" applyBorder="1" applyAlignment="1" applyProtection="1">
      <alignment horizontal="center"/>
      <protection/>
    </xf>
    <xf numFmtId="168" fontId="60" fillId="2" borderId="4" xfId="0" applyNumberFormat="1" applyFont="1" applyFill="1" applyBorder="1" applyAlignment="1" applyProtection="1">
      <alignment horizontal="center"/>
      <protection/>
    </xf>
    <xf numFmtId="2" fontId="7" fillId="0" borderId="2" xfId="0" applyNumberFormat="1" applyFont="1" applyFill="1" applyBorder="1" applyAlignment="1">
      <alignment/>
    </xf>
    <xf numFmtId="172" fontId="7" fillId="0" borderId="3" xfId="0" applyNumberFormat="1" applyFont="1" applyFill="1" applyBorder="1" applyAlignment="1" applyProtection="1">
      <alignment horizontal="center"/>
      <protection/>
    </xf>
    <xf numFmtId="173" fontId="10" fillId="0" borderId="0" xfId="0" applyNumberFormat="1" applyFont="1" applyBorder="1" applyAlignment="1">
      <alignment horizontal="center"/>
    </xf>
    <xf numFmtId="0" fontId="58" fillId="0" borderId="12" xfId="0" applyFont="1" applyBorder="1" applyAlignment="1">
      <alignment/>
    </xf>
    <xf numFmtId="0" fontId="0" fillId="0" borderId="17" xfId="0" applyBorder="1" applyAlignment="1">
      <alignment horizontal="center"/>
    </xf>
    <xf numFmtId="7" fontId="0" fillId="0" borderId="6" xfId="0" applyNumberFormat="1" applyBorder="1" applyAlignment="1">
      <alignment/>
    </xf>
    <xf numFmtId="7" fontId="10" fillId="0" borderId="6" xfId="0" applyNumberFormat="1" applyFont="1" applyFill="1" applyBorder="1" applyAlignment="1">
      <alignment horizontal="center"/>
    </xf>
    <xf numFmtId="0" fontId="61" fillId="0" borderId="0" xfId="0" applyFont="1" applyAlignment="1">
      <alignment horizontal="right" vertical="top"/>
    </xf>
    <xf numFmtId="0" fontId="19" fillId="0" borderId="0" xfId="0" applyFont="1" applyBorder="1" applyAlignment="1">
      <alignment/>
    </xf>
    <xf numFmtId="0" fontId="16" fillId="0" borderId="1" xfId="0" applyFont="1" applyBorder="1" applyAlignment="1">
      <alignment horizontal="centerContinuous"/>
    </xf>
    <xf numFmtId="0" fontId="37" fillId="0" borderId="0" xfId="0" applyFont="1" applyFill="1" applyBorder="1" applyAlignment="1">
      <alignment horizontal="centerContinuous"/>
    </xf>
    <xf numFmtId="0" fontId="37" fillId="0" borderId="0" xfId="0" applyFont="1" applyFill="1" applyAlignment="1">
      <alignment horizontal="centerContinuous"/>
    </xf>
    <xf numFmtId="0" fontId="37" fillId="0" borderId="2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33" xfId="0" applyFont="1" applyBorder="1" applyAlignment="1" applyProtection="1">
      <alignment horizontal="left"/>
      <protection/>
    </xf>
    <xf numFmtId="171" fontId="0" fillId="0" borderId="34" xfId="0" applyNumberFormat="1" applyFont="1" applyBorder="1" applyAlignment="1" applyProtection="1">
      <alignment horizontal="centerContinuous"/>
      <protection/>
    </xf>
    <xf numFmtId="0" fontId="10" fillId="0" borderId="35" xfId="0" applyFont="1" applyBorder="1" applyAlignment="1">
      <alignment horizontal="centerContinuous"/>
    </xf>
    <xf numFmtId="0" fontId="10" fillId="0" borderId="36" xfId="0" applyFont="1" applyFill="1" applyBorder="1" applyAlignment="1">
      <alignment/>
    </xf>
    <xf numFmtId="0" fontId="10" fillId="0" borderId="37" xfId="0" applyFont="1" applyBorder="1" applyAlignment="1" applyProtection="1">
      <alignment horizontal="right"/>
      <protection/>
    </xf>
    <xf numFmtId="173" fontId="10" fillId="0" borderId="38" xfId="0" applyNumberFormat="1" applyFont="1" applyBorder="1" applyAlignment="1">
      <alignment horizontal="center"/>
    </xf>
    <xf numFmtId="0" fontId="0" fillId="0" borderId="39" xfId="0" applyFont="1" applyBorder="1" applyAlignment="1">
      <alignment/>
    </xf>
    <xf numFmtId="171" fontId="25" fillId="0" borderId="40" xfId="0" applyNumberFormat="1" applyFont="1" applyBorder="1" applyAlignment="1">
      <alignment horizontal="centerContinuous"/>
    </xf>
    <xf numFmtId="0" fontId="10" fillId="0" borderId="41" xfId="0" applyFont="1" applyBorder="1" applyAlignment="1">
      <alignment horizontal="centerContinuous"/>
    </xf>
    <xf numFmtId="0" fontId="10" fillId="0" borderId="42" xfId="0" applyFont="1" applyFill="1" applyBorder="1" applyAlignment="1">
      <alignment/>
    </xf>
    <xf numFmtId="168" fontId="10" fillId="0" borderId="43" xfId="0" applyNumberFormat="1" applyFont="1" applyBorder="1" applyAlignment="1" applyProtection="1">
      <alignment horizontal="right"/>
      <protection/>
    </xf>
    <xf numFmtId="171" fontId="10" fillId="0" borderId="44" xfId="0" applyNumberFormat="1" applyFont="1" applyBorder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0" fontId="0" fillId="0" borderId="45" xfId="0" applyFont="1" applyBorder="1" applyAlignment="1">
      <alignment horizontal="left"/>
    </xf>
    <xf numFmtId="171" fontId="25" fillId="0" borderId="43" xfId="0" applyNumberFormat="1" applyFont="1" applyBorder="1" applyAlignment="1">
      <alignment horizontal="centerContinuous"/>
    </xf>
    <xf numFmtId="0" fontId="10" fillId="0" borderId="46" xfId="0" applyFont="1" applyBorder="1" applyAlignment="1">
      <alignment horizontal="centerContinuous"/>
    </xf>
    <xf numFmtId="7" fontId="10" fillId="0" borderId="0" xfId="0" applyNumberFormat="1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7" fontId="10" fillId="0" borderId="47" xfId="0" applyNumberFormat="1" applyFont="1" applyBorder="1" applyAlignment="1">
      <alignment horizontal="center"/>
    </xf>
    <xf numFmtId="0" fontId="8" fillId="0" borderId="21" xfId="0" applyFont="1" applyBorder="1" applyAlignment="1" applyProtection="1">
      <alignment horizontal="center"/>
      <protection/>
    </xf>
    <xf numFmtId="0" fontId="10" fillId="0" borderId="48" xfId="0" applyFont="1" applyBorder="1" applyAlignment="1" applyProtection="1">
      <alignment horizontal="center"/>
      <protection/>
    </xf>
    <xf numFmtId="0" fontId="10" fillId="0" borderId="40" xfId="0" applyFont="1" applyBorder="1" applyAlignment="1" applyProtection="1">
      <alignment horizontal="center"/>
      <protection/>
    </xf>
    <xf numFmtId="2" fontId="10" fillId="0" borderId="40" xfId="0" applyNumberFormat="1" applyFont="1" applyBorder="1" applyAlignment="1" applyProtection="1">
      <alignment horizontal="center"/>
      <protection/>
    </xf>
    <xf numFmtId="168" fontId="10" fillId="0" borderId="40" xfId="0" applyNumberFormat="1" applyFont="1" applyBorder="1" applyAlignment="1" applyProtection="1">
      <alignment horizontal="center"/>
      <protection/>
    </xf>
    <xf numFmtId="0" fontId="0" fillId="0" borderId="40" xfId="0" applyBorder="1" applyAlignment="1">
      <alignment horizontal="centerContinuous"/>
    </xf>
    <xf numFmtId="0" fontId="0" fillId="0" borderId="40" xfId="0" applyBorder="1" applyAlignment="1">
      <alignment/>
    </xf>
    <xf numFmtId="7" fontId="19" fillId="0" borderId="49" xfId="0" applyNumberFormat="1" applyFont="1" applyBorder="1" applyAlignment="1">
      <alignment horizontal="center"/>
    </xf>
    <xf numFmtId="0" fontId="10" fillId="0" borderId="50" xfId="0" applyFont="1" applyBorder="1" applyAlignment="1" applyProtection="1">
      <alignment horizontal="center"/>
      <protection/>
    </xf>
    <xf numFmtId="0" fontId="10" fillId="0" borderId="51" xfId="0" applyFont="1" applyBorder="1" applyAlignment="1" applyProtection="1">
      <alignment horizontal="center"/>
      <protection/>
    </xf>
    <xf numFmtId="2" fontId="10" fillId="0" borderId="51" xfId="0" applyNumberFormat="1" applyFont="1" applyBorder="1" applyAlignment="1" applyProtection="1">
      <alignment horizontal="center"/>
      <protection/>
    </xf>
    <xf numFmtId="168" fontId="10" fillId="0" borderId="51" xfId="0" applyNumberFormat="1" applyFont="1" applyBorder="1" applyAlignment="1" applyProtection="1">
      <alignment horizontal="center"/>
      <protection/>
    </xf>
    <xf numFmtId="7" fontId="10" fillId="0" borderId="51" xfId="0" applyNumberFormat="1" applyFont="1" applyBorder="1" applyAlignment="1" applyProtection="1">
      <alignment horizontal="center"/>
      <protection/>
    </xf>
    <xf numFmtId="7" fontId="10" fillId="0" borderId="51" xfId="0" applyNumberFormat="1" applyFont="1" applyBorder="1" applyAlignment="1" applyProtection="1">
      <alignment horizontal="centerContinuous"/>
      <protection/>
    </xf>
    <xf numFmtId="0" fontId="10" fillId="0" borderId="51" xfId="0" applyFont="1" applyBorder="1" applyAlignment="1" applyProtection="1">
      <alignment horizontal="centerContinuous"/>
      <protection/>
    </xf>
    <xf numFmtId="0" fontId="10" fillId="0" borderId="51" xfId="0" applyFont="1" applyBorder="1" applyAlignment="1" applyProtection="1">
      <alignment horizontal="right"/>
      <protection/>
    </xf>
    <xf numFmtId="7" fontId="10" fillId="0" borderId="52" xfId="0" applyNumberFormat="1" applyFont="1" applyBorder="1" applyAlignment="1" applyProtection="1">
      <alignment horizontal="center"/>
      <protection/>
    </xf>
    <xf numFmtId="0" fontId="10" fillId="0" borderId="53" xfId="0" applyFont="1" applyBorder="1" applyAlignment="1" applyProtection="1">
      <alignment horizontal="center"/>
      <protection/>
    </xf>
    <xf numFmtId="0" fontId="10" fillId="0" borderId="47" xfId="0" applyFont="1" applyBorder="1" applyAlignment="1" applyProtection="1">
      <alignment horizontal="center"/>
      <protection/>
    </xf>
    <xf numFmtId="2" fontId="10" fillId="0" borderId="47" xfId="0" applyNumberFormat="1" applyFont="1" applyBorder="1" applyAlignment="1" applyProtection="1">
      <alignment horizontal="center"/>
      <protection/>
    </xf>
    <xf numFmtId="168" fontId="10" fillId="0" borderId="47" xfId="0" applyNumberFormat="1" applyFont="1" applyBorder="1" applyAlignment="1" applyProtection="1">
      <alignment horizontal="center"/>
      <protection/>
    </xf>
    <xf numFmtId="7" fontId="10" fillId="0" borderId="47" xfId="0" applyNumberFormat="1" applyFont="1" applyBorder="1" applyAlignment="1" applyProtection="1">
      <alignment horizontal="center"/>
      <protection/>
    </xf>
    <xf numFmtId="7" fontId="10" fillId="0" borderId="47" xfId="0" applyNumberFormat="1" applyFont="1" applyBorder="1" applyAlignment="1" applyProtection="1">
      <alignment horizontal="centerContinuous"/>
      <protection/>
    </xf>
    <xf numFmtId="0" fontId="10" fillId="0" borderId="47" xfId="0" applyFont="1" applyBorder="1" applyAlignment="1" applyProtection="1">
      <alignment horizontal="centerContinuous"/>
      <protection/>
    </xf>
    <xf numFmtId="0" fontId="10" fillId="0" borderId="47" xfId="0" applyFont="1" applyBorder="1" applyAlignment="1" applyProtection="1">
      <alignment horizontal="right"/>
      <protection/>
    </xf>
    <xf numFmtId="7" fontId="10" fillId="0" borderId="54" xfId="0" applyNumberFormat="1" applyFont="1" applyBorder="1" applyAlignment="1" applyProtection="1">
      <alignment horizontal="center"/>
      <protection/>
    </xf>
    <xf numFmtId="7" fontId="10" fillId="0" borderId="49" xfId="0" applyNumberFormat="1" applyFont="1" applyBorder="1" applyAlignment="1" applyProtection="1">
      <alignment horizontal="center"/>
      <protection/>
    </xf>
    <xf numFmtId="0" fontId="0" fillId="0" borderId="48" xfId="0" applyBorder="1" applyAlignment="1">
      <alignment horizontal="centerContinuous"/>
    </xf>
    <xf numFmtId="0" fontId="10" fillId="0" borderId="40" xfId="0" applyFont="1" applyBorder="1" applyAlignment="1" applyProtection="1">
      <alignment horizontal="centerContinuous"/>
      <protection/>
    </xf>
    <xf numFmtId="0" fontId="0" fillId="0" borderId="40" xfId="0" applyBorder="1" applyAlignment="1">
      <alignment horizontal="center"/>
    </xf>
    <xf numFmtId="168" fontId="10" fillId="0" borderId="48" xfId="0" applyNumberFormat="1" applyFont="1" applyBorder="1" applyAlignment="1" applyProtection="1">
      <alignment horizontal="centerContinuous"/>
      <protection/>
    </xf>
    <xf numFmtId="2" fontId="22" fillId="0" borderId="55" xfId="0" applyNumberFormat="1" applyFont="1" applyBorder="1" applyAlignment="1">
      <alignment horizontal="centerContinuous"/>
    </xf>
    <xf numFmtId="7" fontId="10" fillId="0" borderId="50" xfId="0" applyNumberFormat="1" applyFont="1" applyBorder="1" applyAlignment="1">
      <alignment horizontal="centerContinuous"/>
    </xf>
    <xf numFmtId="168" fontId="10" fillId="0" borderId="51" xfId="0" applyNumberFormat="1" applyFont="1" applyBorder="1" applyAlignment="1" applyProtection="1" quotePrefix="1">
      <alignment horizontal="center"/>
      <protection/>
    </xf>
    <xf numFmtId="7" fontId="10" fillId="0" borderId="50" xfId="0" applyNumberFormat="1" applyFont="1" applyBorder="1" applyAlignment="1" applyProtection="1">
      <alignment horizontal="centerContinuous"/>
      <protection/>
    </xf>
    <xf numFmtId="2" fontId="22" fillId="0" borderId="56" xfId="0" applyNumberFormat="1" applyFont="1" applyBorder="1" applyAlignment="1">
      <alignment horizontal="centerContinuous"/>
    </xf>
    <xf numFmtId="0" fontId="10" fillId="0" borderId="57" xfId="0" applyFont="1" applyBorder="1" applyAlignment="1" applyProtection="1">
      <alignment horizontal="center"/>
      <protection/>
    </xf>
    <xf numFmtId="7" fontId="10" fillId="0" borderId="58" xfId="0" applyNumberFormat="1" applyFont="1" applyBorder="1" applyAlignment="1" applyProtection="1">
      <alignment horizontal="center"/>
      <protection/>
    </xf>
    <xf numFmtId="7" fontId="10" fillId="0" borderId="57" xfId="0" applyNumberFormat="1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Continuous"/>
      <protection/>
    </xf>
    <xf numFmtId="7" fontId="10" fillId="0" borderId="57" xfId="0" applyNumberFormat="1" applyFont="1" applyBorder="1" applyAlignment="1" applyProtection="1">
      <alignment horizontal="centerContinuous"/>
      <protection/>
    </xf>
    <xf numFmtId="2" fontId="22" fillId="0" borderId="59" xfId="0" applyNumberFormat="1" applyFont="1" applyBorder="1" applyAlignment="1">
      <alignment horizontal="centerContinuous"/>
    </xf>
    <xf numFmtId="7" fontId="10" fillId="0" borderId="53" xfId="0" applyNumberFormat="1" applyFont="1" applyBorder="1" applyAlignment="1">
      <alignment horizontal="centerContinuous"/>
    </xf>
    <xf numFmtId="168" fontId="10" fillId="0" borderId="47" xfId="0" applyNumberFormat="1" applyFont="1" applyBorder="1" applyAlignment="1" applyProtection="1" quotePrefix="1">
      <alignment horizontal="center"/>
      <protection/>
    </xf>
    <xf numFmtId="7" fontId="10" fillId="0" borderId="53" xfId="0" applyNumberFormat="1" applyFont="1" applyBorder="1" applyAlignment="1" applyProtection="1">
      <alignment horizontal="centerContinuous"/>
      <protection/>
    </xf>
    <xf numFmtId="2" fontId="22" fillId="0" borderId="29" xfId="0" applyNumberFormat="1" applyFont="1" applyBorder="1" applyAlignment="1">
      <alignment horizontal="centerContinuous"/>
    </xf>
    <xf numFmtId="7" fontId="10" fillId="0" borderId="48" xfId="0" applyNumberFormat="1" applyFont="1" applyBorder="1" applyAlignment="1" applyProtection="1">
      <alignment horizontal="centerContinuous"/>
      <protection/>
    </xf>
    <xf numFmtId="5" fontId="8" fillId="0" borderId="21" xfId="0" applyNumberFormat="1" applyFont="1" applyBorder="1" applyAlignment="1" applyProtection="1">
      <alignment horizontal="center"/>
      <protection/>
    </xf>
    <xf numFmtId="7" fontId="8" fillId="0" borderId="22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7" fontId="65" fillId="0" borderId="22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8" fontId="8" fillId="0" borderId="22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 applyProtection="1">
      <alignment horizontal="centerContinuous"/>
      <protection/>
    </xf>
    <xf numFmtId="2" fontId="10" fillId="0" borderId="40" xfId="0" applyNumberFormat="1" applyFont="1" applyBorder="1" applyAlignment="1" applyProtection="1">
      <alignment horizontal="centerContinuous"/>
      <protection/>
    </xf>
    <xf numFmtId="2" fontId="10" fillId="0" borderId="55" xfId="0" applyNumberFormat="1" applyFont="1" applyBorder="1" applyAlignment="1" applyProtection="1">
      <alignment horizontal="centerContinuous"/>
      <protection/>
    </xf>
    <xf numFmtId="2" fontId="10" fillId="0" borderId="51" xfId="0" applyNumberFormat="1" applyFont="1" applyBorder="1" applyAlignment="1" applyProtection="1">
      <alignment horizontal="centerContinuous"/>
      <protection/>
    </xf>
    <xf numFmtId="2" fontId="10" fillId="0" borderId="56" xfId="0" applyNumberFormat="1" applyFont="1" applyBorder="1" applyAlignment="1" applyProtection="1">
      <alignment horizontal="centerContinuous"/>
      <protection/>
    </xf>
    <xf numFmtId="2" fontId="10" fillId="0" borderId="0" xfId="0" applyNumberFormat="1" applyFont="1" applyBorder="1" applyAlignment="1" applyProtection="1">
      <alignment horizontal="centerContinuous"/>
      <protection/>
    </xf>
    <xf numFmtId="2" fontId="10" fillId="0" borderId="59" xfId="0" applyNumberFormat="1" applyFont="1" applyBorder="1" applyAlignment="1" applyProtection="1">
      <alignment horizontal="centerContinuous"/>
      <protection/>
    </xf>
    <xf numFmtId="2" fontId="10" fillId="0" borderId="47" xfId="0" applyNumberFormat="1" applyFont="1" applyBorder="1" applyAlignment="1" applyProtection="1">
      <alignment horizontal="centerContinuous"/>
      <protection/>
    </xf>
    <xf numFmtId="2" fontId="10" fillId="0" borderId="29" xfId="0" applyNumberFormat="1" applyFont="1" applyBorder="1" applyAlignment="1" applyProtection="1">
      <alignment horizontal="centerContinuous"/>
      <protection/>
    </xf>
    <xf numFmtId="0" fontId="61" fillId="0" borderId="0" xfId="0" applyFont="1" applyFill="1" applyAlignment="1">
      <alignment horizontal="right" vertical="top"/>
    </xf>
    <xf numFmtId="0" fontId="0" fillId="0" borderId="21" xfId="0" applyFont="1" applyBorder="1" applyAlignment="1" applyProtection="1">
      <alignment horizontal="center" vertical="center"/>
      <protection/>
    </xf>
    <xf numFmtId="173" fontId="0" fillId="0" borderId="21" xfId="0" applyNumberFormat="1" applyFont="1" applyBorder="1" applyAlignment="1">
      <alignment horizontal="centerContinuous" vertical="center"/>
    </xf>
    <xf numFmtId="0" fontId="1" fillId="0" borderId="22" xfId="0" applyFont="1" applyBorder="1" applyAlignment="1" applyProtection="1">
      <alignment horizontal="centerContinuous" vertical="center"/>
      <protection/>
    </xf>
    <xf numFmtId="167" fontId="0" fillId="0" borderId="22" xfId="0" applyNumberFormat="1" applyFont="1" applyBorder="1" applyAlignment="1">
      <alignment horizontal="centerContinuous" vertical="center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2" fontId="7" fillId="0" borderId="61" xfId="0" applyNumberFormat="1" applyFont="1" applyBorder="1" applyAlignment="1" applyProtection="1">
      <alignment horizontal="center"/>
      <protection locked="0"/>
    </xf>
    <xf numFmtId="0" fontId="7" fillId="0" borderId="62" xfId="0" applyFont="1" applyBorder="1" applyAlignment="1" applyProtection="1">
      <alignment/>
      <protection locked="0"/>
    </xf>
    <xf numFmtId="0" fontId="7" fillId="0" borderId="63" xfId="0" applyFont="1" applyBorder="1" applyAlignment="1" applyProtection="1">
      <alignment horizontal="center"/>
      <protection locked="0"/>
    </xf>
    <xf numFmtId="2" fontId="7" fillId="0" borderId="63" xfId="0" applyNumberFormat="1" applyFont="1" applyBorder="1" applyAlignment="1" applyProtection="1">
      <alignment horizontal="center"/>
      <protection locked="0"/>
    </xf>
    <xf numFmtId="168" fontId="7" fillId="0" borderId="4" xfId="0" applyNumberFormat="1" applyFont="1" applyBorder="1" applyAlignment="1" applyProtection="1">
      <alignment horizontal="center"/>
      <protection locked="0"/>
    </xf>
    <xf numFmtId="22" fontId="7" fillId="0" borderId="3" xfId="0" applyNumberFormat="1" applyFont="1" applyBorder="1" applyAlignment="1" applyProtection="1">
      <alignment horizontal="center"/>
      <protection locked="0"/>
    </xf>
    <xf numFmtId="168" fontId="7" fillId="0" borderId="3" xfId="0" applyNumberFormat="1" applyFont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168" fontId="52" fillId="3" borderId="4" xfId="0" applyNumberFormat="1" applyFont="1" applyFill="1" applyBorder="1" applyAlignment="1" applyProtection="1" quotePrefix="1">
      <alignment horizontal="center"/>
      <protection locked="0"/>
    </xf>
    <xf numFmtId="168" fontId="52" fillId="4" borderId="4" xfId="0" applyNumberFormat="1" applyFont="1" applyFill="1" applyBorder="1" applyAlignment="1" applyProtection="1" quotePrefix="1">
      <alignment horizontal="center"/>
      <protection locked="0"/>
    </xf>
    <xf numFmtId="168" fontId="57" fillId="5" borderId="30" xfId="0" applyNumberFormat="1" applyFont="1" applyFill="1" applyBorder="1" applyAlignment="1" applyProtection="1" quotePrefix="1">
      <alignment horizontal="center"/>
      <protection locked="0"/>
    </xf>
    <xf numFmtId="4" fontId="57" fillId="5" borderId="64" xfId="0" applyNumberFormat="1" applyFont="1" applyFill="1" applyBorder="1" applyAlignment="1" applyProtection="1">
      <alignment horizontal="center"/>
      <protection locked="0"/>
    </xf>
    <xf numFmtId="4" fontId="57" fillId="5" borderId="65" xfId="0" applyNumberFormat="1" applyFont="1" applyFill="1" applyBorder="1" applyAlignment="1" applyProtection="1">
      <alignment horizontal="center"/>
      <protection locked="0"/>
    </xf>
    <xf numFmtId="168" fontId="57" fillId="6" borderId="30" xfId="0" applyNumberFormat="1" applyFont="1" applyFill="1" applyBorder="1" applyAlignment="1" applyProtection="1" quotePrefix="1">
      <alignment horizontal="center"/>
      <protection locked="0"/>
    </xf>
    <xf numFmtId="4" fontId="57" fillId="6" borderId="64" xfId="0" applyNumberFormat="1" applyFont="1" applyFill="1" applyBorder="1" applyAlignment="1" applyProtection="1">
      <alignment horizontal="center"/>
      <protection locked="0"/>
    </xf>
    <xf numFmtId="4" fontId="57" fillId="6" borderId="65" xfId="0" applyNumberFormat="1" applyFont="1" applyFill="1" applyBorder="1" applyAlignment="1" applyProtection="1">
      <alignment horizontal="center"/>
      <protection locked="0"/>
    </xf>
    <xf numFmtId="4" fontId="57" fillId="7" borderId="4" xfId="0" applyNumberFormat="1" applyFont="1" applyFill="1" applyBorder="1" applyAlignment="1" applyProtection="1">
      <alignment horizontal="center"/>
      <protection locked="0"/>
    </xf>
    <xf numFmtId="4" fontId="52" fillId="8" borderId="4" xfId="0" applyNumberFormat="1" applyFont="1" applyFill="1" applyBorder="1" applyAlignment="1" applyProtection="1">
      <alignment horizontal="center"/>
      <protection locked="0"/>
    </xf>
    <xf numFmtId="4" fontId="7" fillId="0" borderId="4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54" fillId="3" borderId="3" xfId="0" applyFont="1" applyFill="1" applyBorder="1" applyAlignment="1" applyProtection="1">
      <alignment/>
      <protection locked="0"/>
    </xf>
    <xf numFmtId="0" fontId="54" fillId="4" borderId="3" xfId="0" applyFont="1" applyFill="1" applyBorder="1" applyAlignment="1" applyProtection="1">
      <alignment/>
      <protection locked="0"/>
    </xf>
    <xf numFmtId="0" fontId="56" fillId="5" borderId="28" xfId="0" applyFont="1" applyFill="1" applyBorder="1" applyAlignment="1" applyProtection="1">
      <alignment horizontal="center"/>
      <protection locked="0"/>
    </xf>
    <xf numFmtId="0" fontId="56" fillId="5" borderId="29" xfId="0" applyFont="1" applyFill="1" applyBorder="1" applyAlignment="1" applyProtection="1">
      <alignment/>
      <protection locked="0"/>
    </xf>
    <xf numFmtId="0" fontId="56" fillId="5" borderId="7" xfId="0" applyFont="1" applyFill="1" applyBorder="1" applyAlignment="1" applyProtection="1">
      <alignment/>
      <protection locked="0"/>
    </xf>
    <xf numFmtId="0" fontId="56" fillId="6" borderId="28" xfId="0" applyFont="1" applyFill="1" applyBorder="1" applyAlignment="1" applyProtection="1">
      <alignment horizontal="center"/>
      <protection locked="0"/>
    </xf>
    <xf numFmtId="0" fontId="56" fillId="6" borderId="29" xfId="0" applyFont="1" applyFill="1" applyBorder="1" applyAlignment="1" applyProtection="1">
      <alignment/>
      <protection locked="0"/>
    </xf>
    <xf numFmtId="0" fontId="56" fillId="6" borderId="7" xfId="0" applyFont="1" applyFill="1" applyBorder="1" applyAlignment="1" applyProtection="1">
      <alignment/>
      <protection locked="0"/>
    </xf>
    <xf numFmtId="0" fontId="56" fillId="7" borderId="3" xfId="0" applyFont="1" applyFill="1" applyBorder="1" applyAlignment="1" applyProtection="1">
      <alignment/>
      <protection locked="0"/>
    </xf>
    <xf numFmtId="0" fontId="54" fillId="8" borderId="3" xfId="0" applyFont="1" applyFill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/>
    </xf>
    <xf numFmtId="0" fontId="61" fillId="0" borderId="0" xfId="0" applyFont="1" applyFill="1" applyAlignment="1" applyProtection="1">
      <alignment horizontal="right" vertical="top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1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2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2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left"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1" xfId="0" applyFont="1" applyFill="1" applyBorder="1" applyAlignment="1" applyProtection="1">
      <alignment/>
      <protection/>
    </xf>
    <xf numFmtId="0" fontId="27" fillId="7" borderId="19" xfId="0" applyFont="1" applyFill="1" applyBorder="1" applyAlignment="1" applyProtection="1">
      <alignment horizontal="center" vertical="center" wrapText="1"/>
      <protection/>
    </xf>
    <xf numFmtId="0" fontId="27" fillId="9" borderId="19" xfId="0" applyFont="1" applyFill="1" applyBorder="1" applyAlignment="1" applyProtection="1">
      <alignment horizontal="center" vertical="center" wrapText="1"/>
      <protection/>
    </xf>
    <xf numFmtId="0" fontId="53" fillId="10" borderId="22" xfId="0" applyFont="1" applyFill="1" applyBorder="1" applyAlignment="1" applyProtection="1">
      <alignment horizontal="centerContinuous" vertical="center"/>
      <protection/>
    </xf>
    <xf numFmtId="0" fontId="53" fillId="3" borderId="22" xfId="0" applyFont="1" applyFill="1" applyBorder="1" applyAlignment="1" applyProtection="1">
      <alignment horizontal="centerContinuous" vertical="center"/>
      <protection/>
    </xf>
    <xf numFmtId="0" fontId="49" fillId="5" borderId="19" xfId="0" applyFont="1" applyFill="1" applyBorder="1" applyAlignment="1" applyProtection="1">
      <alignment horizontal="center" vertical="center" wrapText="1"/>
      <protection/>
    </xf>
    <xf numFmtId="0" fontId="27" fillId="6" borderId="19" xfId="0" applyFont="1" applyFill="1" applyBorder="1" applyAlignment="1" applyProtection="1">
      <alignment horizontal="center" vertical="center" wrapText="1"/>
      <protection/>
    </xf>
    <xf numFmtId="0" fontId="26" fillId="0" borderId="2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/>
      <protection/>
    </xf>
    <xf numFmtId="0" fontId="48" fillId="2" borderId="6" xfId="0" applyFont="1" applyFill="1" applyBorder="1" applyAlignment="1" applyProtection="1">
      <alignment/>
      <protection/>
    </xf>
    <xf numFmtId="0" fontId="52" fillId="8" borderId="6" xfId="0" applyFont="1" applyFill="1" applyBorder="1" applyAlignment="1" applyProtection="1">
      <alignment/>
      <protection/>
    </xf>
    <xf numFmtId="0" fontId="57" fillId="7" borderId="6" xfId="0" applyFont="1" applyFill="1" applyBorder="1" applyAlignment="1" applyProtection="1">
      <alignment/>
      <protection/>
    </xf>
    <xf numFmtId="0" fontId="57" fillId="9" borderId="6" xfId="0" applyFont="1" applyFill="1" applyBorder="1" applyAlignment="1" applyProtection="1">
      <alignment/>
      <protection/>
    </xf>
    <xf numFmtId="0" fontId="52" fillId="10" borderId="25" xfId="0" applyFont="1" applyFill="1" applyBorder="1" applyAlignment="1" applyProtection="1">
      <alignment horizontal="center"/>
      <protection/>
    </xf>
    <xf numFmtId="0" fontId="52" fillId="10" borderId="27" xfId="0" applyFont="1" applyFill="1" applyBorder="1" applyAlignment="1" applyProtection="1">
      <alignment/>
      <protection/>
    </xf>
    <xf numFmtId="0" fontId="52" fillId="3" borderId="25" xfId="0" applyFont="1" applyFill="1" applyBorder="1" applyAlignment="1" applyProtection="1">
      <alignment horizontal="center"/>
      <protection/>
    </xf>
    <xf numFmtId="0" fontId="52" fillId="3" borderId="27" xfId="0" applyFont="1" applyFill="1" applyBorder="1" applyAlignment="1" applyProtection="1">
      <alignment/>
      <protection/>
    </xf>
    <xf numFmtId="0" fontId="50" fillId="5" borderId="6" xfId="0" applyFont="1" applyFill="1" applyBorder="1" applyAlignment="1" applyProtection="1">
      <alignment/>
      <protection/>
    </xf>
    <xf numFmtId="0" fontId="57" fillId="6" borderId="6" xfId="0" applyFont="1" applyFill="1" applyBorder="1" applyAlignment="1" applyProtection="1">
      <alignment/>
      <protection/>
    </xf>
    <xf numFmtId="7" fontId="10" fillId="0" borderId="6" xfId="0" applyNumberFormat="1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/>
      <protection/>
    </xf>
    <xf numFmtId="0" fontId="48" fillId="2" borderId="3" xfId="0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 horizontal="center"/>
      <protection/>
    </xf>
    <xf numFmtId="0" fontId="52" fillId="8" borderId="3" xfId="0" applyFont="1" applyFill="1" applyBorder="1" applyAlignment="1" applyProtection="1">
      <alignment/>
      <protection/>
    </xf>
    <xf numFmtId="0" fontId="57" fillId="7" borderId="3" xfId="0" applyFont="1" applyFill="1" applyBorder="1" applyAlignment="1" applyProtection="1">
      <alignment/>
      <protection/>
    </xf>
    <xf numFmtId="0" fontId="57" fillId="9" borderId="3" xfId="0" applyFont="1" applyFill="1" applyBorder="1" applyAlignment="1" applyProtection="1">
      <alignment/>
      <protection/>
    </xf>
    <xf numFmtId="0" fontId="52" fillId="10" borderId="28" xfId="0" applyFont="1" applyFill="1" applyBorder="1" applyAlignment="1" applyProtection="1">
      <alignment horizontal="center"/>
      <protection/>
    </xf>
    <xf numFmtId="0" fontId="52" fillId="10" borderId="7" xfId="0" applyFont="1" applyFill="1" applyBorder="1" applyAlignment="1" applyProtection="1">
      <alignment/>
      <protection/>
    </xf>
    <xf numFmtId="0" fontId="52" fillId="3" borderId="28" xfId="0" applyFont="1" applyFill="1" applyBorder="1" applyAlignment="1" applyProtection="1">
      <alignment horizontal="center"/>
      <protection/>
    </xf>
    <xf numFmtId="0" fontId="52" fillId="3" borderId="7" xfId="0" applyFont="1" applyFill="1" applyBorder="1" applyAlignment="1" applyProtection="1">
      <alignment/>
      <protection/>
    </xf>
    <xf numFmtId="0" fontId="50" fillId="5" borderId="3" xfId="0" applyFont="1" applyFill="1" applyBorder="1" applyAlignment="1" applyProtection="1">
      <alignment/>
      <protection/>
    </xf>
    <xf numFmtId="0" fontId="57" fillId="6" borderId="3" xfId="0" applyFont="1" applyFill="1" applyBorder="1" applyAlignment="1" applyProtection="1">
      <alignment/>
      <protection/>
    </xf>
    <xf numFmtId="0" fontId="10" fillId="0" borderId="7" xfId="0" applyFont="1" applyFill="1" applyBorder="1" applyAlignment="1" applyProtection="1">
      <alignment/>
      <protection/>
    </xf>
    <xf numFmtId="168" fontId="10" fillId="0" borderId="7" xfId="0" applyNumberFormat="1" applyFont="1" applyFill="1" applyBorder="1" applyAlignment="1" applyProtection="1">
      <alignment horizontal="right"/>
      <protection/>
    </xf>
    <xf numFmtId="2" fontId="7" fillId="0" borderId="2" xfId="0" applyNumberFormat="1" applyFont="1" applyFill="1" applyBorder="1" applyAlignment="1" applyProtection="1">
      <alignment/>
      <protection/>
    </xf>
    <xf numFmtId="0" fontId="7" fillId="0" borderId="4" xfId="0" applyFont="1" applyFill="1" applyBorder="1" applyAlignment="1" applyProtection="1">
      <alignment/>
      <protection/>
    </xf>
    <xf numFmtId="0" fontId="48" fillId="2" borderId="4" xfId="0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/>
      <protection/>
    </xf>
    <xf numFmtId="0" fontId="39" fillId="0" borderId="23" xfId="0" applyFont="1" applyBorder="1" applyAlignment="1" applyProtection="1">
      <alignment horizontal="center"/>
      <protection/>
    </xf>
    <xf numFmtId="7" fontId="57" fillId="7" borderId="19" xfId="0" applyNumberFormat="1" applyFont="1" applyFill="1" applyBorder="1" applyAlignment="1" applyProtection="1">
      <alignment horizontal="center"/>
      <protection/>
    </xf>
    <xf numFmtId="7" fontId="57" fillId="9" borderId="19" xfId="0" applyNumberFormat="1" applyFont="1" applyFill="1" applyBorder="1" applyAlignment="1" applyProtection="1">
      <alignment horizontal="center"/>
      <protection/>
    </xf>
    <xf numFmtId="7" fontId="52" fillId="10" borderId="19" xfId="0" applyNumberFormat="1" applyFont="1" applyFill="1" applyBorder="1" applyAlignment="1" applyProtection="1">
      <alignment horizontal="center"/>
      <protection/>
    </xf>
    <xf numFmtId="7" fontId="52" fillId="3" borderId="19" xfId="0" applyNumberFormat="1" applyFont="1" applyFill="1" applyBorder="1" applyAlignment="1" applyProtection="1">
      <alignment horizontal="center"/>
      <protection/>
    </xf>
    <xf numFmtId="7" fontId="50" fillId="5" borderId="19" xfId="0" applyNumberFormat="1" applyFont="1" applyFill="1" applyBorder="1" applyAlignment="1" applyProtection="1">
      <alignment horizontal="center"/>
      <protection/>
    </xf>
    <xf numFmtId="7" fontId="57" fillId="6" borderId="19" xfId="0" applyNumberFormat="1" applyFont="1" applyFill="1" applyBorder="1" applyAlignment="1" applyProtection="1">
      <alignment horizontal="center"/>
      <protection/>
    </xf>
    <xf numFmtId="0" fontId="7" fillId="0" borderId="8" xfId="0" applyFont="1" applyFill="1" applyBorder="1" applyAlignment="1" applyProtection="1">
      <alignment/>
      <protection/>
    </xf>
    <xf numFmtId="7" fontId="11" fillId="0" borderId="19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Alignment="1" applyProtection="1">
      <alignment/>
      <protection/>
    </xf>
    <xf numFmtId="0" fontId="39" fillId="0" borderId="1" xfId="0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7" fontId="39" fillId="0" borderId="0" xfId="0" applyNumberFormat="1" applyFont="1" applyFill="1" applyBorder="1" applyAlignment="1" applyProtection="1">
      <alignment horizontal="center"/>
      <protection/>
    </xf>
    <xf numFmtId="7" fontId="45" fillId="0" borderId="0" xfId="0" applyNumberFormat="1" applyFont="1" applyFill="1" applyBorder="1" applyAlignment="1" applyProtection="1">
      <alignment horizontal="right"/>
      <protection/>
    </xf>
    <xf numFmtId="0" fontId="39" fillId="0" borderId="2" xfId="0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center"/>
      <protection locked="0"/>
    </xf>
    <xf numFmtId="165" fontId="7" fillId="0" borderId="9" xfId="0" applyNumberFormat="1" applyFont="1" applyBorder="1" applyAlignment="1" applyProtection="1" quotePrefix="1">
      <alignment horizontal="center"/>
      <protection locked="0"/>
    </xf>
    <xf numFmtId="2" fontId="7" fillId="0" borderId="9" xfId="0" applyNumberFormat="1" applyFont="1" applyBorder="1" applyAlignment="1" applyProtection="1" quotePrefix="1">
      <alignment horizontal="center"/>
      <protection locked="0"/>
    </xf>
    <xf numFmtId="0" fontId="7" fillId="0" borderId="4" xfId="0" applyFont="1" applyFill="1" applyBorder="1" applyAlignment="1" applyProtection="1">
      <alignment/>
      <protection locked="0"/>
    </xf>
    <xf numFmtId="22" fontId="7" fillId="0" borderId="3" xfId="0" applyNumberFormat="1" applyFont="1" applyFill="1" applyBorder="1" applyAlignment="1" applyProtection="1">
      <alignment horizontal="center"/>
      <protection locked="0"/>
    </xf>
    <xf numFmtId="168" fontId="7" fillId="0" borderId="3" xfId="0" applyNumberFormat="1" applyFont="1" applyFill="1" applyBorder="1" applyAlignment="1" applyProtection="1">
      <alignment horizontal="center"/>
      <protection locked="0"/>
    </xf>
    <xf numFmtId="0" fontId="52" fillId="8" borderId="4" xfId="0" applyFont="1" applyFill="1" applyBorder="1" applyAlignment="1" applyProtection="1">
      <alignment/>
      <protection locked="0"/>
    </xf>
    <xf numFmtId="0" fontId="57" fillId="7" borderId="4" xfId="0" applyFont="1" applyFill="1" applyBorder="1" applyAlignment="1" applyProtection="1">
      <alignment/>
      <protection locked="0"/>
    </xf>
    <xf numFmtId="0" fontId="57" fillId="9" borderId="4" xfId="0" applyFont="1" applyFill="1" applyBorder="1" applyAlignment="1" applyProtection="1">
      <alignment/>
      <protection locked="0"/>
    </xf>
    <xf numFmtId="0" fontId="52" fillId="10" borderId="30" xfId="0" applyFont="1" applyFill="1" applyBorder="1" applyAlignment="1" applyProtection="1">
      <alignment/>
      <protection locked="0"/>
    </xf>
    <xf numFmtId="0" fontId="52" fillId="10" borderId="31" xfId="0" applyFont="1" applyFill="1" applyBorder="1" applyAlignment="1" applyProtection="1">
      <alignment/>
      <protection locked="0"/>
    </xf>
    <xf numFmtId="0" fontId="52" fillId="3" borderId="30" xfId="0" applyFont="1" applyFill="1" applyBorder="1" applyAlignment="1" applyProtection="1">
      <alignment/>
      <protection locked="0"/>
    </xf>
    <xf numFmtId="0" fontId="52" fillId="3" borderId="31" xfId="0" applyFont="1" applyFill="1" applyBorder="1" applyAlignment="1" applyProtection="1">
      <alignment/>
      <protection locked="0"/>
    </xf>
    <xf numFmtId="0" fontId="50" fillId="5" borderId="4" xfId="0" applyFont="1" applyFill="1" applyBorder="1" applyAlignment="1" applyProtection="1">
      <alignment/>
      <protection locked="0"/>
    </xf>
    <xf numFmtId="0" fontId="57" fillId="6" borderId="4" xfId="0" applyFont="1" applyFill="1" applyBorder="1" applyAlignment="1" applyProtection="1">
      <alignment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172" fontId="7" fillId="0" borderId="3" xfId="0" applyNumberFormat="1" applyFont="1" applyFill="1" applyBorder="1" applyAlignment="1" applyProtection="1">
      <alignment horizontal="center"/>
      <protection locked="0"/>
    </xf>
    <xf numFmtId="22" fontId="7" fillId="0" borderId="9" xfId="0" applyNumberFormat="1" applyFont="1" applyFill="1" applyBorder="1" applyAlignment="1" applyProtection="1">
      <alignment horizontal="center"/>
      <protection locked="0"/>
    </xf>
    <xf numFmtId="22" fontId="7" fillId="0" borderId="10" xfId="0" applyNumberFormat="1" applyFont="1" applyFill="1" applyBorder="1" applyAlignment="1" applyProtection="1">
      <alignment horizontal="center"/>
      <protection locked="0"/>
    </xf>
    <xf numFmtId="168" fontId="7" fillId="0" borderId="7" xfId="0" applyNumberFormat="1" applyFont="1" applyFill="1" applyBorder="1" applyAlignment="1" applyProtection="1">
      <alignment horizontal="center"/>
      <protection locked="0"/>
    </xf>
    <xf numFmtId="0" fontId="52" fillId="6" borderId="4" xfId="0" applyFont="1" applyFill="1" applyBorder="1" applyAlignment="1" applyProtection="1">
      <alignment/>
      <protection locked="0"/>
    </xf>
    <xf numFmtId="0" fontId="57" fillId="5" borderId="4" xfId="0" applyFont="1" applyFill="1" applyBorder="1" applyAlignment="1" applyProtection="1">
      <alignment/>
      <protection locked="0"/>
    </xf>
    <xf numFmtId="172" fontId="9" fillId="0" borderId="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66" fillId="0" borderId="0" xfId="0" applyNumberFormat="1" applyFont="1" applyBorder="1" applyAlignment="1">
      <alignment horizontal="left"/>
    </xf>
    <xf numFmtId="168" fontId="11" fillId="0" borderId="40" xfId="0" applyNumberFormat="1" applyFont="1" applyBorder="1" applyAlignment="1" applyProtection="1">
      <alignment horizontal="center"/>
      <protection/>
    </xf>
    <xf numFmtId="168" fontId="64" fillId="0" borderId="0" xfId="0" applyNumberFormat="1" applyFont="1" applyBorder="1" applyAlignment="1" applyProtection="1" quotePrefix="1">
      <alignment horizontal="left"/>
      <protection/>
    </xf>
    <xf numFmtId="168" fontId="64" fillId="0" borderId="51" xfId="0" applyNumberFormat="1" applyFont="1" applyBorder="1" applyAlignment="1" applyProtection="1" quotePrefix="1">
      <alignment horizontal="left"/>
      <protection/>
    </xf>
    <xf numFmtId="168" fontId="64" fillId="0" borderId="47" xfId="0" applyNumberFormat="1" applyFont="1" applyBorder="1" applyAlignment="1" applyProtection="1" quotePrefix="1">
      <alignment horizontal="left"/>
      <protection/>
    </xf>
    <xf numFmtId="168" fontId="11" fillId="0" borderId="40" xfId="0" applyNumberFormat="1" applyFont="1" applyBorder="1" applyAlignment="1" applyProtection="1">
      <alignment horizontal="left"/>
      <protection/>
    </xf>
    <xf numFmtId="177" fontId="11" fillId="0" borderId="40" xfId="0" applyNumberFormat="1" applyFont="1" applyBorder="1" applyAlignment="1" applyProtection="1">
      <alignment horizontal="right"/>
      <protection/>
    </xf>
    <xf numFmtId="177" fontId="11" fillId="0" borderId="49" xfId="0" applyNumberFormat="1" applyFont="1" applyBorder="1" applyAlignment="1" applyProtection="1">
      <alignment horizontal="right"/>
      <protection/>
    </xf>
    <xf numFmtId="0" fontId="71" fillId="0" borderId="51" xfId="0" applyFont="1" applyBorder="1" applyAlignment="1" applyProtection="1">
      <alignment horizontal="centerContinuous"/>
      <protection/>
    </xf>
    <xf numFmtId="168" fontId="71" fillId="0" borderId="51" xfId="0" applyNumberFormat="1" applyFont="1" applyBorder="1" applyAlignment="1" applyProtection="1">
      <alignment horizontal="center"/>
      <protection/>
    </xf>
    <xf numFmtId="0" fontId="71" fillId="0" borderId="0" xfId="0" applyFont="1" applyBorder="1" applyAlignment="1" applyProtection="1">
      <alignment horizontal="centerContinuous"/>
      <protection/>
    </xf>
    <xf numFmtId="168" fontId="71" fillId="0" borderId="0" xfId="0" applyNumberFormat="1" applyFont="1" applyBorder="1" applyAlignment="1" applyProtection="1">
      <alignment horizontal="center"/>
      <protection/>
    </xf>
    <xf numFmtId="7" fontId="71" fillId="0" borderId="50" xfId="0" applyNumberFormat="1" applyFont="1" applyBorder="1" applyAlignment="1">
      <alignment horizontal="left"/>
    </xf>
    <xf numFmtId="7" fontId="71" fillId="0" borderId="57" xfId="0" applyNumberFormat="1" applyFont="1" applyBorder="1" applyAlignment="1">
      <alignment horizontal="left"/>
    </xf>
    <xf numFmtId="168" fontId="10" fillId="0" borderId="55" xfId="0" applyNumberFormat="1" applyFont="1" applyBorder="1" applyAlignment="1" applyProtection="1">
      <alignment horizontal="center"/>
      <protection/>
    </xf>
    <xf numFmtId="168" fontId="10" fillId="0" borderId="50" xfId="0" applyNumberFormat="1" applyFont="1" applyBorder="1" applyAlignment="1" applyProtection="1">
      <alignment horizontal="center"/>
      <protection/>
    </xf>
    <xf numFmtId="7" fontId="10" fillId="0" borderId="56" xfId="0" applyNumberFormat="1" applyFont="1" applyBorder="1" applyAlignment="1" applyProtection="1">
      <alignment horizontal="center"/>
      <protection/>
    </xf>
    <xf numFmtId="168" fontId="10" fillId="0" borderId="53" xfId="0" applyNumberFormat="1" applyFont="1" applyBorder="1" applyAlignment="1" applyProtection="1">
      <alignment horizontal="center"/>
      <protection/>
    </xf>
    <xf numFmtId="7" fontId="10" fillId="0" borderId="59" xfId="0" applyNumberFormat="1" applyFont="1" applyBorder="1" applyAlignment="1" applyProtection="1">
      <alignment horizontal="center"/>
      <protection/>
    </xf>
    <xf numFmtId="7" fontId="0" fillId="0" borderId="55" xfId="0" applyNumberFormat="1" applyBorder="1" applyAlignment="1">
      <alignment horizontal="center"/>
    </xf>
    <xf numFmtId="177" fontId="11" fillId="0" borderId="4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center"/>
      <protection/>
    </xf>
    <xf numFmtId="173" fontId="0" fillId="0" borderId="0" xfId="0" applyNumberFormat="1" applyFont="1" applyBorder="1" applyAlignment="1">
      <alignment horizontal="centerContinuous" vertical="center"/>
    </xf>
    <xf numFmtId="167" fontId="0" fillId="0" borderId="0" xfId="0" applyNumberFormat="1" applyFont="1" applyBorder="1" applyAlignment="1">
      <alignment horizontal="centerContinuous"/>
    </xf>
    <xf numFmtId="171" fontId="25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7" fillId="0" borderId="9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Continuous"/>
    </xf>
    <xf numFmtId="0" fontId="7" fillId="0" borderId="9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/>
      <protection/>
    </xf>
    <xf numFmtId="8" fontId="11" fillId="0" borderId="19" xfId="19" applyNumberFormat="1" applyFont="1" applyBorder="1" applyAlignment="1">
      <alignment horizontal="right"/>
    </xf>
    <xf numFmtId="168" fontId="7" fillId="0" borderId="3" xfId="0" applyNumberFormat="1" applyFont="1" applyBorder="1" applyAlignment="1" applyProtection="1" quotePrefix="1">
      <alignment horizontal="center"/>
      <protection/>
    </xf>
    <xf numFmtId="2" fontId="52" fillId="3" borderId="3" xfId="0" applyNumberFormat="1" applyFont="1" applyFill="1" applyBorder="1" applyAlignment="1" applyProtection="1">
      <alignment horizontal="center"/>
      <protection/>
    </xf>
    <xf numFmtId="2" fontId="52" fillId="4" borderId="3" xfId="0" applyNumberFormat="1" applyFont="1" applyFill="1" applyBorder="1" applyAlignment="1" applyProtection="1">
      <alignment horizontal="center"/>
      <protection/>
    </xf>
    <xf numFmtId="168" fontId="57" fillId="5" borderId="28" xfId="0" applyNumberFormat="1" applyFont="1" applyFill="1" applyBorder="1" applyAlignment="1" applyProtection="1" quotePrefix="1">
      <alignment horizontal="center"/>
      <protection/>
    </xf>
    <xf numFmtId="168" fontId="57" fillId="5" borderId="29" xfId="0" applyNumberFormat="1" applyFont="1" applyFill="1" applyBorder="1" applyAlignment="1" applyProtection="1" quotePrefix="1">
      <alignment horizontal="center"/>
      <protection/>
    </xf>
    <xf numFmtId="4" fontId="57" fillId="5" borderId="7" xfId="0" applyNumberFormat="1" applyFont="1" applyFill="1" applyBorder="1" applyAlignment="1" applyProtection="1">
      <alignment horizontal="center"/>
      <protection/>
    </xf>
    <xf numFmtId="168" fontId="57" fillId="6" borderId="28" xfId="0" applyNumberFormat="1" applyFont="1" applyFill="1" applyBorder="1" applyAlignment="1" applyProtection="1" quotePrefix="1">
      <alignment horizontal="center"/>
      <protection/>
    </xf>
    <xf numFmtId="168" fontId="57" fillId="6" borderId="29" xfId="0" applyNumberFormat="1" applyFont="1" applyFill="1" applyBorder="1" applyAlignment="1" applyProtection="1" quotePrefix="1">
      <alignment horizontal="center"/>
      <protection/>
    </xf>
    <xf numFmtId="4" fontId="57" fillId="6" borderId="7" xfId="0" applyNumberFormat="1" applyFont="1" applyFill="1" applyBorder="1" applyAlignment="1" applyProtection="1">
      <alignment horizontal="center"/>
      <protection/>
    </xf>
    <xf numFmtId="4" fontId="57" fillId="7" borderId="3" xfId="0" applyNumberFormat="1" applyFont="1" applyFill="1" applyBorder="1" applyAlignment="1" applyProtection="1">
      <alignment horizontal="center"/>
      <protection/>
    </xf>
    <xf numFmtId="4" fontId="52" fillId="8" borderId="3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Border="1" applyAlignment="1" applyProtection="1">
      <alignment horizontal="center"/>
      <protection/>
    </xf>
    <xf numFmtId="168" fontId="7" fillId="0" borderId="3" xfId="0" applyNumberFormat="1" applyFont="1" applyFill="1" applyBorder="1" applyAlignment="1" applyProtection="1" quotePrefix="1">
      <alignment horizontal="center"/>
      <protection/>
    </xf>
    <xf numFmtId="2" fontId="57" fillId="7" borderId="3" xfId="0" applyNumberFormat="1" applyFont="1" applyFill="1" applyBorder="1" applyAlignment="1" applyProtection="1">
      <alignment horizontal="center"/>
      <protection/>
    </xf>
    <xf numFmtId="2" fontId="57" fillId="9" borderId="3" xfId="0" applyNumberFormat="1" applyFont="1" applyFill="1" applyBorder="1" applyAlignment="1" applyProtection="1">
      <alignment horizontal="center"/>
      <protection/>
    </xf>
    <xf numFmtId="2" fontId="57" fillId="5" borderId="3" xfId="0" applyNumberFormat="1" applyFont="1" applyFill="1" applyBorder="1" applyAlignment="1" applyProtection="1">
      <alignment horizontal="center"/>
      <protection/>
    </xf>
    <xf numFmtId="168" fontId="7" fillId="0" borderId="3" xfId="0" applyNumberFormat="1" applyFont="1" applyBorder="1" applyAlignment="1" applyProtection="1">
      <alignment horizontal="center"/>
      <protection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 applyProtection="1">
      <alignment horizontal="left"/>
      <protection/>
    </xf>
    <xf numFmtId="0" fontId="55" fillId="0" borderId="0" xfId="0" applyFont="1" applyBorder="1" applyAlignment="1">
      <alignment/>
    </xf>
    <xf numFmtId="0" fontId="55" fillId="0" borderId="1" xfId="0" applyFont="1" applyBorder="1" applyAlignment="1">
      <alignment/>
    </xf>
    <xf numFmtId="0" fontId="55" fillId="0" borderId="66" xfId="0" applyFont="1" applyBorder="1" applyAlignment="1">
      <alignment/>
    </xf>
    <xf numFmtId="0" fontId="55" fillId="0" borderId="2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 applyProtection="1">
      <alignment/>
      <protection/>
    </xf>
    <xf numFmtId="0" fontId="55" fillId="0" borderId="1" xfId="0" applyFont="1" applyFill="1" applyBorder="1" applyAlignment="1" applyProtection="1">
      <alignment/>
      <protection/>
    </xf>
    <xf numFmtId="0" fontId="55" fillId="0" borderId="66" xfId="0" applyFont="1" applyFill="1" applyBorder="1" applyAlignment="1" applyProtection="1">
      <alignment/>
      <protection/>
    </xf>
    <xf numFmtId="0" fontId="55" fillId="0" borderId="2" xfId="0" applyFont="1" applyFill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5" fillId="0" borderId="0" xfId="0" applyFont="1" applyFill="1" applyAlignment="1">
      <alignment/>
    </xf>
    <xf numFmtId="0" fontId="55" fillId="0" borderId="1" xfId="0" applyFont="1" applyFill="1" applyBorder="1" applyAlignment="1">
      <alignment/>
    </xf>
    <xf numFmtId="0" fontId="55" fillId="0" borderId="66" xfId="0" applyFont="1" applyFill="1" applyBorder="1" applyAlignment="1">
      <alignment/>
    </xf>
    <xf numFmtId="0" fontId="55" fillId="0" borderId="2" xfId="0" applyFont="1" applyFill="1" applyBorder="1" applyAlignment="1">
      <alignment/>
    </xf>
    <xf numFmtId="165" fontId="7" fillId="0" borderId="9" xfId="0" applyNumberFormat="1" applyFont="1" applyBorder="1" applyAlignment="1" applyProtection="1">
      <alignment horizontal="center"/>
      <protection locked="0"/>
    </xf>
    <xf numFmtId="0" fontId="72" fillId="0" borderId="0" xfId="0" applyFont="1" applyAlignment="1">
      <alignment/>
    </xf>
    <xf numFmtId="0" fontId="72" fillId="0" borderId="0" xfId="0" applyFont="1" applyAlignment="1">
      <alignment horizontal="centerContinuous"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73" fillId="0" borderId="0" xfId="0" applyFont="1" applyBorder="1" applyAlignment="1">
      <alignment horizontal="centerContinuous"/>
    </xf>
    <xf numFmtId="0" fontId="74" fillId="0" borderId="0" xfId="0" applyFont="1" applyBorder="1" applyAlignment="1" applyProtection="1">
      <alignment horizontal="left"/>
      <protection/>
    </xf>
    <xf numFmtId="0" fontId="75" fillId="0" borderId="0" xfId="0" applyFont="1" applyBorder="1" applyAlignment="1" applyProtection="1">
      <alignment horizontal="centerContinuous"/>
      <protection/>
    </xf>
    <xf numFmtId="0" fontId="75" fillId="0" borderId="0" xfId="0" applyFont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6" fillId="0" borderId="12" xfId="0" applyFont="1" applyBorder="1" applyAlignment="1">
      <alignment/>
    </xf>
    <xf numFmtId="0" fontId="0" fillId="0" borderId="13" xfId="0" applyBorder="1" applyAlignment="1">
      <alignment/>
    </xf>
    <xf numFmtId="0" fontId="7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66" xfId="0" applyBorder="1" applyAlignment="1">
      <alignment/>
    </xf>
    <xf numFmtId="0" fontId="76" fillId="0" borderId="0" xfId="0" applyFont="1" applyBorder="1" applyAlignment="1" applyProtection="1">
      <alignment horizontal="center"/>
      <protection/>
    </xf>
    <xf numFmtId="0" fontId="76" fillId="0" borderId="0" xfId="0" applyFont="1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11" borderId="62" xfId="0" applyFont="1" applyFill="1" applyBorder="1" applyAlignment="1">
      <alignment horizontal="centerContinuous" vertical="center"/>
    </xf>
    <xf numFmtId="0" fontId="77" fillId="11" borderId="67" xfId="0" applyFont="1" applyFill="1" applyBorder="1" applyAlignment="1" applyProtection="1">
      <alignment horizontal="centerContinuous" vertical="center"/>
      <protection/>
    </xf>
    <xf numFmtId="0" fontId="77" fillId="11" borderId="67" xfId="0" applyFont="1" applyFill="1" applyBorder="1" applyAlignment="1" applyProtection="1">
      <alignment horizontal="centerContinuous" vertical="center" wrapText="1"/>
      <protection/>
    </xf>
    <xf numFmtId="168" fontId="77" fillId="11" borderId="19" xfId="0" applyNumberFormat="1" applyFont="1" applyFill="1" applyBorder="1" applyAlignment="1" applyProtection="1">
      <alignment horizontal="centerContinuous" vertical="center" wrapText="1"/>
      <protection/>
    </xf>
    <xf numFmtId="17" fontId="77" fillId="11" borderId="19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12" borderId="5" xfId="0" applyFont="1" applyFill="1" applyBorder="1" applyAlignment="1">
      <alignment/>
    </xf>
    <xf numFmtId="0" fontId="76" fillId="12" borderId="68" xfId="0" applyFont="1" applyFill="1" applyBorder="1" applyAlignment="1">
      <alignment/>
    </xf>
    <xf numFmtId="0" fontId="76" fillId="12" borderId="69" xfId="0" applyFont="1" applyFill="1" applyBorder="1" applyAlignment="1">
      <alignment/>
    </xf>
    <xf numFmtId="0" fontId="0" fillId="13" borderId="70" xfId="0" applyFont="1" applyFill="1" applyBorder="1" applyAlignment="1">
      <alignment/>
    </xf>
    <xf numFmtId="0" fontId="0" fillId="0" borderId="70" xfId="0" applyBorder="1" applyAlignment="1">
      <alignment/>
    </xf>
    <xf numFmtId="0" fontId="7" fillId="12" borderId="5" xfId="0" applyFont="1" applyFill="1" applyBorder="1" applyAlignment="1">
      <alignment horizontal="center"/>
    </xf>
    <xf numFmtId="0" fontId="7" fillId="12" borderId="71" xfId="0" applyFont="1" applyFill="1" applyBorder="1" applyAlignment="1" applyProtection="1">
      <alignment horizontal="center"/>
      <protection/>
    </xf>
    <xf numFmtId="2" fontId="7" fillId="12" borderId="9" xfId="0" applyNumberFormat="1" applyFont="1" applyFill="1" applyBorder="1" applyAlignment="1" applyProtection="1">
      <alignment horizontal="center"/>
      <protection/>
    </xf>
    <xf numFmtId="1" fontId="7" fillId="13" borderId="72" xfId="0" applyNumberFormat="1" applyFont="1" applyFill="1" applyBorder="1" applyAlignment="1">
      <alignment horizontal="center"/>
    </xf>
    <xf numFmtId="0" fontId="0" fillId="0" borderId="69" xfId="0" applyBorder="1" applyAlignment="1">
      <alignment/>
    </xf>
    <xf numFmtId="0" fontId="10" fillId="14" borderId="5" xfId="0" applyFont="1" applyFill="1" applyBorder="1" applyAlignment="1">
      <alignment horizontal="center"/>
    </xf>
    <xf numFmtId="0" fontId="7" fillId="12" borderId="62" xfId="0" applyFont="1" applyFill="1" applyBorder="1" applyAlignment="1">
      <alignment horizontal="center"/>
    </xf>
    <xf numFmtId="0" fontId="7" fillId="12" borderId="73" xfId="0" applyFont="1" applyFill="1" applyBorder="1" applyAlignment="1" applyProtection="1">
      <alignment horizontal="left"/>
      <protection/>
    </xf>
    <xf numFmtId="0" fontId="7" fillId="12" borderId="73" xfId="0" applyFont="1" applyFill="1" applyBorder="1" applyAlignment="1" applyProtection="1">
      <alignment horizontal="center"/>
      <protection/>
    </xf>
    <xf numFmtId="2" fontId="7" fillId="12" borderId="63" xfId="0" applyNumberFormat="1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right"/>
      <protection/>
    </xf>
    <xf numFmtId="168" fontId="5" fillId="0" borderId="63" xfId="0" applyNumberFormat="1" applyFont="1" applyFill="1" applyBorder="1" applyAlignment="1" applyProtection="1">
      <alignment horizontal="center"/>
      <protection/>
    </xf>
    <xf numFmtId="1" fontId="0" fillId="12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" fontId="7" fillId="12" borderId="19" xfId="0" applyNumberFormat="1" applyFont="1" applyFill="1" applyBorder="1" applyAlignment="1" applyProtection="1">
      <alignment horizontal="center"/>
      <protection/>
    </xf>
    <xf numFmtId="0" fontId="0" fillId="0" borderId="4" xfId="0" applyBorder="1" applyAlignment="1">
      <alignment/>
    </xf>
    <xf numFmtId="17" fontId="5" fillId="0" borderId="0" xfId="0" applyNumberFormat="1" applyFont="1" applyFill="1" applyBorder="1" applyAlignment="1">
      <alignment horizontal="right"/>
    </xf>
    <xf numFmtId="2" fontId="11" fillId="13" borderId="19" xfId="0" applyNumberFormat="1" applyFont="1" applyFill="1" applyBorder="1" applyAlignment="1">
      <alignment horizontal="center"/>
    </xf>
    <xf numFmtId="0" fontId="7" fillId="12" borderId="74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 horizontal="center"/>
    </xf>
    <xf numFmtId="0" fontId="78" fillId="0" borderId="1" xfId="0" applyFont="1" applyBorder="1" applyAlignment="1">
      <alignment/>
    </xf>
    <xf numFmtId="0" fontId="0" fillId="13" borderId="7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20" xfId="0" applyFont="1" applyBorder="1" applyAlignment="1">
      <alignment/>
    </xf>
    <xf numFmtId="2" fontId="79" fillId="0" borderId="20" xfId="0" applyNumberFormat="1" applyFont="1" applyBorder="1" applyAlignment="1">
      <alignment horizontal="center"/>
    </xf>
    <xf numFmtId="0" fontId="0" fillId="0" borderId="20" xfId="0" applyFont="1" applyFill="1" applyBorder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78" fillId="0" borderId="14" xfId="0" applyFont="1" applyBorder="1" applyAlignment="1">
      <alignment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14" borderId="71" xfId="0" applyFont="1" applyFill="1" applyBorder="1" applyAlignment="1" applyProtection="1">
      <alignment horizontal="center"/>
      <protection/>
    </xf>
    <xf numFmtId="2" fontId="10" fillId="14" borderId="9" xfId="0" applyNumberFormat="1" applyFont="1" applyFill="1" applyBorder="1" applyAlignment="1" applyProtection="1">
      <alignment horizontal="center"/>
      <protection/>
    </xf>
    <xf numFmtId="0" fontId="10" fillId="12" borderId="5" xfId="0" applyFont="1" applyFill="1" applyBorder="1" applyAlignment="1">
      <alignment horizontal="center"/>
    </xf>
    <xf numFmtId="0" fontId="10" fillId="12" borderId="71" xfId="0" applyFont="1" applyFill="1" applyBorder="1" applyAlignment="1" applyProtection="1">
      <alignment horizontal="center"/>
      <protection/>
    </xf>
    <xf numFmtId="2" fontId="10" fillId="12" borderId="9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628650</xdr:colOff>
      <xdr:row>0</xdr:row>
      <xdr:rowOff>0</xdr:rowOff>
    </xdr:from>
    <xdr:to>
      <xdr:col>0</xdr:col>
      <xdr:colOff>1114425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857500"/>
          <a:ext cx="2771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714375</xdr:colOff>
      <xdr:row>0</xdr:row>
      <xdr:rowOff>47625</xdr:rowOff>
    </xdr:from>
    <xdr:to>
      <xdr:col>1</xdr:col>
      <xdr:colOff>342900</xdr:colOff>
      <xdr:row>1</xdr:row>
      <xdr:rowOff>381000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625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85725</xdr:colOff>
      <xdr:row>1</xdr:row>
      <xdr:rowOff>361950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257175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25"/>
          <a:ext cx="5810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2838450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742950</xdr:colOff>
      <xdr:row>0</xdr:row>
      <xdr:rowOff>19050</xdr:rowOff>
    </xdr:from>
    <xdr:to>
      <xdr:col>1</xdr:col>
      <xdr:colOff>428625</xdr:colOff>
      <xdr:row>1</xdr:row>
      <xdr:rowOff>352425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9050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SPA\TBASET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  <sheetDataSet>
      <sheetData sheetId="0"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DC17" t="str">
            <v>XXXX</v>
          </cell>
          <cell r="DD17" t="str">
            <v>XXXX</v>
          </cell>
          <cell r="DE17" t="str">
            <v>XXXX</v>
          </cell>
          <cell r="DF17" t="str">
            <v>XXXX</v>
          </cell>
          <cell r="DG17" t="str">
            <v>XXXX</v>
          </cell>
          <cell r="DH17" t="str">
            <v>XXXX</v>
          </cell>
          <cell r="DI17" t="str">
            <v>XXXX</v>
          </cell>
          <cell r="DJ17" t="str">
            <v>XXXX</v>
          </cell>
          <cell r="DK17" t="str">
            <v>XXXX</v>
          </cell>
          <cell r="DL17" t="str">
            <v>XXXX</v>
          </cell>
          <cell r="DM17" t="str">
            <v>XXXX</v>
          </cell>
          <cell r="DN17" t="str">
            <v>XXXX</v>
          </cell>
        </row>
        <row r="18">
          <cell r="C18">
            <v>2</v>
          </cell>
          <cell r="D18" t="str">
            <v>AMEGHINO - ESTACION PATAGONIA</v>
          </cell>
          <cell r="E18">
            <v>132</v>
          </cell>
          <cell r="F18">
            <v>299.6</v>
          </cell>
          <cell r="GM18">
            <v>3</v>
          </cell>
          <cell r="GQ18">
            <v>1</v>
          </cell>
          <cell r="GR18">
            <v>1</v>
          </cell>
        </row>
        <row r="19">
          <cell r="C19">
            <v>3</v>
          </cell>
          <cell r="D19" t="str">
            <v>AMEGHINO - TRELEW</v>
          </cell>
          <cell r="E19">
            <v>132</v>
          </cell>
          <cell r="F19">
            <v>112</v>
          </cell>
        </row>
        <row r="20">
          <cell r="C20">
            <v>4</v>
          </cell>
          <cell r="D20" t="str">
            <v>FUTALEUFU - ESQUEL</v>
          </cell>
          <cell r="E20">
            <v>132</v>
          </cell>
          <cell r="F20">
            <v>28.41</v>
          </cell>
        </row>
        <row r="21">
          <cell r="C21">
            <v>5</v>
          </cell>
          <cell r="D21" t="str">
            <v>BARRIO SAN MARTIN - ESTACION PATAGONIA</v>
          </cell>
          <cell r="E21">
            <v>132</v>
          </cell>
          <cell r="F21">
            <v>9.43</v>
          </cell>
        </row>
        <row r="22">
          <cell r="C22">
            <v>6</v>
          </cell>
          <cell r="D22" t="str">
            <v>COMODORO RIVADAVIA - E.T. A1</v>
          </cell>
          <cell r="E22">
            <v>132</v>
          </cell>
          <cell r="F22">
            <v>0.5</v>
          </cell>
        </row>
        <row r="23">
          <cell r="C23">
            <v>7</v>
          </cell>
          <cell r="D23" t="str">
            <v>COMODORO RIVADAVIA (A1) - ESTACION PATAGONIA</v>
          </cell>
          <cell r="E23">
            <v>132</v>
          </cell>
          <cell r="F23">
            <v>6.9</v>
          </cell>
        </row>
        <row r="24">
          <cell r="C24">
            <v>8</v>
          </cell>
          <cell r="D24" t="str">
            <v>COMODORO RIVADAVIA - PICO TRUNCADO</v>
          </cell>
          <cell r="E24">
            <v>132</v>
          </cell>
          <cell r="F24">
            <v>138</v>
          </cell>
          <cell r="GR24">
            <v>1</v>
          </cell>
        </row>
        <row r="25">
          <cell r="C25">
            <v>9</v>
          </cell>
          <cell r="D25" t="str">
            <v>FUTALEUFÚ - PUERTO MADRYN 1</v>
          </cell>
          <cell r="E25">
            <v>330</v>
          </cell>
          <cell r="F25">
            <v>550</v>
          </cell>
          <cell r="GO25">
            <v>2</v>
          </cell>
          <cell r="GV25">
            <v>1</v>
          </cell>
        </row>
        <row r="26">
          <cell r="C26">
            <v>10</v>
          </cell>
          <cell r="D26" t="str">
            <v>FUTALEUFÚ - PUERTO MADRYN 2</v>
          </cell>
          <cell r="E26">
            <v>330</v>
          </cell>
          <cell r="F26">
            <v>550</v>
          </cell>
          <cell r="GL26">
            <v>1</v>
          </cell>
          <cell r="GR26">
            <v>1</v>
          </cell>
        </row>
        <row r="27">
          <cell r="C27">
            <v>11</v>
          </cell>
          <cell r="D27" t="str">
            <v>PLANTA ALUMINIO APPA - PUERTO MADRYN 1</v>
          </cell>
          <cell r="E27">
            <v>330</v>
          </cell>
          <cell r="F27">
            <v>5.5</v>
          </cell>
        </row>
        <row r="28">
          <cell r="C28">
            <v>12</v>
          </cell>
          <cell r="D28" t="str">
            <v>PLANTA ALUMINIO APPA - PUERTO MADRYN 2</v>
          </cell>
          <cell r="E28">
            <v>330</v>
          </cell>
          <cell r="F28">
            <v>5.5</v>
          </cell>
        </row>
        <row r="29">
          <cell r="C29">
            <v>13</v>
          </cell>
          <cell r="D29" t="str">
            <v>PICO TRUNCADO I - PICO TRUNCADO II</v>
          </cell>
          <cell r="E29">
            <v>132</v>
          </cell>
          <cell r="F29">
            <v>13.4</v>
          </cell>
          <cell r="GT29">
            <v>1</v>
          </cell>
        </row>
        <row r="30">
          <cell r="C30">
            <v>14</v>
          </cell>
          <cell r="D30" t="str">
            <v>PLANTA ALUMINIO DGPA - PTO MADRYN</v>
          </cell>
          <cell r="E30">
            <v>132</v>
          </cell>
          <cell r="F30">
            <v>5.7</v>
          </cell>
        </row>
        <row r="31">
          <cell r="C31">
            <v>15</v>
          </cell>
          <cell r="D31" t="str">
            <v>PLANTA ALUMINIO DGPA - SS.AA. PTO MADRYN</v>
          </cell>
          <cell r="E31">
            <v>33</v>
          </cell>
          <cell r="F31">
            <v>6</v>
          </cell>
        </row>
        <row r="32">
          <cell r="C32">
            <v>16</v>
          </cell>
          <cell r="D32" t="str">
            <v>PLANTA ALUMINIO DGPA - TRELEW</v>
          </cell>
          <cell r="E32">
            <v>132</v>
          </cell>
          <cell r="F32">
            <v>62</v>
          </cell>
          <cell r="GT32">
            <v>1</v>
          </cell>
        </row>
        <row r="33">
          <cell r="C33">
            <v>17</v>
          </cell>
          <cell r="D33" t="str">
            <v>PUERTO MADRYN - SIERRA GRANDE</v>
          </cell>
          <cell r="E33">
            <v>132</v>
          </cell>
          <cell r="F33">
            <v>121.5</v>
          </cell>
          <cell r="GK33">
            <v>1</v>
          </cell>
          <cell r="GN33">
            <v>3</v>
          </cell>
        </row>
        <row r="34">
          <cell r="C34">
            <v>18</v>
          </cell>
          <cell r="D34" t="str">
            <v>BARRIO SAN MARTIN - A CONEXION "T"</v>
          </cell>
          <cell r="E34">
            <v>132</v>
          </cell>
          <cell r="F34">
            <v>7.5</v>
          </cell>
          <cell r="GK34" t="str">
            <v>XXXX</v>
          </cell>
          <cell r="GL34" t="str">
            <v>XXXX</v>
          </cell>
          <cell r="GM34" t="str">
            <v>XXXX</v>
          </cell>
          <cell r="GN34" t="str">
            <v>XXXX</v>
          </cell>
          <cell r="GO34" t="str">
            <v>XXXX</v>
          </cell>
          <cell r="GP34" t="str">
            <v>XXXX</v>
          </cell>
          <cell r="GQ34" t="str">
            <v>XXXX</v>
          </cell>
          <cell r="GR34" t="str">
            <v>XXXX</v>
          </cell>
          <cell r="GS34" t="str">
            <v>XXXX</v>
          </cell>
          <cell r="GT34" t="str">
            <v>XXXX</v>
          </cell>
          <cell r="GU34" t="str">
            <v>XXXX</v>
          </cell>
          <cell r="GV34" t="str">
            <v>XXXX</v>
          </cell>
        </row>
        <row r="35">
          <cell r="C35">
            <v>19</v>
          </cell>
          <cell r="D35" t="str">
            <v>PICO TRUNCADO I - LAS HERAS</v>
          </cell>
          <cell r="E35">
            <v>132</v>
          </cell>
          <cell r="F35">
            <v>82.5</v>
          </cell>
          <cell r="GM35" t="str">
            <v>XXXX</v>
          </cell>
          <cell r="GN35" t="str">
            <v>XXXX</v>
          </cell>
          <cell r="GO35" t="str">
            <v>XXXX</v>
          </cell>
          <cell r="GP35" t="str">
            <v>XXXX</v>
          </cell>
          <cell r="GQ35" t="str">
            <v>XXXX</v>
          </cell>
          <cell r="GR35" t="str">
            <v>XXXX</v>
          </cell>
          <cell r="GS35" t="str">
            <v>XXXX</v>
          </cell>
          <cell r="GT35" t="str">
            <v>XXXX</v>
          </cell>
          <cell r="GU35" t="str">
            <v>XXXX</v>
          </cell>
          <cell r="GV35" t="str">
            <v>XXXX</v>
          </cell>
        </row>
        <row r="36">
          <cell r="C36">
            <v>20</v>
          </cell>
          <cell r="D36" t="str">
            <v>LAS HERAS - LOS PERALES</v>
          </cell>
          <cell r="E36">
            <v>132</v>
          </cell>
          <cell r="F36">
            <v>47</v>
          </cell>
          <cell r="GP36">
            <v>1</v>
          </cell>
        </row>
        <row r="37">
          <cell r="C37">
            <v>21</v>
          </cell>
          <cell r="D37" t="str">
            <v>N. P. MADRYN - P. MADRYN 330 kV</v>
          </cell>
          <cell r="E37">
            <v>330</v>
          </cell>
          <cell r="F37">
            <v>0.47</v>
          </cell>
        </row>
        <row r="38">
          <cell r="C38">
            <v>31</v>
          </cell>
          <cell r="D38" t="str">
            <v>LAS HERAS - MINA SAN JOSE</v>
          </cell>
          <cell r="E38">
            <v>132</v>
          </cell>
          <cell r="F38">
            <v>128</v>
          </cell>
          <cell r="GK38" t="str">
            <v>XXXX</v>
          </cell>
          <cell r="GL38" t="str">
            <v>XXXX</v>
          </cell>
          <cell r="GM38">
            <v>1</v>
          </cell>
          <cell r="GP38">
            <v>1</v>
          </cell>
        </row>
        <row r="39">
          <cell r="C39">
            <v>27</v>
          </cell>
          <cell r="D39" t="str">
            <v>PAMPA DEL CASTILLO - EL TORDILLO</v>
          </cell>
          <cell r="E39">
            <v>132</v>
          </cell>
          <cell r="F39">
            <v>8.9</v>
          </cell>
        </row>
        <row r="40">
          <cell r="C40">
            <v>28</v>
          </cell>
          <cell r="D40" t="str">
            <v>PLANTA ALUMINIO APPA - PUERTO MADRYN 3</v>
          </cell>
          <cell r="E40">
            <v>330</v>
          </cell>
          <cell r="F40">
            <v>4.85</v>
          </cell>
        </row>
        <row r="41">
          <cell r="C41">
            <v>30</v>
          </cell>
          <cell r="D41" t="str">
            <v>TRELEW - RAWSON</v>
          </cell>
          <cell r="E41">
            <v>132</v>
          </cell>
          <cell r="F41">
            <v>21.8</v>
          </cell>
          <cell r="GN41">
            <v>1</v>
          </cell>
        </row>
        <row r="42">
          <cell r="C42">
            <v>37</v>
          </cell>
          <cell r="D42" t="str">
            <v>PICO TRUNCADO 1 - SANTA CRUZ NORTE     1</v>
          </cell>
          <cell r="E42">
            <v>132</v>
          </cell>
          <cell r="F42">
            <v>2.5</v>
          </cell>
        </row>
        <row r="43">
          <cell r="C43">
            <v>38</v>
          </cell>
          <cell r="D43" t="str">
            <v>PICO TRUNCADO 1 - SANTA CRUZ NORTE     2</v>
          </cell>
          <cell r="E43">
            <v>132</v>
          </cell>
          <cell r="F43">
            <v>2.5</v>
          </cell>
        </row>
        <row r="44">
          <cell r="C44">
            <v>39</v>
          </cell>
          <cell r="D44" t="str">
            <v>LAS HERAS - SANTA CRUZ NORTE</v>
          </cell>
          <cell r="E44">
            <v>132</v>
          </cell>
          <cell r="F44">
            <v>80</v>
          </cell>
          <cell r="GK44" t="str">
            <v>XXXX</v>
          </cell>
          <cell r="GL44" t="str">
            <v>XXXX</v>
          </cell>
        </row>
        <row r="46">
          <cell r="C46">
            <v>19</v>
          </cell>
          <cell r="D46" t="str">
            <v>PUNTA COLORADA - SIERRA GRANDE</v>
          </cell>
          <cell r="E46">
            <v>132</v>
          </cell>
          <cell r="F46">
            <v>31</v>
          </cell>
        </row>
        <row r="47">
          <cell r="C47">
            <v>20</v>
          </cell>
          <cell r="D47" t="str">
            <v>CARMEN DE PATAGONES - VIEDMA</v>
          </cell>
          <cell r="E47">
            <v>132</v>
          </cell>
          <cell r="F47">
            <v>7</v>
          </cell>
          <cell r="GK47" t="str">
            <v>XXXX</v>
          </cell>
          <cell r="GL47" t="str">
            <v>XXXX</v>
          </cell>
          <cell r="GM47" t="str">
            <v>XXXX</v>
          </cell>
          <cell r="GN47" t="str">
            <v>XXXX</v>
          </cell>
          <cell r="GO47" t="str">
            <v>XXXX</v>
          </cell>
          <cell r="GP47" t="str">
            <v>XXXX</v>
          </cell>
          <cell r="GQ47" t="str">
            <v>XXXX</v>
          </cell>
          <cell r="GR47" t="str">
            <v>XXXX</v>
          </cell>
          <cell r="GS47" t="str">
            <v>XXXX</v>
          </cell>
          <cell r="GT47" t="str">
            <v>XXXX</v>
          </cell>
          <cell r="GU47" t="str">
            <v>XXXX</v>
          </cell>
          <cell r="GV47" t="str">
            <v>XXXX</v>
          </cell>
        </row>
        <row r="48">
          <cell r="D48" t="str">
            <v>CARMEN DE PATAGONES - VIEDMA</v>
          </cell>
          <cell r="E48">
            <v>132</v>
          </cell>
          <cell r="F48">
            <v>4.4</v>
          </cell>
          <cell r="GS48">
            <v>2</v>
          </cell>
          <cell r="GU48">
            <v>1</v>
          </cell>
        </row>
        <row r="49">
          <cell r="C49">
            <v>21</v>
          </cell>
          <cell r="D49" t="str">
            <v>SAN ANTONIO OESTE - SIERRA GRANDE</v>
          </cell>
          <cell r="E49">
            <v>132</v>
          </cell>
          <cell r="F49">
            <v>110.3</v>
          </cell>
          <cell r="GO49">
            <v>1</v>
          </cell>
          <cell r="GS49">
            <v>1</v>
          </cell>
        </row>
        <row r="50">
          <cell r="C50">
            <v>22</v>
          </cell>
          <cell r="D50" t="str">
            <v>SAN ANTONIO OESTE -VIEDMA-SAN ANTONIO ESTE</v>
          </cell>
          <cell r="E50">
            <v>132</v>
          </cell>
          <cell r="F50">
            <v>185.6</v>
          </cell>
          <cell r="GO50">
            <v>3</v>
          </cell>
          <cell r="GS50">
            <v>5</v>
          </cell>
        </row>
        <row r="51">
          <cell r="GK51" t="str">
            <v>XXXX</v>
          </cell>
          <cell r="GL51" t="str">
            <v>XXXX</v>
          </cell>
          <cell r="GM51" t="str">
            <v>XXXX</v>
          </cell>
          <cell r="GN51" t="str">
            <v>XXXX</v>
          </cell>
          <cell r="GO51" t="str">
            <v>XXXX</v>
          </cell>
          <cell r="GP51" t="str">
            <v>XXXX</v>
          </cell>
          <cell r="GQ51" t="str">
            <v>XXXX</v>
          </cell>
          <cell r="GR51" t="str">
            <v>XXXX</v>
          </cell>
          <cell r="GS51" t="str">
            <v>XXXX</v>
          </cell>
          <cell r="GT51" t="str">
            <v>XXXX</v>
          </cell>
          <cell r="GU51" t="str">
            <v>XXXX</v>
          </cell>
          <cell r="GV51" t="str">
            <v>XXXX</v>
          </cell>
        </row>
        <row r="72">
          <cell r="GK72">
            <v>1.22</v>
          </cell>
          <cell r="GL72">
            <v>1.11</v>
          </cell>
          <cell r="GM72">
            <v>0.87</v>
          </cell>
          <cell r="GN72">
            <v>0.93</v>
          </cell>
          <cell r="GO72">
            <v>1.03</v>
          </cell>
          <cell r="GP72">
            <v>1.24</v>
          </cell>
          <cell r="GQ72">
            <v>1.27</v>
          </cell>
          <cell r="GR72">
            <v>1.2</v>
          </cell>
          <cell r="GS72">
            <v>1.2</v>
          </cell>
          <cell r="GT72">
            <v>1.44</v>
          </cell>
          <cell r="GU72">
            <v>1.37</v>
          </cell>
          <cell r="GV72">
            <v>1.27</v>
          </cell>
          <cell r="GW72">
            <v>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S52"/>
  <sheetViews>
    <sheetView tabSelected="1" zoomScale="70" zoomScaleNormal="70" workbookViewId="0" topLeftCell="A1">
      <selection activeCell="G5" sqref="G5"/>
    </sheetView>
  </sheetViews>
  <sheetFormatPr defaultColWidth="11.421875" defaultRowHeight="12.75"/>
  <cols>
    <col min="1" max="1" width="22.421875" style="10" customWidth="1"/>
    <col min="2" max="2" width="7.7109375" style="10" customWidth="1"/>
    <col min="3" max="3" width="9.8515625" style="10" customWidth="1"/>
    <col min="4" max="4" width="10.7109375" style="10" customWidth="1"/>
    <col min="5" max="5" width="10.57421875" style="10" customWidth="1"/>
    <col min="6" max="6" width="15.7109375" style="10" customWidth="1"/>
    <col min="7" max="7" width="24.28125" style="10" customWidth="1"/>
    <col min="8" max="8" width="11.00390625" style="10" customWidth="1"/>
    <col min="9" max="9" width="15.7109375" style="10" customWidth="1"/>
    <col min="10" max="10" width="8.140625" style="10" customWidth="1"/>
    <col min="11" max="11" width="15.7109375" style="10" customWidth="1"/>
    <col min="12" max="13" width="11.421875" style="10" customWidth="1"/>
    <col min="14" max="14" width="14.140625" style="10" customWidth="1"/>
    <col min="15" max="15" width="11.421875" style="10" customWidth="1"/>
    <col min="16" max="16" width="14.7109375" style="10" customWidth="1"/>
    <col min="17" max="17" width="11.421875" style="10" customWidth="1"/>
    <col min="18" max="18" width="12.00390625" style="10" customWidth="1"/>
    <col min="19" max="16384" width="11.421875" style="10" customWidth="1"/>
  </cols>
  <sheetData>
    <row r="1" spans="2:11" s="109" customFormat="1" ht="26.25">
      <c r="B1" s="110"/>
      <c r="K1" s="416"/>
    </row>
    <row r="2" spans="2:10" s="109" customFormat="1" ht="26.25">
      <c r="B2" s="110" t="s">
        <v>200</v>
      </c>
      <c r="C2" s="127"/>
      <c r="D2" s="111"/>
      <c r="E2" s="111"/>
      <c r="F2" s="111"/>
      <c r="G2" s="111"/>
      <c r="H2" s="111"/>
      <c r="I2" s="111"/>
      <c r="J2" s="111"/>
    </row>
    <row r="3" spans="3:19" ht="17.25" customHeight="1">
      <c r="C3"/>
      <c r="D3" s="39"/>
      <c r="E3" s="39"/>
      <c r="F3" s="39"/>
      <c r="G3" s="39"/>
      <c r="H3" s="39"/>
      <c r="I3" s="39"/>
      <c r="J3" s="39"/>
      <c r="P3" s="8"/>
      <c r="Q3" s="8"/>
      <c r="R3" s="8"/>
      <c r="S3" s="8"/>
    </row>
    <row r="4" spans="1:19" s="112" customFormat="1" ht="11.25">
      <c r="A4" s="128" t="s">
        <v>21</v>
      </c>
      <c r="B4" s="129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s="112" customFormat="1" ht="11.25">
      <c r="A5" s="128" t="s">
        <v>22</v>
      </c>
      <c r="B5" s="129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</row>
    <row r="6" spans="2:19" s="109" customFormat="1" ht="26.25">
      <c r="B6" s="13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</row>
    <row r="7" spans="2:19" s="114" customFormat="1" ht="21">
      <c r="B7" s="168" t="s">
        <v>0</v>
      </c>
      <c r="C7" s="133"/>
      <c r="D7" s="134"/>
      <c r="E7" s="134"/>
      <c r="F7" s="135"/>
      <c r="G7" s="135"/>
      <c r="H7" s="135"/>
      <c r="I7" s="135"/>
      <c r="J7" s="135"/>
      <c r="K7" s="45"/>
      <c r="L7" s="45"/>
      <c r="M7" s="45"/>
      <c r="N7" s="45"/>
      <c r="O7" s="45"/>
      <c r="P7" s="45"/>
      <c r="Q7" s="45"/>
      <c r="R7" s="45"/>
      <c r="S7" s="45"/>
    </row>
    <row r="8" spans="9:19" ht="12.75"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2:19" s="114" customFormat="1" ht="21">
      <c r="B9" s="168" t="s">
        <v>1</v>
      </c>
      <c r="C9" s="133"/>
      <c r="D9" s="134"/>
      <c r="E9" s="134"/>
      <c r="F9" s="134"/>
      <c r="G9" s="134"/>
      <c r="H9" s="134"/>
      <c r="I9" s="135"/>
      <c r="J9" s="135"/>
      <c r="K9" s="45"/>
      <c r="L9" s="45"/>
      <c r="M9" s="45"/>
      <c r="N9" s="45"/>
      <c r="O9" s="45"/>
      <c r="P9" s="45"/>
      <c r="Q9" s="45"/>
      <c r="R9" s="45"/>
      <c r="S9" s="45"/>
    </row>
    <row r="10" spans="4:19" ht="12.75">
      <c r="D10" s="136"/>
      <c r="E10" s="13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2:19" s="114" customFormat="1" ht="20.25">
      <c r="B11" s="168" t="s">
        <v>195</v>
      </c>
      <c r="C11" s="85"/>
      <c r="D11" s="40"/>
      <c r="E11" s="40"/>
      <c r="F11" s="134"/>
      <c r="G11" s="134"/>
      <c r="H11" s="134"/>
      <c r="I11" s="135"/>
      <c r="J11" s="135"/>
      <c r="K11" s="45"/>
      <c r="L11" s="45"/>
      <c r="M11" s="45"/>
      <c r="N11" s="45"/>
      <c r="O11" s="45"/>
      <c r="P11" s="45"/>
      <c r="Q11" s="45"/>
      <c r="R11" s="45"/>
      <c r="S11" s="45"/>
    </row>
    <row r="12" spans="4:19" s="137" customFormat="1" ht="16.5" thickBot="1">
      <c r="D12" s="7"/>
      <c r="E12" s="7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</row>
    <row r="13" spans="2:19" s="137" customFormat="1" ht="16.5" thickTop="1">
      <c r="B13" s="389">
        <v>1</v>
      </c>
      <c r="C13" s="412"/>
      <c r="D13" s="139"/>
      <c r="E13" s="139"/>
      <c r="F13" s="139"/>
      <c r="G13" s="139"/>
      <c r="H13" s="139"/>
      <c r="I13" s="139"/>
      <c r="J13" s="140"/>
      <c r="K13" s="138"/>
      <c r="L13" s="138"/>
      <c r="M13" s="138"/>
      <c r="N13" s="138"/>
      <c r="O13" s="138"/>
      <c r="P13" s="138"/>
      <c r="Q13" s="138"/>
      <c r="R13" s="138"/>
      <c r="S13" s="138"/>
    </row>
    <row r="14" spans="2:19" s="121" customFormat="1" ht="19.5">
      <c r="B14" s="238" t="s">
        <v>150</v>
      </c>
      <c r="C14" s="141"/>
      <c r="D14" s="142"/>
      <c r="E14" s="143"/>
      <c r="F14" s="143"/>
      <c r="G14" s="143"/>
      <c r="H14" s="143"/>
      <c r="I14" s="117"/>
      <c r="J14" s="120"/>
      <c r="K14" s="47"/>
      <c r="L14" s="47"/>
      <c r="M14" s="47"/>
      <c r="N14" s="47"/>
      <c r="O14" s="47"/>
      <c r="P14" s="47"/>
      <c r="Q14" s="47"/>
      <c r="R14" s="47"/>
      <c r="S14" s="47"/>
    </row>
    <row r="15" spans="2:19" s="121" customFormat="1" ht="9" customHeight="1">
      <c r="B15" s="144"/>
      <c r="C15" s="145"/>
      <c r="D15" s="145"/>
      <c r="E15" s="47"/>
      <c r="F15" s="146"/>
      <c r="G15" s="146"/>
      <c r="H15" s="146"/>
      <c r="I15" s="47"/>
      <c r="J15" s="147"/>
      <c r="K15" s="47"/>
      <c r="L15" s="47"/>
      <c r="M15" s="47"/>
      <c r="N15" s="47"/>
      <c r="O15" s="47"/>
      <c r="P15" s="47"/>
      <c r="Q15" s="47"/>
      <c r="R15" s="47"/>
      <c r="S15" s="47"/>
    </row>
    <row r="16" spans="2:18" s="121" customFormat="1" ht="9" customHeight="1">
      <c r="B16" s="238">
        <f>IF(B13=2,"Sanciones duplicadas por tasa de falla &gt; 4 Sal. x año/100km.","")</f>
      </c>
      <c r="C16" s="241"/>
      <c r="D16" s="241"/>
      <c r="E16" s="117"/>
      <c r="F16" s="143"/>
      <c r="G16" s="143"/>
      <c r="H16" s="117"/>
      <c r="I16" s="85"/>
      <c r="J16" s="120"/>
      <c r="K16" s="47"/>
      <c r="L16" s="47"/>
      <c r="M16" s="47"/>
      <c r="N16" s="47"/>
      <c r="O16" s="47"/>
      <c r="P16" s="47"/>
      <c r="Q16" s="47"/>
      <c r="R16" s="47"/>
    </row>
    <row r="17" spans="2:18" s="121" customFormat="1" ht="9" customHeight="1">
      <c r="B17" s="144"/>
      <c r="C17" s="145"/>
      <c r="D17" s="145"/>
      <c r="E17" s="47"/>
      <c r="F17" s="146"/>
      <c r="G17" s="146"/>
      <c r="H17" s="47"/>
      <c r="I17"/>
      <c r="J17" s="147"/>
      <c r="K17" s="47"/>
      <c r="L17" s="47"/>
      <c r="M17" s="47"/>
      <c r="N17" s="47"/>
      <c r="O17" s="47"/>
      <c r="P17" s="47"/>
      <c r="Q17" s="47"/>
      <c r="R17" s="47"/>
    </row>
    <row r="18" spans="2:19" s="121" customFormat="1" ht="19.5">
      <c r="B18" s="144"/>
      <c r="C18" s="148" t="s">
        <v>23</v>
      </c>
      <c r="D18" s="149" t="s">
        <v>24</v>
      </c>
      <c r="E18" s="47"/>
      <c r="F18" s="146"/>
      <c r="G18" s="146"/>
      <c r="H18" s="146"/>
      <c r="I18" s="46"/>
      <c r="J18" s="147"/>
      <c r="K18" s="47"/>
      <c r="L18" s="47"/>
      <c r="M18" s="47"/>
      <c r="N18" s="47"/>
      <c r="O18" s="47"/>
      <c r="P18" s="47"/>
      <c r="Q18" s="47"/>
      <c r="R18" s="47"/>
      <c r="S18" s="47"/>
    </row>
    <row r="19" spans="2:19" s="121" customFormat="1" ht="19.5">
      <c r="B19" s="144"/>
      <c r="C19"/>
      <c r="D19" s="148" t="s">
        <v>25</v>
      </c>
      <c r="E19" s="149" t="s">
        <v>26</v>
      </c>
      <c r="F19" s="146"/>
      <c r="G19" s="146"/>
      <c r="H19" s="146"/>
      <c r="I19" s="46">
        <f>'LI-05 (1)'!AA43</f>
        <v>652.53</v>
      </c>
      <c r="J19" s="147"/>
      <c r="K19" s="47"/>
      <c r="L19" s="47"/>
      <c r="M19" s="47"/>
      <c r="N19" s="47"/>
      <c r="O19" s="47"/>
      <c r="P19" s="47"/>
      <c r="Q19" s="47"/>
      <c r="R19" s="47"/>
      <c r="S19" s="47"/>
    </row>
    <row r="20" spans="2:19" s="121" customFormat="1" ht="19.5">
      <c r="B20" s="144"/>
      <c r="C20" s="148"/>
      <c r="D20" s="148" t="s">
        <v>27</v>
      </c>
      <c r="E20" s="149" t="s">
        <v>28</v>
      </c>
      <c r="F20" s="146"/>
      <c r="G20" s="146"/>
      <c r="H20" s="146"/>
      <c r="I20" s="46">
        <f>'LI-EDERSA-05 (1)'!AA43</f>
        <v>18245.97</v>
      </c>
      <c r="J20" s="147"/>
      <c r="K20" s="47"/>
      <c r="L20" s="47"/>
      <c r="M20" s="47"/>
      <c r="N20" s="47"/>
      <c r="O20" s="47"/>
      <c r="P20" s="47"/>
      <c r="Q20" s="47"/>
      <c r="R20" s="47"/>
      <c r="S20" s="47"/>
    </row>
    <row r="21" spans="2:19" s="121" customFormat="1" ht="19.5">
      <c r="B21" s="144"/>
      <c r="C21" s="148"/>
      <c r="D21" s="148" t="s">
        <v>29</v>
      </c>
      <c r="E21" s="149" t="s">
        <v>30</v>
      </c>
      <c r="F21" s="146"/>
      <c r="G21" s="146"/>
      <c r="H21" s="146"/>
      <c r="I21" s="46">
        <f>'LI-SPSE-05 (1)'!AA43</f>
        <v>6076.27</v>
      </c>
      <c r="J21" s="147"/>
      <c r="K21" s="47"/>
      <c r="L21" s="47"/>
      <c r="M21" s="47"/>
      <c r="N21" s="47"/>
      <c r="O21" s="47"/>
      <c r="P21" s="47"/>
      <c r="Q21" s="47"/>
      <c r="R21" s="47"/>
      <c r="S21" s="47"/>
    </row>
    <row r="22" spans="2:19" ht="13.5">
      <c r="B22" s="44"/>
      <c r="C22" s="150"/>
      <c r="D22" s="151"/>
      <c r="E22" s="8"/>
      <c r="F22" s="152"/>
      <c r="G22" s="152"/>
      <c r="H22" s="152"/>
      <c r="I22" s="153"/>
      <c r="J22" s="11"/>
      <c r="K22" s="8"/>
      <c r="L22" s="8"/>
      <c r="M22" s="8"/>
      <c r="N22" s="8"/>
      <c r="O22" s="8"/>
      <c r="P22" s="8"/>
      <c r="Q22" s="8"/>
      <c r="R22" s="8"/>
      <c r="S22" s="8"/>
    </row>
    <row r="23" spans="2:19" s="121" customFormat="1" ht="19.5">
      <c r="B23" s="144"/>
      <c r="C23" s="148" t="s">
        <v>31</v>
      </c>
      <c r="D23" s="149" t="s">
        <v>32</v>
      </c>
      <c r="E23" s="47"/>
      <c r="F23" s="146"/>
      <c r="G23" s="146"/>
      <c r="H23" s="146"/>
      <c r="I23" s="46"/>
      <c r="J23" s="147"/>
      <c r="K23" s="47"/>
      <c r="L23" s="47"/>
      <c r="M23" s="47"/>
      <c r="N23" s="47"/>
      <c r="O23" s="47"/>
      <c r="P23" s="47"/>
      <c r="Q23" s="47"/>
      <c r="R23" s="47"/>
      <c r="S23" s="47"/>
    </row>
    <row r="24" spans="2:19" ht="8.25" customHeight="1">
      <c r="B24" s="44"/>
      <c r="C24" s="150"/>
      <c r="D24" s="150"/>
      <c r="E24" s="8"/>
      <c r="F24" s="152"/>
      <c r="G24" s="152"/>
      <c r="H24" s="152"/>
      <c r="I24" s="154"/>
      <c r="J24" s="11"/>
      <c r="K24" s="8"/>
      <c r="L24" s="8"/>
      <c r="M24" s="8"/>
      <c r="N24" s="8"/>
      <c r="O24" s="8"/>
      <c r="P24" s="8"/>
      <c r="Q24" s="8"/>
      <c r="R24" s="8"/>
      <c r="S24" s="8"/>
    </row>
    <row r="25" spans="2:19" s="121" customFormat="1" ht="19.5">
      <c r="B25" s="144"/>
      <c r="C25" s="148"/>
      <c r="D25" s="148" t="s">
        <v>33</v>
      </c>
      <c r="E25" s="9" t="s">
        <v>34</v>
      </c>
      <c r="F25" s="146"/>
      <c r="G25" s="146"/>
      <c r="H25" s="146"/>
      <c r="I25" s="46"/>
      <c r="J25" s="147"/>
      <c r="K25" s="47"/>
      <c r="L25" s="47"/>
      <c r="M25" s="47"/>
      <c r="N25" s="47"/>
      <c r="O25" s="47"/>
      <c r="P25" s="47"/>
      <c r="Q25" s="47"/>
      <c r="R25" s="47"/>
      <c r="S25" s="47"/>
    </row>
    <row r="26" spans="2:19" s="121" customFormat="1" ht="19.5">
      <c r="B26" s="144"/>
      <c r="C26" s="148"/>
      <c r="D26" s="148"/>
      <c r="E26" s="148" t="s">
        <v>35</v>
      </c>
      <c r="F26" s="149" t="s">
        <v>26</v>
      </c>
      <c r="G26" s="146"/>
      <c r="H26" s="146"/>
      <c r="I26" s="46">
        <f>'TR-05 (1)'!AC47</f>
        <v>906.45</v>
      </c>
      <c r="J26" s="147"/>
      <c r="K26" s="47"/>
      <c r="L26" s="47"/>
      <c r="M26" s="47"/>
      <c r="N26" s="47"/>
      <c r="O26" s="47"/>
      <c r="P26" s="47"/>
      <c r="Q26" s="47"/>
      <c r="R26" s="47"/>
      <c r="S26" s="47"/>
    </row>
    <row r="27" spans="2:19" s="121" customFormat="1" ht="19.5">
      <c r="B27" s="144"/>
      <c r="C27" s="148"/>
      <c r="D27" s="148"/>
      <c r="E27" s="148" t="s">
        <v>36</v>
      </c>
      <c r="F27" s="149" t="s">
        <v>28</v>
      </c>
      <c r="G27" s="146"/>
      <c r="H27" s="146"/>
      <c r="I27" s="46">
        <f>'TR-EDERSA-05 (1)'!AC45</f>
        <v>9.73</v>
      </c>
      <c r="J27" s="147"/>
      <c r="K27" s="47"/>
      <c r="L27" s="47"/>
      <c r="M27" s="47"/>
      <c r="N27" s="47"/>
      <c r="O27" s="47"/>
      <c r="P27" s="47"/>
      <c r="Q27" s="47"/>
      <c r="R27" s="47"/>
      <c r="S27" s="47"/>
    </row>
    <row r="28" spans="2:19" ht="13.5">
      <c r="B28" s="44"/>
      <c r="C28" s="150"/>
      <c r="D28" s="150"/>
      <c r="E28" s="8"/>
      <c r="F28" s="152"/>
      <c r="G28" s="152"/>
      <c r="H28" s="152"/>
      <c r="I28" s="154"/>
      <c r="J28" s="11"/>
      <c r="K28" s="8"/>
      <c r="L28" s="8"/>
      <c r="M28" s="8"/>
      <c r="N28" s="8"/>
      <c r="O28" s="8"/>
      <c r="P28" s="8"/>
      <c r="Q28" s="8"/>
      <c r="R28" s="8"/>
      <c r="S28" s="8"/>
    </row>
    <row r="29" spans="2:19" s="121" customFormat="1" ht="19.5">
      <c r="B29" s="144"/>
      <c r="C29" s="148"/>
      <c r="D29" s="148" t="s">
        <v>37</v>
      </c>
      <c r="E29" s="9" t="s">
        <v>38</v>
      </c>
      <c r="F29" s="146"/>
      <c r="G29" s="146"/>
      <c r="H29" s="146"/>
      <c r="I29" s="46"/>
      <c r="J29" s="147"/>
      <c r="K29" s="47"/>
      <c r="L29" s="47"/>
      <c r="M29" s="47"/>
      <c r="N29" s="47"/>
      <c r="O29" s="47"/>
      <c r="P29" s="47"/>
      <c r="Q29" s="47"/>
      <c r="R29" s="47"/>
      <c r="S29" s="47"/>
    </row>
    <row r="30" spans="2:19" s="121" customFormat="1" ht="19.5">
      <c r="B30" s="144"/>
      <c r="C30" s="148"/>
      <c r="D30" s="148"/>
      <c r="E30" s="148" t="s">
        <v>39</v>
      </c>
      <c r="F30" s="149" t="s">
        <v>26</v>
      </c>
      <c r="G30" s="146"/>
      <c r="H30" s="146"/>
      <c r="I30" s="46">
        <f>'SA-05 (1)'!V45</f>
        <v>235.03</v>
      </c>
      <c r="J30" s="147"/>
      <c r="K30" s="47"/>
      <c r="L30" s="47"/>
      <c r="M30" s="47"/>
      <c r="N30" s="47"/>
      <c r="O30" s="47"/>
      <c r="P30" s="47"/>
      <c r="Q30" s="47"/>
      <c r="R30" s="47"/>
      <c r="S30" s="47"/>
    </row>
    <row r="31" spans="2:19" s="121" customFormat="1" ht="19.5">
      <c r="B31" s="144"/>
      <c r="C31" s="148"/>
      <c r="D31" s="148"/>
      <c r="E31" s="148" t="s">
        <v>40</v>
      </c>
      <c r="F31" s="149" t="s">
        <v>28</v>
      </c>
      <c r="G31" s="146"/>
      <c r="H31" s="146"/>
      <c r="I31" s="46">
        <f>'SA-EDERSA-05 (1)'!V45</f>
        <v>19.51266</v>
      </c>
      <c r="J31" s="147"/>
      <c r="K31" s="47"/>
      <c r="L31" s="47"/>
      <c r="M31" s="47"/>
      <c r="N31" s="47"/>
      <c r="O31" s="47"/>
      <c r="P31" s="47"/>
      <c r="Q31" s="47"/>
      <c r="R31" s="47"/>
      <c r="S31" s="47"/>
    </row>
    <row r="32" spans="2:19" ht="13.5">
      <c r="B32" s="44"/>
      <c r="C32" s="150"/>
      <c r="D32" s="151"/>
      <c r="E32" s="8"/>
      <c r="F32" s="152"/>
      <c r="G32" s="152"/>
      <c r="H32" s="152"/>
      <c r="I32" s="153"/>
      <c r="J32" s="11"/>
      <c r="K32" s="8"/>
      <c r="L32" s="8"/>
      <c r="M32" s="8"/>
      <c r="N32" s="8"/>
      <c r="O32" s="8"/>
      <c r="P32" s="8"/>
      <c r="Q32" s="8"/>
      <c r="R32" s="8"/>
      <c r="S32" s="8"/>
    </row>
    <row r="33" spans="2:19" s="121" customFormat="1" ht="12" customHeight="1">
      <c r="B33" s="144"/>
      <c r="C33" s="148"/>
      <c r="D33" s="149"/>
      <c r="E33" s="47"/>
      <c r="F33" s="146"/>
      <c r="G33" s="146"/>
      <c r="H33" s="146"/>
      <c r="I33" s="46"/>
      <c r="J33" s="147"/>
      <c r="K33" s="47"/>
      <c r="L33" s="47"/>
      <c r="M33" s="47"/>
      <c r="N33" s="47"/>
      <c r="O33" s="47"/>
      <c r="P33" s="47"/>
      <c r="Q33" s="47"/>
      <c r="R33" s="47"/>
      <c r="S33" s="47"/>
    </row>
    <row r="34" spans="2:19" s="121" customFormat="1" ht="19.5">
      <c r="B34" s="144"/>
      <c r="C34" s="148" t="s">
        <v>41</v>
      </c>
      <c r="D34" s="9" t="s">
        <v>42</v>
      </c>
      <c r="E34" s="146"/>
      <c r="F34"/>
      <c r="G34" s="146"/>
      <c r="H34" s="146"/>
      <c r="I34" s="46"/>
      <c r="J34" s="147"/>
      <c r="K34" s="47"/>
      <c r="L34" s="47"/>
      <c r="M34" s="47"/>
      <c r="N34" s="47"/>
      <c r="O34" s="47"/>
      <c r="P34" s="47"/>
      <c r="Q34" s="47"/>
      <c r="R34" s="47"/>
      <c r="S34" s="47"/>
    </row>
    <row r="35" spans="2:19" s="121" customFormat="1" ht="19.5">
      <c r="B35" s="144"/>
      <c r="C35" s="148"/>
      <c r="D35" s="148" t="s">
        <v>43</v>
      </c>
      <c r="E35" s="149" t="s">
        <v>28</v>
      </c>
      <c r="F35"/>
      <c r="G35" s="146"/>
      <c r="H35" s="146"/>
      <c r="I35" s="46">
        <f>'SUP-EDERSA'!I57</f>
        <v>4568.803165</v>
      </c>
      <c r="J35" s="147"/>
      <c r="K35" s="47"/>
      <c r="L35" s="47"/>
      <c r="M35" s="47"/>
      <c r="N35" s="47"/>
      <c r="O35" s="47"/>
      <c r="P35" s="47"/>
      <c r="Q35" s="47"/>
      <c r="R35" s="47"/>
      <c r="S35" s="47"/>
    </row>
    <row r="36" spans="2:19" s="121" customFormat="1" ht="19.5">
      <c r="B36" s="144"/>
      <c r="C36" s="148"/>
      <c r="D36" s="148" t="s">
        <v>44</v>
      </c>
      <c r="E36" s="149" t="s">
        <v>30</v>
      </c>
      <c r="F36"/>
      <c r="G36" s="146"/>
      <c r="H36" s="146"/>
      <c r="I36" s="46">
        <f>'SUP-SPSE'!I52</f>
        <v>1519.0675</v>
      </c>
      <c r="J36" s="147"/>
      <c r="K36" s="47"/>
      <c r="L36" s="47"/>
      <c r="M36" s="47"/>
      <c r="N36" s="47"/>
      <c r="O36" s="47"/>
      <c r="P36" s="47"/>
      <c r="Q36" s="47"/>
      <c r="R36" s="47"/>
      <c r="S36" s="47"/>
    </row>
    <row r="37" spans="2:19" s="121" customFormat="1" ht="20.25" thickBot="1">
      <c r="B37" s="144"/>
      <c r="C37" s="145"/>
      <c r="D37" s="145"/>
      <c r="E37" s="47"/>
      <c r="F37" s="146"/>
      <c r="G37" s="146"/>
      <c r="H37" s="146"/>
      <c r="I37" s="47"/>
      <c r="J37" s="147"/>
      <c r="K37" s="47"/>
      <c r="L37" s="47"/>
      <c r="M37" s="47"/>
      <c r="N37" s="47"/>
      <c r="O37" s="47"/>
      <c r="P37" s="47"/>
      <c r="Q37" s="47"/>
      <c r="R37" s="47"/>
      <c r="S37" s="47"/>
    </row>
    <row r="38" spans="2:19" s="121" customFormat="1" ht="20.25" thickBot="1" thickTop="1">
      <c r="B38" s="144"/>
      <c r="C38" s="148"/>
      <c r="D38" s="148"/>
      <c r="F38" s="155" t="s">
        <v>45</v>
      </c>
      <c r="G38" s="156">
        <f>SUM(I19:I36)</f>
        <v>32233.363325000002</v>
      </c>
      <c r="H38" s="240"/>
      <c r="J38" s="147"/>
      <c r="K38" s="47"/>
      <c r="L38" s="47"/>
      <c r="M38" s="47"/>
      <c r="N38" s="47"/>
      <c r="O38" s="47"/>
      <c r="P38" s="47"/>
      <c r="Q38" s="47"/>
      <c r="R38" s="47"/>
      <c r="S38" s="47"/>
    </row>
    <row r="39" spans="2:19" s="121" customFormat="1" ht="8.25" customHeight="1" thickTop="1">
      <c r="B39" s="144"/>
      <c r="C39" s="148"/>
      <c r="D39" s="148"/>
      <c r="F39" s="674"/>
      <c r="G39" s="240"/>
      <c r="H39" s="240"/>
      <c r="J39" s="147"/>
      <c r="K39" s="47"/>
      <c r="L39" s="47"/>
      <c r="M39" s="47"/>
      <c r="N39" s="47"/>
      <c r="O39" s="47"/>
      <c r="P39" s="47"/>
      <c r="Q39" s="47"/>
      <c r="R39" s="47"/>
      <c r="S39" s="47"/>
    </row>
    <row r="40" spans="2:19" s="121" customFormat="1" ht="18.75">
      <c r="B40" s="144"/>
      <c r="C40" s="675" t="s">
        <v>194</v>
      </c>
      <c r="D40" s="148"/>
      <c r="F40" s="674"/>
      <c r="G40" s="240"/>
      <c r="H40" s="240"/>
      <c r="J40" s="147"/>
      <c r="K40" s="47"/>
      <c r="L40" s="47"/>
      <c r="M40" s="47"/>
      <c r="N40" s="47"/>
      <c r="O40" s="47"/>
      <c r="P40" s="47"/>
      <c r="Q40" s="47"/>
      <c r="R40" s="47"/>
      <c r="S40" s="47"/>
    </row>
    <row r="41" spans="2:19" s="137" customFormat="1" ht="6.75" customHeight="1" thickBot="1">
      <c r="B41" s="157"/>
      <c r="C41" s="158"/>
      <c r="D41" s="158"/>
      <c r="E41" s="159"/>
      <c r="F41" s="159"/>
      <c r="G41" s="159"/>
      <c r="H41" s="159"/>
      <c r="I41" s="159"/>
      <c r="J41" s="160"/>
      <c r="K41" s="138"/>
      <c r="L41" s="138"/>
      <c r="M41" s="84"/>
      <c r="N41" s="161"/>
      <c r="O41" s="161"/>
      <c r="P41" s="162"/>
      <c r="Q41" s="163"/>
      <c r="R41" s="138"/>
      <c r="S41" s="138"/>
    </row>
    <row r="42" spans="4:19" ht="13.5" thickTop="1">
      <c r="D42" s="8"/>
      <c r="F42" s="8"/>
      <c r="G42" s="8"/>
      <c r="H42" s="8"/>
      <c r="I42" s="8"/>
      <c r="J42" s="8"/>
      <c r="K42" s="8"/>
      <c r="L42" s="8"/>
      <c r="M42" s="30"/>
      <c r="N42" s="164"/>
      <c r="O42" s="164"/>
      <c r="P42" s="8"/>
      <c r="Q42" s="36"/>
      <c r="R42" s="8"/>
      <c r="S42" s="8"/>
    </row>
    <row r="43" spans="4:19" ht="12.75">
      <c r="D43" s="8"/>
      <c r="F43" s="8"/>
      <c r="G43" s="8"/>
      <c r="H43" s="8"/>
      <c r="I43" s="8"/>
      <c r="J43" s="8"/>
      <c r="K43" s="8"/>
      <c r="L43" s="8"/>
      <c r="M43" s="8"/>
      <c r="N43" s="165"/>
      <c r="O43" s="165"/>
      <c r="P43" s="166"/>
      <c r="Q43" s="36"/>
      <c r="R43" s="8"/>
      <c r="S43" s="8"/>
    </row>
    <row r="44" spans="4:19" ht="12.75">
      <c r="D44" s="8"/>
      <c r="E44" s="8"/>
      <c r="F44" s="8"/>
      <c r="G44" s="8"/>
      <c r="H44" s="8"/>
      <c r="I44" s="8"/>
      <c r="J44" s="8"/>
      <c r="K44" s="8"/>
      <c r="L44" s="8"/>
      <c r="M44" s="8"/>
      <c r="N44" s="165"/>
      <c r="O44" s="165"/>
      <c r="P44" s="166"/>
      <c r="Q44" s="36"/>
      <c r="R44" s="8"/>
      <c r="S44" s="8"/>
    </row>
    <row r="45" spans="4:19" ht="12.75">
      <c r="D45" s="8"/>
      <c r="E45" s="8"/>
      <c r="L45" s="8"/>
      <c r="M45" s="8"/>
      <c r="N45" s="8"/>
      <c r="O45" s="8"/>
      <c r="P45" s="8"/>
      <c r="Q45" s="8"/>
      <c r="R45" s="8"/>
      <c r="S45" s="8"/>
    </row>
    <row r="46" spans="4:19" ht="12.75">
      <c r="D46" s="8"/>
      <c r="E46" s="8"/>
      <c r="P46" s="8"/>
      <c r="Q46" s="8"/>
      <c r="R46" s="8"/>
      <c r="S46" s="8"/>
    </row>
    <row r="47" spans="4:19" ht="12.75">
      <c r="D47" s="8"/>
      <c r="E47" s="8"/>
      <c r="P47" s="8"/>
      <c r="Q47" s="8"/>
      <c r="R47" s="8"/>
      <c r="S47" s="8"/>
    </row>
    <row r="48" spans="4:19" ht="12.75">
      <c r="D48" s="8"/>
      <c r="E48" s="8"/>
      <c r="P48" s="8"/>
      <c r="Q48" s="8"/>
      <c r="R48" s="8"/>
      <c r="S48" s="8"/>
    </row>
    <row r="49" spans="4:19" ht="12.75">
      <c r="D49" s="8"/>
      <c r="E49" s="8"/>
      <c r="P49" s="8"/>
      <c r="Q49" s="8"/>
      <c r="R49" s="8"/>
      <c r="S49" s="8"/>
    </row>
    <row r="50" spans="4:19" ht="12.75">
      <c r="D50" s="8"/>
      <c r="E50" s="8"/>
      <c r="P50" s="8"/>
      <c r="Q50" s="8"/>
      <c r="R50" s="8"/>
      <c r="S50" s="8"/>
    </row>
    <row r="51" spans="16:19" ht="12.75">
      <c r="P51" s="8"/>
      <c r="Q51" s="8"/>
      <c r="R51" s="8"/>
      <c r="S51" s="8"/>
    </row>
    <row r="52" spans="16:19" ht="12.75">
      <c r="P52" s="8"/>
      <c r="Q52" s="8"/>
      <c r="R52" s="8"/>
      <c r="S52" s="8"/>
    </row>
  </sheetData>
  <printOptions horizontalCentered="1"/>
  <pageMargins left="0.32" right="0.1968503937007874" top="0.7874015748031497" bottom="0.7874015748031497" header="0.5118110236220472" footer="0.5118110236220472"/>
  <pageSetup fitToHeight="1" fitToWidth="1" orientation="portrait" paperSize="9" scale="72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S105"/>
  <sheetViews>
    <sheetView zoomScale="55" zoomScaleNormal="55" workbookViewId="0" topLeftCell="A1">
      <selection activeCell="B3" sqref="B3"/>
    </sheetView>
  </sheetViews>
  <sheetFormatPr defaultColWidth="13.421875" defaultRowHeight="12.75"/>
  <cols>
    <col min="1" max="1" width="14.57421875" style="0" customWidth="1"/>
    <col min="2" max="2" width="13.8515625" style="0" customWidth="1"/>
    <col min="3" max="3" width="4.7109375" style="0" customWidth="1"/>
    <col min="4" max="4" width="41.7109375" style="0" customWidth="1"/>
    <col min="5" max="5" width="11.00390625" style="0" customWidth="1"/>
    <col min="6" max="6" width="13.28125" style="0" customWidth="1"/>
    <col min="7" max="7" width="6.7109375" style="0" customWidth="1"/>
    <col min="8" max="9" width="20.7109375" style="0" customWidth="1"/>
    <col min="10" max="10" width="13.8515625" style="0" customWidth="1"/>
    <col min="11" max="11" width="5.00390625" style="0" customWidth="1"/>
    <col min="12" max="12" width="33.28125" style="0" customWidth="1"/>
    <col min="13" max="13" width="7.2812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09" customFormat="1" ht="39.75" customHeight="1">
      <c r="P1" s="416"/>
    </row>
    <row r="2" spans="1:16" s="109" customFormat="1" ht="31.5" customHeight="1">
      <c r="A2" s="170"/>
      <c r="B2" s="702" t="str">
        <f>'TOT-0511'!B2</f>
        <v>ANEXO V al Memorandum  D.T.E.E.  N°482  / 2012</v>
      </c>
      <c r="C2" s="702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3" s="112" customFormat="1" ht="12.75">
      <c r="A3" s="707" t="s">
        <v>148</v>
      </c>
      <c r="B3" s="10"/>
      <c r="C3" s="10"/>
    </row>
    <row r="4" spans="1:3" s="112" customFormat="1" ht="11.25">
      <c r="A4" s="707" t="s">
        <v>147</v>
      </c>
      <c r="B4" s="234"/>
      <c r="C4" s="234"/>
    </row>
    <row r="5" s="10" customFormat="1" ht="13.5" thickBot="1"/>
    <row r="6" spans="1:16" s="10" customFormat="1" ht="13.5" thickTop="1">
      <c r="A6" s="8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</row>
    <row r="7" spans="1:16" s="114" customFormat="1" ht="20.25">
      <c r="A7" s="45"/>
      <c r="B7" s="113"/>
      <c r="C7" s="45"/>
      <c r="D7" s="21" t="s">
        <v>46</v>
      </c>
      <c r="G7" s="45"/>
      <c r="H7" s="45"/>
      <c r="I7" s="45"/>
      <c r="J7" s="45"/>
      <c r="K7" s="45"/>
      <c r="L7" s="45"/>
      <c r="M7" s="45"/>
      <c r="N7" s="45"/>
      <c r="O7" s="45"/>
      <c r="P7" s="115"/>
    </row>
    <row r="8" spans="1:16" ht="15">
      <c r="A8" s="1"/>
      <c r="B8" s="279"/>
      <c r="C8" s="73"/>
      <c r="D8" s="417"/>
      <c r="E8" s="73"/>
      <c r="F8" s="71"/>
      <c r="G8" s="73"/>
      <c r="H8" s="73"/>
      <c r="I8" s="73"/>
      <c r="J8" s="73"/>
      <c r="K8" s="73"/>
      <c r="L8" s="73"/>
      <c r="M8" s="73"/>
      <c r="N8" s="73"/>
      <c r="O8" s="73"/>
      <c r="P8" s="283"/>
    </row>
    <row r="9" spans="1:19" s="114" customFormat="1" ht="20.25">
      <c r="A9" s="45"/>
      <c r="B9" s="418"/>
      <c r="C9"/>
      <c r="D9" s="22" t="s">
        <v>140</v>
      </c>
      <c r="E9" s="419"/>
      <c r="F9" s="419"/>
      <c r="G9" s="419"/>
      <c r="H9" s="420"/>
      <c r="I9" s="419"/>
      <c r="J9" s="419"/>
      <c r="K9" s="419"/>
      <c r="L9" s="419"/>
      <c r="M9" s="419"/>
      <c r="N9" s="419"/>
      <c r="O9" s="419"/>
      <c r="P9" s="421"/>
      <c r="Q9" s="235"/>
      <c r="R9" s="177"/>
      <c r="S9" s="177"/>
    </row>
    <row r="10" spans="1:19" s="10" customFormat="1" ht="12.75">
      <c r="A10" s="8"/>
      <c r="B10" s="44"/>
      <c r="C10" s="8"/>
      <c r="D10" s="67"/>
      <c r="E10" s="30"/>
      <c r="F10" s="30"/>
      <c r="G10" s="30"/>
      <c r="H10" s="169"/>
      <c r="I10" s="30"/>
      <c r="J10" s="30"/>
      <c r="K10" s="30"/>
      <c r="L10" s="30"/>
      <c r="M10" s="30"/>
      <c r="N10" s="30"/>
      <c r="O10" s="30"/>
      <c r="P10" s="38"/>
      <c r="Q10" s="30"/>
      <c r="R10" s="30"/>
      <c r="S10" s="176"/>
    </row>
    <row r="11" spans="1:19" s="121" customFormat="1" ht="19.5">
      <c r="A11" s="47"/>
      <c r="B11" s="238" t="str">
        <f>+'TOT-0511'!B14</f>
        <v>Desde el 01 al 31 de mayo de 2011</v>
      </c>
      <c r="C11" s="143"/>
      <c r="D11" s="197"/>
      <c r="E11" s="197"/>
      <c r="F11" s="197"/>
      <c r="G11" s="197"/>
      <c r="H11" s="197"/>
      <c r="I11" s="143"/>
      <c r="J11" s="197"/>
      <c r="K11" s="197"/>
      <c r="L11" s="197"/>
      <c r="M11" s="197"/>
      <c r="N11" s="197"/>
      <c r="O11" s="197"/>
      <c r="P11" s="422"/>
      <c r="Q11" s="423"/>
      <c r="R11" s="423"/>
      <c r="S11" s="423"/>
    </row>
    <row r="12" spans="1:19" ht="15">
      <c r="A12" s="1"/>
      <c r="B12" s="279"/>
      <c r="C12" s="73"/>
      <c r="D12" s="69"/>
      <c r="E12" s="69"/>
      <c r="F12" s="69"/>
      <c r="G12" s="69"/>
      <c r="H12" s="424"/>
      <c r="I12" s="73"/>
      <c r="J12" s="69"/>
      <c r="K12" s="69"/>
      <c r="L12" s="69"/>
      <c r="M12" s="69"/>
      <c r="N12" s="69"/>
      <c r="O12" s="69"/>
      <c r="P12" s="70"/>
      <c r="Q12" s="4"/>
      <c r="R12" s="4"/>
      <c r="S12" s="425"/>
    </row>
    <row r="13" spans="1:19" ht="18" customHeight="1">
      <c r="A13" s="1"/>
      <c r="B13" s="279"/>
      <c r="C13" s="73"/>
      <c r="D13" s="69"/>
      <c r="E13" s="69"/>
      <c r="F13" s="69"/>
      <c r="G13" s="69"/>
      <c r="H13" s="81"/>
      <c r="I13" s="81"/>
      <c r="J13" s="69"/>
      <c r="K13" s="69"/>
      <c r="P13" s="70"/>
      <c r="Q13" s="4"/>
      <c r="R13" s="4"/>
      <c r="S13" s="425"/>
    </row>
    <row r="14" spans="1:19" ht="18" customHeight="1">
      <c r="A14" s="1"/>
      <c r="B14" s="279"/>
      <c r="C14" s="73"/>
      <c r="D14" s="68"/>
      <c r="E14" s="426"/>
      <c r="F14" s="69"/>
      <c r="G14" s="69"/>
      <c r="H14" s="81"/>
      <c r="I14" s="81"/>
      <c r="J14" s="69"/>
      <c r="K14" s="69"/>
      <c r="P14" s="70"/>
      <c r="Q14" s="4"/>
      <c r="R14" s="4"/>
      <c r="S14" s="425"/>
    </row>
    <row r="15" spans="1:16" ht="16.5" thickBot="1">
      <c r="A15" s="1"/>
      <c r="B15" s="279"/>
      <c r="C15" s="427" t="s">
        <v>95</v>
      </c>
      <c r="D15" s="71"/>
      <c r="E15" s="280"/>
      <c r="F15" s="281"/>
      <c r="G15" s="73"/>
      <c r="H15" s="73"/>
      <c r="I15" s="73"/>
      <c r="J15" s="72"/>
      <c r="K15" s="72"/>
      <c r="L15" s="282"/>
      <c r="M15" s="73"/>
      <c r="N15" s="73"/>
      <c r="O15" s="73"/>
      <c r="P15" s="283"/>
    </row>
    <row r="16" spans="1:16" ht="16.5" thickBot="1">
      <c r="A16" s="1"/>
      <c r="B16" s="279"/>
      <c r="C16" s="284"/>
      <c r="D16" s="71"/>
      <c r="E16" s="280"/>
      <c r="F16" s="281"/>
      <c r="G16" s="73"/>
      <c r="H16" s="73"/>
      <c r="L16" s="428" t="s">
        <v>91</v>
      </c>
      <c r="M16" s="429">
        <v>3.243</v>
      </c>
      <c r="N16" s="430"/>
      <c r="O16" s="73"/>
      <c r="P16" s="283"/>
    </row>
    <row r="17" spans="1:16" ht="15.75">
      <c r="A17" s="1"/>
      <c r="B17" s="279"/>
      <c r="C17" s="284"/>
      <c r="D17" s="72" t="s">
        <v>96</v>
      </c>
      <c r="E17" s="285">
        <v>744</v>
      </c>
      <c r="F17" s="73" t="s">
        <v>97</v>
      </c>
      <c r="G17" s="69"/>
      <c r="H17" s="431"/>
      <c r="I17" s="432" t="s">
        <v>98</v>
      </c>
      <c r="J17" s="433">
        <v>69.722</v>
      </c>
      <c r="K17" s="411"/>
      <c r="L17" s="434" t="s">
        <v>92</v>
      </c>
      <c r="M17" s="435">
        <v>2.433</v>
      </c>
      <c r="N17" s="436"/>
      <c r="O17" s="73"/>
      <c r="P17" s="283"/>
    </row>
    <row r="18" spans="1:16" ht="16.5" thickBot="1">
      <c r="A18" s="1"/>
      <c r="B18" s="279"/>
      <c r="C18" s="284"/>
      <c r="D18" s="72" t="s">
        <v>99</v>
      </c>
      <c r="E18" s="287">
        <v>0.025</v>
      </c>
      <c r="F18" s="69"/>
      <c r="G18" s="69"/>
      <c r="H18" s="437"/>
      <c r="I18" s="438" t="s">
        <v>100</v>
      </c>
      <c r="J18" s="439">
        <v>0.243</v>
      </c>
      <c r="K18" s="440"/>
      <c r="L18" s="441" t="s">
        <v>93</v>
      </c>
      <c r="M18" s="442">
        <v>2.433</v>
      </c>
      <c r="N18" s="443"/>
      <c r="O18" s="73"/>
      <c r="P18" s="283"/>
    </row>
    <row r="19" spans="1:16" ht="15.75">
      <c r="A19" s="1"/>
      <c r="B19" s="279"/>
      <c r="C19" s="284"/>
      <c r="D19" s="72"/>
      <c r="E19" s="287"/>
      <c r="F19" s="69"/>
      <c r="G19" s="69"/>
      <c r="H19" s="69"/>
      <c r="I19" s="69"/>
      <c r="L19" s="282"/>
      <c r="M19" s="73"/>
      <c r="N19" s="73"/>
      <c r="O19" s="73"/>
      <c r="P19" s="283"/>
    </row>
    <row r="20" spans="1:16" ht="15">
      <c r="A20" s="1"/>
      <c r="B20" s="279"/>
      <c r="C20" s="68" t="s">
        <v>101</v>
      </c>
      <c r="D20" s="76"/>
      <c r="E20" s="280"/>
      <c r="F20" s="281"/>
      <c r="G20" s="73"/>
      <c r="H20" s="73"/>
      <c r="I20" s="73"/>
      <c r="J20" s="72"/>
      <c r="K20" s="72"/>
      <c r="L20" s="282"/>
      <c r="M20" s="73"/>
      <c r="N20" s="73"/>
      <c r="O20" s="73"/>
      <c r="P20" s="283"/>
    </row>
    <row r="21" spans="1:16" ht="15">
      <c r="A21" s="1"/>
      <c r="B21" s="279"/>
      <c r="C21" s="73"/>
      <c r="D21" s="73"/>
      <c r="E21" s="73"/>
      <c r="F21" s="73"/>
      <c r="G21" s="73"/>
      <c r="H21" s="288"/>
      <c r="I21" s="73"/>
      <c r="J21" s="73"/>
      <c r="K21" s="73"/>
      <c r="L21" s="73"/>
      <c r="M21" s="73"/>
      <c r="N21" s="73"/>
      <c r="O21" s="73"/>
      <c r="P21" s="283"/>
    </row>
    <row r="22" spans="1:16" ht="15">
      <c r="A22" s="1"/>
      <c r="B22" s="279"/>
      <c r="C22" s="73"/>
      <c r="D22" s="72" t="s">
        <v>102</v>
      </c>
      <c r="E22" s="73"/>
      <c r="F22" s="288" t="s">
        <v>24</v>
      </c>
      <c r="G22" s="73"/>
      <c r="H22" s="71"/>
      <c r="I22" s="444">
        <f>'TOT-0511'!I21</f>
        <v>6076.27</v>
      </c>
      <c r="J22" s="73"/>
      <c r="K22" s="73"/>
      <c r="L22" s="445" t="s">
        <v>181</v>
      </c>
      <c r="M22" s="73"/>
      <c r="N22" s="73"/>
      <c r="O22" s="73"/>
      <c r="P22" s="283"/>
    </row>
    <row r="23" spans="1:16" ht="15">
      <c r="A23" s="1"/>
      <c r="B23" s="279"/>
      <c r="C23" s="73"/>
      <c r="D23" s="73"/>
      <c r="E23" s="73"/>
      <c r="F23" s="288" t="s">
        <v>104</v>
      </c>
      <c r="G23" s="73"/>
      <c r="H23" s="71"/>
      <c r="I23" s="444">
        <v>0</v>
      </c>
      <c r="J23" s="73"/>
      <c r="K23" s="73"/>
      <c r="L23" s="445"/>
      <c r="M23" s="73"/>
      <c r="N23" s="73"/>
      <c r="O23" s="73"/>
      <c r="P23" s="283"/>
    </row>
    <row r="24" spans="1:16" ht="15">
      <c r="A24" s="1"/>
      <c r="B24" s="279"/>
      <c r="C24" s="73"/>
      <c r="D24" s="73"/>
      <c r="E24" s="73"/>
      <c r="F24" s="288" t="s">
        <v>3</v>
      </c>
      <c r="G24" s="73"/>
      <c r="H24" s="71"/>
      <c r="I24" s="446">
        <v>0</v>
      </c>
      <c r="J24" s="73"/>
      <c r="K24" s="73"/>
      <c r="L24" s="445"/>
      <c r="M24" s="73"/>
      <c r="N24" s="73"/>
      <c r="O24" s="73"/>
      <c r="P24" s="283"/>
    </row>
    <row r="25" spans="1:16" ht="15.75" thickBot="1">
      <c r="A25" s="1"/>
      <c r="B25" s="279"/>
      <c r="C25" s="73"/>
      <c r="D25" s="73"/>
      <c r="E25" s="73"/>
      <c r="F25" s="73"/>
      <c r="G25" s="73"/>
      <c r="H25" s="288"/>
      <c r="I25" s="73"/>
      <c r="J25" s="73"/>
      <c r="K25" s="73"/>
      <c r="L25" s="73"/>
      <c r="M25" s="73"/>
      <c r="N25" s="73"/>
      <c r="O25" s="73"/>
      <c r="P25" s="283"/>
    </row>
    <row r="26" spans="2:16" ht="20.25" thickBot="1" thickTop="1">
      <c r="B26" s="279"/>
      <c r="C26" s="80"/>
      <c r="H26" s="447" t="s">
        <v>107</v>
      </c>
      <c r="I26" s="156">
        <f>SUM(I22:I25)</f>
        <v>6076.27</v>
      </c>
      <c r="L26" s="77"/>
      <c r="M26" s="77"/>
      <c r="N26" s="78"/>
      <c r="O26" s="79"/>
      <c r="P26" s="289"/>
    </row>
    <row r="27" spans="2:16" ht="15.75" thickTop="1">
      <c r="B27" s="279"/>
      <c r="C27" s="80"/>
      <c r="D27" s="76"/>
      <c r="E27" s="76"/>
      <c r="F27" s="82"/>
      <c r="G27" s="77"/>
      <c r="H27" s="77"/>
      <c r="I27" s="77"/>
      <c r="J27" s="77"/>
      <c r="K27" s="77"/>
      <c r="L27" s="77"/>
      <c r="M27" s="77"/>
      <c r="N27" s="78"/>
      <c r="O27" s="79"/>
      <c r="P27" s="289"/>
    </row>
    <row r="28" spans="2:16" ht="15">
      <c r="B28" s="279"/>
      <c r="C28" s="68" t="s">
        <v>108</v>
      </c>
      <c r="D28" s="76"/>
      <c r="E28" s="76"/>
      <c r="F28" s="82"/>
      <c r="G28" s="77"/>
      <c r="H28" s="77"/>
      <c r="I28" s="77"/>
      <c r="J28" s="77"/>
      <c r="K28" s="77"/>
      <c r="L28" s="77"/>
      <c r="M28" s="77"/>
      <c r="N28" s="78"/>
      <c r="O28" s="79"/>
      <c r="P28" s="289"/>
    </row>
    <row r="29" spans="2:16" ht="15">
      <c r="B29" s="279"/>
      <c r="C29" s="80"/>
      <c r="D29" s="76"/>
      <c r="E29" s="76"/>
      <c r="F29" s="82"/>
      <c r="G29" s="77"/>
      <c r="H29" s="77"/>
      <c r="I29" s="77"/>
      <c r="J29" s="77"/>
      <c r="K29" s="77"/>
      <c r="L29" s="77"/>
      <c r="M29" s="77"/>
      <c r="N29" s="78"/>
      <c r="O29" s="79"/>
      <c r="P29" s="289"/>
    </row>
    <row r="30" spans="2:16" ht="15.75">
      <c r="B30" s="279"/>
      <c r="C30" s="80"/>
      <c r="D30" s="448" t="s">
        <v>109</v>
      </c>
      <c r="E30" s="449" t="s">
        <v>20</v>
      </c>
      <c r="F30" s="450" t="s">
        <v>110</v>
      </c>
      <c r="G30" s="451"/>
      <c r="H30" s="681" t="s">
        <v>137</v>
      </c>
      <c r="I30" s="680" t="s">
        <v>136</v>
      </c>
      <c r="J30" s="452"/>
      <c r="K30" s="453"/>
      <c r="L30" s="454" t="s">
        <v>2</v>
      </c>
      <c r="N30" s="78"/>
      <c r="O30" s="79"/>
      <c r="P30" s="289"/>
    </row>
    <row r="31" spans="2:16" ht="15">
      <c r="B31" s="279"/>
      <c r="C31" s="80"/>
      <c r="D31" s="455" t="s">
        <v>4</v>
      </c>
      <c r="E31" s="456">
        <v>132</v>
      </c>
      <c r="F31" s="457">
        <v>209</v>
      </c>
      <c r="G31" s="458"/>
      <c r="H31" s="459">
        <f>F31*$J$17*$E$17/100</f>
        <v>108414.92112</v>
      </c>
      <c r="I31" s="460">
        <v>4878</v>
      </c>
      <c r="J31" s="461" t="s">
        <v>149</v>
      </c>
      <c r="K31" s="462"/>
      <c r="L31" s="463">
        <f>SUM(H31:K31)</f>
        <v>113292.92112</v>
      </c>
      <c r="M31" s="77"/>
      <c r="N31" s="78"/>
      <c r="O31" s="79"/>
      <c r="P31" s="289"/>
    </row>
    <row r="32" spans="2:16" ht="15">
      <c r="B32" s="279"/>
      <c r="C32" s="80"/>
      <c r="D32" s="464"/>
      <c r="E32" s="465"/>
      <c r="F32" s="466"/>
      <c r="G32" s="467"/>
      <c r="H32" s="468"/>
      <c r="I32" s="469"/>
      <c r="J32" s="470"/>
      <c r="K32" s="471"/>
      <c r="L32" s="472"/>
      <c r="M32" s="77"/>
      <c r="N32" s="78"/>
      <c r="O32" s="79"/>
      <c r="P32" s="289"/>
    </row>
    <row r="33" spans="2:16" ht="15">
      <c r="B33" s="279"/>
      <c r="C33" s="80"/>
      <c r="D33" s="76"/>
      <c r="E33" s="76"/>
      <c r="F33" s="290"/>
      <c r="G33" s="77"/>
      <c r="I33" s="83"/>
      <c r="J33" s="286"/>
      <c r="K33" s="286"/>
      <c r="L33" s="473">
        <f>SUM(L31:L32)</f>
        <v>113292.92112</v>
      </c>
      <c r="M33" s="77"/>
      <c r="N33" s="78"/>
      <c r="O33" s="79"/>
      <c r="P33" s="289"/>
    </row>
    <row r="34" spans="2:16" ht="15">
      <c r="B34" s="279"/>
      <c r="C34" s="80"/>
      <c r="D34" s="76"/>
      <c r="E34" s="76"/>
      <c r="F34" s="290"/>
      <c r="G34" s="77"/>
      <c r="I34" s="83"/>
      <c r="J34" s="286"/>
      <c r="K34" s="286"/>
      <c r="L34" s="291"/>
      <c r="M34" s="77"/>
      <c r="N34" s="78"/>
      <c r="O34" s="79"/>
      <c r="P34" s="289"/>
    </row>
    <row r="35" spans="2:16" ht="15.75">
      <c r="B35" s="279"/>
      <c r="C35" s="80"/>
      <c r="D35" s="448" t="s">
        <v>111</v>
      </c>
      <c r="E35" s="449" t="s">
        <v>112</v>
      </c>
      <c r="F35" s="450" t="s">
        <v>113</v>
      </c>
      <c r="G35" s="695" t="s">
        <v>137</v>
      </c>
      <c r="H35" s="689"/>
      <c r="J35" s="474" t="s">
        <v>114</v>
      </c>
      <c r="K35" s="475"/>
      <c r="L35" s="476" t="s">
        <v>56</v>
      </c>
      <c r="M35" s="449" t="s">
        <v>20</v>
      </c>
      <c r="N35" s="477" t="s">
        <v>115</v>
      </c>
      <c r="O35" s="478"/>
      <c r="P35" s="289"/>
    </row>
    <row r="36" spans="2:16" ht="15">
      <c r="B36" s="279"/>
      <c r="C36" s="80"/>
      <c r="D36" s="455" t="s">
        <v>11</v>
      </c>
      <c r="E36" s="456" t="s">
        <v>10</v>
      </c>
      <c r="F36" s="457">
        <v>5</v>
      </c>
      <c r="G36" s="690"/>
      <c r="H36" s="691">
        <f>+F36*$J$18*$E$17</f>
        <v>903.9599999999999</v>
      </c>
      <c r="J36" s="687" t="s">
        <v>11</v>
      </c>
      <c r="K36" s="683"/>
      <c r="L36" s="684" t="s">
        <v>17</v>
      </c>
      <c r="M36" s="480">
        <v>13.2</v>
      </c>
      <c r="N36" s="481">
        <f>M18*$E$17</f>
        <v>1810.1519999999998</v>
      </c>
      <c r="O36" s="482"/>
      <c r="P36" s="289"/>
    </row>
    <row r="37" spans="2:16" ht="15">
      <c r="B37" s="279"/>
      <c r="C37" s="80"/>
      <c r="D37" s="464" t="s">
        <v>11</v>
      </c>
      <c r="E37" s="465" t="s">
        <v>9</v>
      </c>
      <c r="F37" s="466">
        <v>5</v>
      </c>
      <c r="G37" s="692"/>
      <c r="H37" s="693">
        <f>+F37*$J$18*$E$17</f>
        <v>903.9599999999999</v>
      </c>
      <c r="J37" s="688" t="s">
        <v>11</v>
      </c>
      <c r="K37" s="685"/>
      <c r="L37" s="686" t="s">
        <v>18</v>
      </c>
      <c r="M37" s="78">
        <v>13.2</v>
      </c>
      <c r="N37" s="487">
        <f>M18*$E$17</f>
        <v>1810.1519999999998</v>
      </c>
      <c r="O37" s="488"/>
      <c r="P37" s="289"/>
    </row>
    <row r="38" spans="2:16" ht="15">
      <c r="B38" s="279"/>
      <c r="C38" s="80"/>
      <c r="D38" s="76"/>
      <c r="E38" s="76"/>
      <c r="F38" s="290"/>
      <c r="G38" s="692"/>
      <c r="H38" s="694">
        <f>SUM(H36:H37)</f>
        <v>1807.9199999999998</v>
      </c>
      <c r="J38" s="489"/>
      <c r="K38" s="470"/>
      <c r="L38" s="467"/>
      <c r="M38" s="490"/>
      <c r="N38" s="491"/>
      <c r="O38" s="492"/>
      <c r="P38" s="289"/>
    </row>
    <row r="39" spans="2:16" ht="15">
      <c r="B39" s="279"/>
      <c r="C39" s="80"/>
      <c r="D39" s="76"/>
      <c r="E39" s="76"/>
      <c r="F39" s="290"/>
      <c r="G39" s="77"/>
      <c r="I39" s="83"/>
      <c r="J39" s="286"/>
      <c r="K39" s="286"/>
      <c r="L39" s="291"/>
      <c r="M39" s="77"/>
      <c r="N39" s="493">
        <f>SUM(N36:N38)</f>
        <v>3620.3039999999996</v>
      </c>
      <c r="O39" s="478"/>
      <c r="P39" s="289"/>
    </row>
    <row r="40" spans="2:16" ht="12.75" customHeight="1" thickBot="1">
      <c r="B40" s="279"/>
      <c r="C40" s="80"/>
      <c r="D40" s="76"/>
      <c r="E40" s="76"/>
      <c r="F40" s="82"/>
      <c r="G40" s="77"/>
      <c r="H40" s="83"/>
      <c r="I40" s="76"/>
      <c r="J40" s="76"/>
      <c r="K40" s="76"/>
      <c r="L40" s="77"/>
      <c r="M40" s="77"/>
      <c r="N40" s="78"/>
      <c r="O40" s="79"/>
      <c r="P40" s="289"/>
    </row>
    <row r="41" spans="2:16" ht="20.25" thickBot="1" thickTop="1">
      <c r="B41" s="279"/>
      <c r="C41" s="80"/>
      <c r="D41" s="76"/>
      <c r="E41" s="76"/>
      <c r="F41" s="82"/>
      <c r="G41" s="77"/>
      <c r="H41" s="494" t="s">
        <v>116</v>
      </c>
      <c r="I41" s="495">
        <f>+H38+N39+L33</f>
        <v>118721.14512</v>
      </c>
      <c r="J41" s="76"/>
      <c r="K41" s="76"/>
      <c r="L41" s="77"/>
      <c r="M41" s="77"/>
      <c r="N41" s="78"/>
      <c r="O41" s="79"/>
      <c r="P41" s="289"/>
    </row>
    <row r="42" spans="2:16" ht="15.75" thickTop="1">
      <c r="B42" s="279"/>
      <c r="C42" s="80"/>
      <c r="D42" s="76"/>
      <c r="E42" s="76"/>
      <c r="F42" s="82"/>
      <c r="G42" s="77"/>
      <c r="H42" s="83"/>
      <c r="I42" s="76"/>
      <c r="J42" s="76"/>
      <c r="K42" s="76"/>
      <c r="L42" s="77"/>
      <c r="M42" s="77"/>
      <c r="N42" s="78"/>
      <c r="O42" s="79"/>
      <c r="P42" s="289"/>
    </row>
    <row r="43" spans="2:16" ht="15.75">
      <c r="B43" s="279"/>
      <c r="C43" s="496" t="s">
        <v>117</v>
      </c>
      <c r="D43" s="76"/>
      <c r="E43" s="76"/>
      <c r="F43" s="82"/>
      <c r="G43" s="77"/>
      <c r="H43" s="83"/>
      <c r="I43" s="76"/>
      <c r="J43" s="76"/>
      <c r="K43" s="76"/>
      <c r="L43" s="77"/>
      <c r="M43" s="77"/>
      <c r="N43" s="78"/>
      <c r="O43" s="79"/>
      <c r="P43" s="289"/>
    </row>
    <row r="44" spans="2:16" ht="15.75" thickBot="1">
      <c r="B44" s="279"/>
      <c r="C44" s="80"/>
      <c r="D44" s="76"/>
      <c r="E44" s="76"/>
      <c r="F44" s="82"/>
      <c r="G44" s="77"/>
      <c r="H44" s="83"/>
      <c r="I44" s="76"/>
      <c r="J44" s="76"/>
      <c r="K44" s="76"/>
      <c r="L44" s="77"/>
      <c r="M44" s="77"/>
      <c r="N44" s="78"/>
      <c r="O44" s="79"/>
      <c r="P44" s="289"/>
    </row>
    <row r="45" spans="2:16" ht="20.25" thickBot="1" thickTop="1">
      <c r="B45" s="279"/>
      <c r="C45" s="80"/>
      <c r="D45" s="236" t="s">
        <v>118</v>
      </c>
      <c r="F45" s="292"/>
      <c r="G45" s="73"/>
      <c r="H45" s="155" t="s">
        <v>119</v>
      </c>
      <c r="I45" s="497">
        <f>E18*I41</f>
        <v>2968.028628</v>
      </c>
      <c r="J45" s="69"/>
      <c r="K45" s="69"/>
      <c r="O45" s="69"/>
      <c r="P45" s="289"/>
    </row>
    <row r="46" spans="2:16" ht="21.75" thickTop="1">
      <c r="B46" s="279"/>
      <c r="C46" s="80"/>
      <c r="F46" s="293"/>
      <c r="G46" s="45"/>
      <c r="I46" s="69"/>
      <c r="J46" s="69"/>
      <c r="K46" s="69"/>
      <c r="O46" s="69"/>
      <c r="P46" s="289"/>
    </row>
    <row r="47" spans="2:16" ht="15">
      <c r="B47" s="279"/>
      <c r="C47" s="68" t="s">
        <v>120</v>
      </c>
      <c r="E47" s="69"/>
      <c r="F47" s="69"/>
      <c r="G47" s="69"/>
      <c r="H47" s="69"/>
      <c r="I47" s="77"/>
      <c r="J47" s="77"/>
      <c r="K47" s="77"/>
      <c r="L47" s="77"/>
      <c r="M47" s="77"/>
      <c r="N47" s="78"/>
      <c r="O47" s="79"/>
      <c r="P47" s="289"/>
    </row>
    <row r="48" spans="2:16" ht="15">
      <c r="B48" s="279"/>
      <c r="C48" s="80"/>
      <c r="D48" s="75" t="s">
        <v>121</v>
      </c>
      <c r="E48" s="294">
        <f>10*I26*I45/I41</f>
        <v>1519.0675</v>
      </c>
      <c r="F48" s="498"/>
      <c r="H48" s="69"/>
      <c r="I48" s="77"/>
      <c r="J48" s="77"/>
      <c r="K48" s="77"/>
      <c r="L48" s="77"/>
      <c r="M48" s="77"/>
      <c r="N48" s="78"/>
      <c r="O48" s="79"/>
      <c r="P48" s="289"/>
    </row>
    <row r="49" spans="2:16" ht="15">
      <c r="B49" s="279"/>
      <c r="C49" s="80"/>
      <c r="D49" s="69"/>
      <c r="E49" s="69"/>
      <c r="J49" s="77"/>
      <c r="K49" s="77"/>
      <c r="L49" s="77"/>
      <c r="M49" s="77"/>
      <c r="N49" s="78"/>
      <c r="O49" s="79"/>
      <c r="P49" s="289"/>
    </row>
    <row r="50" spans="2:16" ht="15">
      <c r="B50" s="279"/>
      <c r="C50" s="80"/>
      <c r="D50" s="69" t="s">
        <v>122</v>
      </c>
      <c r="E50" s="69"/>
      <c r="F50" s="69"/>
      <c r="G50" s="69"/>
      <c r="H50" s="69"/>
      <c r="M50" s="77"/>
      <c r="N50" s="78"/>
      <c r="O50" s="79"/>
      <c r="P50" s="289"/>
    </row>
    <row r="51" spans="2:16" ht="15.75" thickBot="1">
      <c r="B51" s="279"/>
      <c r="C51" s="80"/>
      <c r="D51" s="69"/>
      <c r="E51" s="69"/>
      <c r="F51" s="69"/>
      <c r="G51" s="69"/>
      <c r="H51" s="69"/>
      <c r="M51" s="77"/>
      <c r="N51" s="78"/>
      <c r="O51" s="79"/>
      <c r="P51" s="289"/>
    </row>
    <row r="52" spans="2:16" ht="20.25" thickBot="1" thickTop="1">
      <c r="B52" s="279"/>
      <c r="C52" s="80"/>
      <c r="D52" s="76"/>
      <c r="E52" s="76"/>
      <c r="F52" s="82"/>
      <c r="G52" s="77"/>
      <c r="H52" s="237" t="s">
        <v>123</v>
      </c>
      <c r="I52" s="499">
        <f>IF($E$48&gt;3*I45,3*I45,$E$48)</f>
        <v>1519.0675</v>
      </c>
      <c r="J52" s="77"/>
      <c r="K52" s="77"/>
      <c r="L52" s="77"/>
      <c r="M52" s="77"/>
      <c r="N52" s="78"/>
      <c r="O52" s="79"/>
      <c r="P52" s="289"/>
    </row>
    <row r="53" spans="2:16" ht="16.5" thickBot="1" thickTop="1">
      <c r="B53" s="295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7"/>
    </row>
    <row r="54" spans="2:16" ht="13.5" thickTop="1">
      <c r="B54" s="1"/>
      <c r="P54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3" ht="12" customHeight="1"/>
    <row r="99" ht="12.75">
      <c r="B99" s="1"/>
    </row>
    <row r="105" ht="12.75">
      <c r="A105" s="1"/>
    </row>
  </sheetData>
  <printOptions/>
  <pageMargins left="0.28" right="0.1968503937007874" top="0.5" bottom="0.7874015748031497" header="0.36" footer="0.5118110236220472"/>
  <pageSetup fitToHeight="1" fitToWidth="1" orientation="landscape" paperSize="9" scale="56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T57"/>
  <sheetViews>
    <sheetView zoomScale="75" zoomScaleNormal="75" workbookViewId="0" topLeftCell="B1">
      <selection activeCell="P56" sqref="P56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5.7109375" style="0" customWidth="1"/>
    <col min="4" max="4" width="50.28125" style="0" customWidth="1"/>
    <col min="5" max="5" width="7.7109375" style="0" customWidth="1"/>
    <col min="6" max="6" width="12.7109375" style="0" customWidth="1"/>
    <col min="7" max="19" width="10.7109375" style="0" customWidth="1"/>
    <col min="20" max="20" width="15.7109375" style="0" customWidth="1"/>
  </cols>
  <sheetData>
    <row r="1" ht="38.25" customHeight="1">
      <c r="T1" s="416"/>
    </row>
    <row r="2" spans="2:20" s="743" customFormat="1" ht="30.75">
      <c r="B2" s="110" t="str">
        <f>'TOT-0511'!B2</f>
        <v>ANEXO V al Memorandum  D.T.E.E.  N°482  / 2012</v>
      </c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</row>
    <row r="3" spans="1:2" ht="12.75" customHeight="1">
      <c r="A3" s="745" t="s">
        <v>21</v>
      </c>
      <c r="B3" s="746"/>
    </row>
    <row r="4" spans="1:4" ht="12.75" customHeight="1">
      <c r="A4" s="745" t="s">
        <v>22</v>
      </c>
      <c r="B4" s="746"/>
      <c r="D4" s="747"/>
    </row>
    <row r="5" spans="1:4" ht="21.75" customHeight="1">
      <c r="A5" s="748"/>
      <c r="D5" s="747"/>
    </row>
    <row r="6" spans="1:20" ht="26.25">
      <c r="A6" s="748"/>
      <c r="B6" s="749" t="s">
        <v>183</v>
      </c>
      <c r="C6" s="85"/>
      <c r="D6" s="747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4" ht="18.75" customHeight="1">
      <c r="A7" s="748"/>
      <c r="D7" s="747"/>
    </row>
    <row r="8" spans="1:20" ht="26.25">
      <c r="A8" s="748"/>
      <c r="B8" s="750" t="s">
        <v>1</v>
      </c>
      <c r="C8" s="85"/>
      <c r="D8" s="747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</row>
    <row r="9" spans="1:4" ht="18.75" customHeight="1">
      <c r="A9" s="748"/>
      <c r="D9" s="747"/>
    </row>
    <row r="10" spans="1:20" ht="26.25">
      <c r="A10" s="748"/>
      <c r="B10" s="750" t="s">
        <v>184</v>
      </c>
      <c r="C10" s="85"/>
      <c r="D10" s="747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</row>
    <row r="11" ht="18.75" customHeight="1" thickBot="1"/>
    <row r="12" spans="2:20" ht="18.75" customHeight="1" thickTop="1">
      <c r="B12" s="751"/>
      <c r="C12" s="752"/>
      <c r="D12" s="753"/>
      <c r="E12" s="753"/>
      <c r="F12" s="753"/>
      <c r="G12" s="752"/>
      <c r="H12" s="752"/>
      <c r="I12" s="752"/>
      <c r="J12" s="752"/>
      <c r="K12" s="752"/>
      <c r="L12" s="752"/>
      <c r="M12" s="752"/>
      <c r="N12" s="752"/>
      <c r="O12" s="752"/>
      <c r="P12" s="752"/>
      <c r="Q12" s="752"/>
      <c r="R12" s="752"/>
      <c r="S12" s="752"/>
      <c r="T12" s="754"/>
    </row>
    <row r="13" spans="2:20" ht="19.5">
      <c r="B13" s="238" t="s">
        <v>185</v>
      </c>
      <c r="C13" s="85"/>
      <c r="D13" s="755"/>
      <c r="E13" s="755"/>
      <c r="F13" s="755"/>
      <c r="G13" s="756"/>
      <c r="H13" s="756"/>
      <c r="I13" s="756"/>
      <c r="J13" s="756"/>
      <c r="K13" s="756"/>
      <c r="L13" s="756"/>
      <c r="M13" s="756"/>
      <c r="N13" s="756"/>
      <c r="O13" s="756"/>
      <c r="P13" s="756"/>
      <c r="Q13" s="756"/>
      <c r="R13" s="756"/>
      <c r="S13" s="756"/>
      <c r="T13" s="757"/>
    </row>
    <row r="14" spans="2:20" ht="18.75" customHeight="1" thickBot="1">
      <c r="B14" s="2"/>
      <c r="C14" s="758"/>
      <c r="D14" s="759"/>
      <c r="E14" s="759"/>
      <c r="F14" s="76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"/>
    </row>
    <row r="15" spans="1:20" s="768" customFormat="1" ht="34.5" customHeight="1" thickBot="1" thickTop="1">
      <c r="A15" s="746"/>
      <c r="B15" s="761"/>
      <c r="C15" s="762"/>
      <c r="D15" s="763" t="s">
        <v>24</v>
      </c>
      <c r="E15" s="764" t="s">
        <v>53</v>
      </c>
      <c r="F15" s="765" t="s">
        <v>54</v>
      </c>
      <c r="G15" s="766">
        <v>40299</v>
      </c>
      <c r="H15" s="766">
        <v>40330</v>
      </c>
      <c r="I15" s="766">
        <v>40360</v>
      </c>
      <c r="J15" s="766">
        <v>40391</v>
      </c>
      <c r="K15" s="766">
        <v>40422</v>
      </c>
      <c r="L15" s="766">
        <v>40452</v>
      </c>
      <c r="M15" s="766">
        <v>40483</v>
      </c>
      <c r="N15" s="766">
        <v>40513</v>
      </c>
      <c r="O15" s="766">
        <v>40544</v>
      </c>
      <c r="P15" s="766">
        <v>40575</v>
      </c>
      <c r="Q15" s="766">
        <v>40603</v>
      </c>
      <c r="R15" s="766">
        <v>40634</v>
      </c>
      <c r="S15" s="766">
        <v>40664</v>
      </c>
      <c r="T15" s="767"/>
    </row>
    <row r="16" spans="2:20" ht="15" customHeight="1" thickTop="1">
      <c r="B16" s="2"/>
      <c r="C16" s="769"/>
      <c r="D16" s="770"/>
      <c r="E16" s="770"/>
      <c r="F16" s="771"/>
      <c r="G16" s="772"/>
      <c r="H16" s="772"/>
      <c r="I16" s="772"/>
      <c r="J16" s="772"/>
      <c r="K16" s="772"/>
      <c r="L16" s="772"/>
      <c r="M16" s="772"/>
      <c r="N16" s="772"/>
      <c r="O16" s="772"/>
      <c r="P16" s="772"/>
      <c r="Q16" s="772"/>
      <c r="R16" s="772"/>
      <c r="S16" s="773"/>
      <c r="T16" s="3"/>
    </row>
    <row r="17" spans="2:20" ht="15" customHeight="1" hidden="1">
      <c r="B17" s="2"/>
      <c r="C17" s="774">
        <f>IF('[1]Tasa de Falla'!C17=0,"",'[1]Tasa de Falla'!C17)</f>
        <v>1</v>
      </c>
      <c r="D17" s="775" t="str">
        <f>IF('[1]Tasa de Falla'!D17=0,"",'[1]Tasa de Falla'!D17)</f>
        <v>AMEGHINO - COMODORO RIVADAVIA</v>
      </c>
      <c r="E17" s="775">
        <f>IF('[1]Tasa de Falla'!E17=0,"",'[1]Tasa de Falla'!E17)</f>
        <v>132</v>
      </c>
      <c r="F17" s="776">
        <f>IF('[1]Tasa de Falla'!F17=0,"",'[1]Tasa de Falla'!F17)</f>
        <v>305</v>
      </c>
      <c r="G17" s="777" t="str">
        <f>IF('[1]Tasa de Falla'!DC17=0,"",'[1]Tasa de Falla'!DC17)</f>
        <v>XXXX</v>
      </c>
      <c r="H17" s="777" t="str">
        <f>IF('[1]Tasa de Falla'!DD17=0,"",'[1]Tasa de Falla'!DD17)</f>
        <v>XXXX</v>
      </c>
      <c r="I17" s="777" t="str">
        <f>IF('[1]Tasa de Falla'!DE17=0,"",'[1]Tasa de Falla'!DE17)</f>
        <v>XXXX</v>
      </c>
      <c r="J17" s="777" t="str">
        <f>IF('[1]Tasa de Falla'!DF17=0,"",'[1]Tasa de Falla'!DF17)</f>
        <v>XXXX</v>
      </c>
      <c r="K17" s="777" t="str">
        <f>IF('[1]Tasa de Falla'!DG17=0,"",'[1]Tasa de Falla'!DG17)</f>
        <v>XXXX</v>
      </c>
      <c r="L17" s="777" t="str">
        <f>IF('[1]Tasa de Falla'!DH17=0,"",'[1]Tasa de Falla'!DH17)</f>
        <v>XXXX</v>
      </c>
      <c r="M17" s="777" t="str">
        <f>IF('[1]Tasa de Falla'!DI17=0,"",'[1]Tasa de Falla'!DI17)</f>
        <v>XXXX</v>
      </c>
      <c r="N17" s="777" t="str">
        <f>IF('[1]Tasa de Falla'!DJ17=0,"",'[1]Tasa de Falla'!DJ17)</f>
        <v>XXXX</v>
      </c>
      <c r="O17" s="777" t="str">
        <f>IF('[1]Tasa de Falla'!DK17=0,"",'[1]Tasa de Falla'!DK17)</f>
        <v>XXXX</v>
      </c>
      <c r="P17" s="777" t="str">
        <f>IF('[1]Tasa de Falla'!DL17=0,"",'[1]Tasa de Falla'!DL17)</f>
        <v>XXXX</v>
      </c>
      <c r="Q17" s="777" t="str">
        <f>IF('[1]Tasa de Falla'!DM17=0,"",'[1]Tasa de Falla'!DM17)</f>
        <v>XXXX</v>
      </c>
      <c r="R17" s="777" t="str">
        <f>IF('[1]Tasa de Falla'!DN17=0,"",'[1]Tasa de Falla'!DN17)</f>
        <v>XXXX</v>
      </c>
      <c r="S17" s="778"/>
      <c r="T17" s="3"/>
    </row>
    <row r="18" spans="2:20" ht="18" customHeight="1">
      <c r="B18" s="2"/>
      <c r="C18" s="779">
        <f>IF('[1]Tasa de Falla'!C18=0,"",'[1]Tasa de Falla'!C18)</f>
        <v>2</v>
      </c>
      <c r="D18" s="810" t="str">
        <f>IF('[1]Tasa de Falla'!D18=0,"",'[1]Tasa de Falla'!D18)</f>
        <v>AMEGHINO - ESTACION PATAGONIA</v>
      </c>
      <c r="E18" s="810">
        <f>IF('[1]Tasa de Falla'!E18=0,"",'[1]Tasa de Falla'!E18)</f>
        <v>132</v>
      </c>
      <c r="F18" s="811">
        <f>IF('[1]Tasa de Falla'!F18=0,"",'[1]Tasa de Falla'!F18)</f>
        <v>299.6</v>
      </c>
      <c r="G18" s="777">
        <f>IF('[1]Tasa de Falla'!GK18=0,"",'[1]Tasa de Falla'!GK18)</f>
      </c>
      <c r="H18" s="777">
        <f>IF('[1]Tasa de Falla'!GL18=0,"",'[1]Tasa de Falla'!GL18)</f>
      </c>
      <c r="I18" s="777">
        <f>IF('[1]Tasa de Falla'!GM18=0,"",'[1]Tasa de Falla'!GM18)</f>
        <v>3</v>
      </c>
      <c r="J18" s="777">
        <f>IF('[1]Tasa de Falla'!GN18=0,"",'[1]Tasa de Falla'!GN18)</f>
      </c>
      <c r="K18" s="777">
        <f>IF('[1]Tasa de Falla'!GO18=0,"",'[1]Tasa de Falla'!GO18)</f>
      </c>
      <c r="L18" s="777">
        <f>IF('[1]Tasa de Falla'!GP18=0,"",'[1]Tasa de Falla'!GP18)</f>
      </c>
      <c r="M18" s="777">
        <f>IF('[1]Tasa de Falla'!GQ18=0,"",'[1]Tasa de Falla'!GQ18)</f>
        <v>1</v>
      </c>
      <c r="N18" s="777">
        <f>IF('[1]Tasa de Falla'!GR18=0,"",'[1]Tasa de Falla'!GR18)</f>
        <v>1</v>
      </c>
      <c r="O18" s="777">
        <f>IF('[1]Tasa de Falla'!GS18=0,"",'[1]Tasa de Falla'!GS18)</f>
      </c>
      <c r="P18" s="777">
        <f>IF('[1]Tasa de Falla'!GT18=0,"",'[1]Tasa de Falla'!GT18)</f>
      </c>
      <c r="Q18" s="777">
        <f>IF('[1]Tasa de Falla'!GU18=0,"",'[1]Tasa de Falla'!GU18)</f>
      </c>
      <c r="R18" s="777">
        <f>IF('[1]Tasa de Falla'!GV18=0,"",'[1]Tasa de Falla'!GV18)</f>
      </c>
      <c r="S18" s="778"/>
      <c r="T18" s="3"/>
    </row>
    <row r="19" spans="2:20" ht="15" customHeight="1">
      <c r="B19" s="2"/>
      <c r="C19" s="812">
        <f>IF('[1]Tasa de Falla'!C19=0,"",'[1]Tasa de Falla'!C19)</f>
        <v>3</v>
      </c>
      <c r="D19" s="813" t="str">
        <f>IF('[1]Tasa de Falla'!D19=0,"",'[1]Tasa de Falla'!D19)</f>
        <v>AMEGHINO - TRELEW</v>
      </c>
      <c r="E19" s="813">
        <f>IF('[1]Tasa de Falla'!E19=0,"",'[1]Tasa de Falla'!E19)</f>
        <v>132</v>
      </c>
      <c r="F19" s="814">
        <f>IF('[1]Tasa de Falla'!F19=0,"",'[1]Tasa de Falla'!F19)</f>
        <v>112</v>
      </c>
      <c r="G19" s="777">
        <f>IF('[1]Tasa de Falla'!GK19=0,"",'[1]Tasa de Falla'!GK19)</f>
      </c>
      <c r="H19" s="777">
        <f>IF('[1]Tasa de Falla'!GL19=0,"",'[1]Tasa de Falla'!GL19)</f>
      </c>
      <c r="I19" s="777">
        <f>IF('[1]Tasa de Falla'!GM19=0,"",'[1]Tasa de Falla'!GM19)</f>
      </c>
      <c r="J19" s="777">
        <f>IF('[1]Tasa de Falla'!GN19=0,"",'[1]Tasa de Falla'!GN19)</f>
      </c>
      <c r="K19" s="777">
        <f>IF('[1]Tasa de Falla'!GO19=0,"",'[1]Tasa de Falla'!GO19)</f>
      </c>
      <c r="L19" s="777">
        <f>IF('[1]Tasa de Falla'!GP19=0,"",'[1]Tasa de Falla'!GP19)</f>
      </c>
      <c r="M19" s="777">
        <f>IF('[1]Tasa de Falla'!GQ19=0,"",'[1]Tasa de Falla'!GQ19)</f>
      </c>
      <c r="N19" s="777">
        <f>IF('[1]Tasa de Falla'!GR19=0,"",'[1]Tasa de Falla'!GR19)</f>
      </c>
      <c r="O19" s="777">
        <f>IF('[1]Tasa de Falla'!GS19=0,"",'[1]Tasa de Falla'!GS19)</f>
      </c>
      <c r="P19" s="777">
        <f>IF('[1]Tasa de Falla'!GT19=0,"",'[1]Tasa de Falla'!GT19)</f>
      </c>
      <c r="Q19" s="777">
        <f>IF('[1]Tasa de Falla'!GU19=0,"",'[1]Tasa de Falla'!GU19)</f>
      </c>
      <c r="R19" s="777">
        <f>IF('[1]Tasa de Falla'!GV19=0,"",'[1]Tasa de Falla'!GV19)</f>
      </c>
      <c r="S19" s="778"/>
      <c r="T19" s="3"/>
    </row>
    <row r="20" spans="2:20" ht="15" customHeight="1">
      <c r="B20" s="2"/>
      <c r="C20" s="779">
        <f>IF('[1]Tasa de Falla'!C20=0,"",'[1]Tasa de Falla'!C20)</f>
        <v>4</v>
      </c>
      <c r="D20" s="810" t="str">
        <f>IF('[1]Tasa de Falla'!D20=0,"",'[1]Tasa de Falla'!D20)</f>
        <v>FUTALEUFU - ESQUEL</v>
      </c>
      <c r="E20" s="810">
        <f>IF('[1]Tasa de Falla'!E20=0,"",'[1]Tasa de Falla'!E20)</f>
        <v>132</v>
      </c>
      <c r="F20" s="811">
        <f>IF('[1]Tasa de Falla'!F20=0,"",'[1]Tasa de Falla'!F20)</f>
        <v>28.41</v>
      </c>
      <c r="G20" s="777">
        <f>IF('[1]Tasa de Falla'!GK20=0,"",'[1]Tasa de Falla'!GK20)</f>
      </c>
      <c r="H20" s="777">
        <f>IF('[1]Tasa de Falla'!GL20=0,"",'[1]Tasa de Falla'!GL20)</f>
      </c>
      <c r="I20" s="777">
        <f>IF('[1]Tasa de Falla'!GM20=0,"",'[1]Tasa de Falla'!GM20)</f>
      </c>
      <c r="J20" s="777">
        <f>IF('[1]Tasa de Falla'!GN20=0,"",'[1]Tasa de Falla'!GN20)</f>
      </c>
      <c r="K20" s="777">
        <f>IF('[1]Tasa de Falla'!GO20=0,"",'[1]Tasa de Falla'!GO20)</f>
      </c>
      <c r="L20" s="777">
        <f>IF('[1]Tasa de Falla'!GP20=0,"",'[1]Tasa de Falla'!GP20)</f>
      </c>
      <c r="M20" s="777">
        <f>IF('[1]Tasa de Falla'!GQ20=0,"",'[1]Tasa de Falla'!GQ20)</f>
      </c>
      <c r="N20" s="777">
        <f>IF('[1]Tasa de Falla'!GR20=0,"",'[1]Tasa de Falla'!GR20)</f>
      </c>
      <c r="O20" s="777">
        <f>IF('[1]Tasa de Falla'!GS20=0,"",'[1]Tasa de Falla'!GS20)</f>
      </c>
      <c r="P20" s="777">
        <f>IF('[1]Tasa de Falla'!GT20=0,"",'[1]Tasa de Falla'!GT20)</f>
      </c>
      <c r="Q20" s="777">
        <f>IF('[1]Tasa de Falla'!GU20=0,"",'[1]Tasa de Falla'!GU20)</f>
      </c>
      <c r="R20" s="777">
        <f>IF('[1]Tasa de Falla'!GV20=0,"",'[1]Tasa de Falla'!GV20)</f>
      </c>
      <c r="S20" s="778"/>
      <c r="T20" s="3"/>
    </row>
    <row r="21" spans="2:20" ht="15" customHeight="1">
      <c r="B21" s="2"/>
      <c r="C21" s="812">
        <f>IF('[1]Tasa de Falla'!C21=0,"",'[1]Tasa de Falla'!C21)</f>
        <v>5</v>
      </c>
      <c r="D21" s="813" t="str">
        <f>IF('[1]Tasa de Falla'!D21=0,"",'[1]Tasa de Falla'!D21)</f>
        <v>BARRIO SAN MARTIN - ESTACION PATAGONIA</v>
      </c>
      <c r="E21" s="813">
        <f>IF('[1]Tasa de Falla'!E21=0,"",'[1]Tasa de Falla'!E21)</f>
        <v>132</v>
      </c>
      <c r="F21" s="814">
        <f>IF('[1]Tasa de Falla'!F21=0,"",'[1]Tasa de Falla'!F21)</f>
        <v>9.43</v>
      </c>
      <c r="G21" s="777">
        <f>IF('[1]Tasa de Falla'!GK21=0,"",'[1]Tasa de Falla'!GK21)</f>
      </c>
      <c r="H21" s="777">
        <f>IF('[1]Tasa de Falla'!GL21=0,"",'[1]Tasa de Falla'!GL21)</f>
      </c>
      <c r="I21" s="777">
        <f>IF('[1]Tasa de Falla'!GM21=0,"",'[1]Tasa de Falla'!GM21)</f>
      </c>
      <c r="J21" s="777">
        <f>IF('[1]Tasa de Falla'!GN21=0,"",'[1]Tasa de Falla'!GN21)</f>
      </c>
      <c r="K21" s="777">
        <f>IF('[1]Tasa de Falla'!GO21=0,"",'[1]Tasa de Falla'!GO21)</f>
      </c>
      <c r="L21" s="777">
        <f>IF('[1]Tasa de Falla'!GP21=0,"",'[1]Tasa de Falla'!GP21)</f>
      </c>
      <c r="M21" s="777">
        <f>IF('[1]Tasa de Falla'!GQ21=0,"",'[1]Tasa de Falla'!GQ21)</f>
      </c>
      <c r="N21" s="777">
        <f>IF('[1]Tasa de Falla'!GR21=0,"",'[1]Tasa de Falla'!GR21)</f>
      </c>
      <c r="O21" s="777">
        <f>IF('[1]Tasa de Falla'!GS21=0,"",'[1]Tasa de Falla'!GS21)</f>
      </c>
      <c r="P21" s="777">
        <f>IF('[1]Tasa de Falla'!GT21=0,"",'[1]Tasa de Falla'!GT21)</f>
      </c>
      <c r="Q21" s="777">
        <f>IF('[1]Tasa de Falla'!GU21=0,"",'[1]Tasa de Falla'!GU21)</f>
      </c>
      <c r="R21" s="777">
        <f>IF('[1]Tasa de Falla'!GV21=0,"",'[1]Tasa de Falla'!GV21)</f>
      </c>
      <c r="S21" s="778"/>
      <c r="T21" s="3"/>
    </row>
    <row r="22" spans="2:20" ht="15" customHeight="1">
      <c r="B22" s="2"/>
      <c r="C22" s="779">
        <f>IF('[1]Tasa de Falla'!C22=0,"",'[1]Tasa de Falla'!C22)</f>
        <v>6</v>
      </c>
      <c r="D22" s="810" t="str">
        <f>IF('[1]Tasa de Falla'!D22=0,"",'[1]Tasa de Falla'!D22)</f>
        <v>COMODORO RIVADAVIA - E.T. A1</v>
      </c>
      <c r="E22" s="810">
        <f>IF('[1]Tasa de Falla'!E22=0,"",'[1]Tasa de Falla'!E22)</f>
        <v>132</v>
      </c>
      <c r="F22" s="811">
        <f>IF('[1]Tasa de Falla'!F22=0,"",'[1]Tasa de Falla'!F22)</f>
        <v>0.5</v>
      </c>
      <c r="G22" s="777">
        <f>IF('[1]Tasa de Falla'!GK22=0,"",'[1]Tasa de Falla'!GK22)</f>
      </c>
      <c r="H22" s="777">
        <f>IF('[1]Tasa de Falla'!GL22=0,"",'[1]Tasa de Falla'!GL22)</f>
      </c>
      <c r="I22" s="777">
        <f>IF('[1]Tasa de Falla'!GM22=0,"",'[1]Tasa de Falla'!GM22)</f>
      </c>
      <c r="J22" s="777">
        <f>IF('[1]Tasa de Falla'!GN22=0,"",'[1]Tasa de Falla'!GN22)</f>
      </c>
      <c r="K22" s="777">
        <f>IF('[1]Tasa de Falla'!GO22=0,"",'[1]Tasa de Falla'!GO22)</f>
      </c>
      <c r="L22" s="777">
        <f>IF('[1]Tasa de Falla'!GP22=0,"",'[1]Tasa de Falla'!GP22)</f>
      </c>
      <c r="M22" s="777">
        <f>IF('[1]Tasa de Falla'!GQ22=0,"",'[1]Tasa de Falla'!GQ22)</f>
      </c>
      <c r="N22" s="777">
        <f>IF('[1]Tasa de Falla'!GR22=0,"",'[1]Tasa de Falla'!GR22)</f>
      </c>
      <c r="O22" s="777">
        <f>IF('[1]Tasa de Falla'!GS22=0,"",'[1]Tasa de Falla'!GS22)</f>
      </c>
      <c r="P22" s="777">
        <f>IF('[1]Tasa de Falla'!GT22=0,"",'[1]Tasa de Falla'!GT22)</f>
      </c>
      <c r="Q22" s="777">
        <f>IF('[1]Tasa de Falla'!GU22=0,"",'[1]Tasa de Falla'!GU22)</f>
      </c>
      <c r="R22" s="777">
        <f>IF('[1]Tasa de Falla'!GV22=0,"",'[1]Tasa de Falla'!GV22)</f>
      </c>
      <c r="S22" s="778"/>
      <c r="T22" s="3"/>
    </row>
    <row r="23" spans="2:20" ht="15" customHeight="1">
      <c r="B23" s="2"/>
      <c r="C23" s="812">
        <f>IF('[1]Tasa de Falla'!C23=0,"",'[1]Tasa de Falla'!C23)</f>
        <v>7</v>
      </c>
      <c r="D23" s="813" t="str">
        <f>IF('[1]Tasa de Falla'!D23=0,"",'[1]Tasa de Falla'!D23)</f>
        <v>COMODORO RIVADAVIA (A1) - ESTACION PATAGONIA</v>
      </c>
      <c r="E23" s="813">
        <f>IF('[1]Tasa de Falla'!E23=0,"",'[1]Tasa de Falla'!E23)</f>
        <v>132</v>
      </c>
      <c r="F23" s="814">
        <f>IF('[1]Tasa de Falla'!F23=0,"",'[1]Tasa de Falla'!F23)</f>
        <v>6.9</v>
      </c>
      <c r="G23" s="777">
        <f>IF('[1]Tasa de Falla'!GK23=0,"",'[1]Tasa de Falla'!GK23)</f>
      </c>
      <c r="H23" s="777">
        <f>IF('[1]Tasa de Falla'!GL23=0,"",'[1]Tasa de Falla'!GL23)</f>
      </c>
      <c r="I23" s="777">
        <f>IF('[1]Tasa de Falla'!GM23=0,"",'[1]Tasa de Falla'!GM23)</f>
      </c>
      <c r="J23" s="777">
        <f>IF('[1]Tasa de Falla'!GN23=0,"",'[1]Tasa de Falla'!GN23)</f>
      </c>
      <c r="K23" s="777">
        <f>IF('[1]Tasa de Falla'!GO23=0,"",'[1]Tasa de Falla'!GO23)</f>
      </c>
      <c r="L23" s="777">
        <f>IF('[1]Tasa de Falla'!GP23=0,"",'[1]Tasa de Falla'!GP23)</f>
      </c>
      <c r="M23" s="777">
        <f>IF('[1]Tasa de Falla'!GQ23=0,"",'[1]Tasa de Falla'!GQ23)</f>
      </c>
      <c r="N23" s="777">
        <f>IF('[1]Tasa de Falla'!GR23=0,"",'[1]Tasa de Falla'!GR23)</f>
      </c>
      <c r="O23" s="777">
        <f>IF('[1]Tasa de Falla'!GS23=0,"",'[1]Tasa de Falla'!GS23)</f>
      </c>
      <c r="P23" s="777">
        <f>IF('[1]Tasa de Falla'!GT23=0,"",'[1]Tasa de Falla'!GT23)</f>
      </c>
      <c r="Q23" s="777">
        <f>IF('[1]Tasa de Falla'!GU23=0,"",'[1]Tasa de Falla'!GU23)</f>
      </c>
      <c r="R23" s="777">
        <f>IF('[1]Tasa de Falla'!GV23=0,"",'[1]Tasa de Falla'!GV23)</f>
      </c>
      <c r="S23" s="778"/>
      <c r="T23" s="3"/>
    </row>
    <row r="24" spans="2:20" ht="15" customHeight="1">
      <c r="B24" s="2"/>
      <c r="C24" s="779">
        <f>IF('[1]Tasa de Falla'!C24=0,"",'[1]Tasa de Falla'!C24)</f>
        <v>8</v>
      </c>
      <c r="D24" s="810" t="str">
        <f>IF('[1]Tasa de Falla'!D24=0,"",'[1]Tasa de Falla'!D24)</f>
        <v>COMODORO RIVADAVIA - PICO TRUNCADO</v>
      </c>
      <c r="E24" s="810">
        <f>IF('[1]Tasa de Falla'!E24=0,"",'[1]Tasa de Falla'!E24)</f>
        <v>132</v>
      </c>
      <c r="F24" s="811">
        <f>IF('[1]Tasa de Falla'!F24=0,"",'[1]Tasa de Falla'!F24)</f>
        <v>138</v>
      </c>
      <c r="G24" s="777">
        <f>IF('[1]Tasa de Falla'!GK24=0,"",'[1]Tasa de Falla'!GK24)</f>
      </c>
      <c r="H24" s="777">
        <f>IF('[1]Tasa de Falla'!GL24=0,"",'[1]Tasa de Falla'!GL24)</f>
      </c>
      <c r="I24" s="777">
        <f>IF('[1]Tasa de Falla'!GM24=0,"",'[1]Tasa de Falla'!GM24)</f>
      </c>
      <c r="J24" s="777">
        <f>IF('[1]Tasa de Falla'!GN24=0,"",'[1]Tasa de Falla'!GN24)</f>
      </c>
      <c r="K24" s="777">
        <f>IF('[1]Tasa de Falla'!GO24=0,"",'[1]Tasa de Falla'!GO24)</f>
      </c>
      <c r="L24" s="777">
        <f>IF('[1]Tasa de Falla'!GP24=0,"",'[1]Tasa de Falla'!GP24)</f>
      </c>
      <c r="M24" s="777">
        <f>IF('[1]Tasa de Falla'!GQ24=0,"",'[1]Tasa de Falla'!GQ24)</f>
      </c>
      <c r="N24" s="777">
        <f>IF('[1]Tasa de Falla'!GR24=0,"",'[1]Tasa de Falla'!GR24)</f>
        <v>1</v>
      </c>
      <c r="O24" s="777">
        <f>IF('[1]Tasa de Falla'!GS24=0,"",'[1]Tasa de Falla'!GS24)</f>
      </c>
      <c r="P24" s="777">
        <f>IF('[1]Tasa de Falla'!GT24=0,"",'[1]Tasa de Falla'!GT24)</f>
      </c>
      <c r="Q24" s="777">
        <f>IF('[1]Tasa de Falla'!GU24=0,"",'[1]Tasa de Falla'!GU24)</f>
      </c>
      <c r="R24" s="777">
        <f>IF('[1]Tasa de Falla'!GV24=0,"",'[1]Tasa de Falla'!GV24)</f>
      </c>
      <c r="S24" s="778"/>
      <c r="T24" s="3"/>
    </row>
    <row r="25" spans="2:20" ht="15" customHeight="1">
      <c r="B25" s="2"/>
      <c r="C25" s="812">
        <f>IF('[1]Tasa de Falla'!C25=0,"",'[1]Tasa de Falla'!C25)</f>
        <v>9</v>
      </c>
      <c r="D25" s="813" t="str">
        <f>IF('[1]Tasa de Falla'!D25=0,"",'[1]Tasa de Falla'!D25)</f>
        <v>FUTALEUFÚ - PUERTO MADRYN 1</v>
      </c>
      <c r="E25" s="813">
        <f>IF('[1]Tasa de Falla'!E25=0,"",'[1]Tasa de Falla'!E25)</f>
        <v>330</v>
      </c>
      <c r="F25" s="814">
        <f>IF('[1]Tasa de Falla'!F25=0,"",'[1]Tasa de Falla'!F25)</f>
        <v>550</v>
      </c>
      <c r="G25" s="777">
        <f>IF('[1]Tasa de Falla'!GK25=0,"",'[1]Tasa de Falla'!GK25)</f>
      </c>
      <c r="H25" s="777">
        <f>IF('[1]Tasa de Falla'!GL25=0,"",'[1]Tasa de Falla'!GL25)</f>
      </c>
      <c r="I25" s="777">
        <f>IF('[1]Tasa de Falla'!GM25=0,"",'[1]Tasa de Falla'!GM25)</f>
      </c>
      <c r="J25" s="777">
        <f>IF('[1]Tasa de Falla'!GN25=0,"",'[1]Tasa de Falla'!GN25)</f>
      </c>
      <c r="K25" s="777">
        <f>IF('[1]Tasa de Falla'!GO25=0,"",'[1]Tasa de Falla'!GO25)</f>
        <v>2</v>
      </c>
      <c r="L25" s="777">
        <f>IF('[1]Tasa de Falla'!GP25=0,"",'[1]Tasa de Falla'!GP25)</f>
      </c>
      <c r="M25" s="777">
        <f>IF('[1]Tasa de Falla'!GQ25=0,"",'[1]Tasa de Falla'!GQ25)</f>
      </c>
      <c r="N25" s="777">
        <f>IF('[1]Tasa de Falla'!GR25=0,"",'[1]Tasa de Falla'!GR25)</f>
      </c>
      <c r="O25" s="777">
        <f>IF('[1]Tasa de Falla'!GS25=0,"",'[1]Tasa de Falla'!GS25)</f>
      </c>
      <c r="P25" s="777">
        <f>IF('[1]Tasa de Falla'!GT25=0,"",'[1]Tasa de Falla'!GT25)</f>
      </c>
      <c r="Q25" s="777">
        <f>IF('[1]Tasa de Falla'!GU25=0,"",'[1]Tasa de Falla'!GU25)</f>
      </c>
      <c r="R25" s="777">
        <f>IF('[1]Tasa de Falla'!GV25=0,"",'[1]Tasa de Falla'!GV25)</f>
        <v>1</v>
      </c>
      <c r="S25" s="778"/>
      <c r="T25" s="3"/>
    </row>
    <row r="26" spans="2:20" ht="15" customHeight="1">
      <c r="B26" s="2"/>
      <c r="C26" s="779">
        <f>IF('[1]Tasa de Falla'!C26=0,"",'[1]Tasa de Falla'!C26)</f>
        <v>10</v>
      </c>
      <c r="D26" s="810" t="str">
        <f>IF('[1]Tasa de Falla'!D26=0,"",'[1]Tasa de Falla'!D26)</f>
        <v>FUTALEUFÚ - PUERTO MADRYN 2</v>
      </c>
      <c r="E26" s="810">
        <f>IF('[1]Tasa de Falla'!E26=0,"",'[1]Tasa de Falla'!E26)</f>
        <v>330</v>
      </c>
      <c r="F26" s="811">
        <f>IF('[1]Tasa de Falla'!F26=0,"",'[1]Tasa de Falla'!F26)</f>
        <v>550</v>
      </c>
      <c r="G26" s="777">
        <f>IF('[1]Tasa de Falla'!GK26=0,"",'[1]Tasa de Falla'!GK26)</f>
      </c>
      <c r="H26" s="777">
        <f>IF('[1]Tasa de Falla'!GL26=0,"",'[1]Tasa de Falla'!GL26)</f>
        <v>1</v>
      </c>
      <c r="I26" s="777">
        <f>IF('[1]Tasa de Falla'!GM26=0,"",'[1]Tasa de Falla'!GM26)</f>
      </c>
      <c r="J26" s="777">
        <f>IF('[1]Tasa de Falla'!GN26=0,"",'[1]Tasa de Falla'!GN26)</f>
      </c>
      <c r="K26" s="777">
        <f>IF('[1]Tasa de Falla'!GO26=0,"",'[1]Tasa de Falla'!GO26)</f>
      </c>
      <c r="L26" s="777">
        <f>IF('[1]Tasa de Falla'!GP26=0,"",'[1]Tasa de Falla'!GP26)</f>
      </c>
      <c r="M26" s="777">
        <f>IF('[1]Tasa de Falla'!GQ26=0,"",'[1]Tasa de Falla'!GQ26)</f>
      </c>
      <c r="N26" s="777">
        <f>IF('[1]Tasa de Falla'!GR26=0,"",'[1]Tasa de Falla'!GR26)</f>
        <v>1</v>
      </c>
      <c r="O26" s="777">
        <f>IF('[1]Tasa de Falla'!GS26=0,"",'[1]Tasa de Falla'!GS26)</f>
      </c>
      <c r="P26" s="777">
        <f>IF('[1]Tasa de Falla'!GT26=0,"",'[1]Tasa de Falla'!GT26)</f>
      </c>
      <c r="Q26" s="777">
        <f>IF('[1]Tasa de Falla'!GU26=0,"",'[1]Tasa de Falla'!GU26)</f>
      </c>
      <c r="R26" s="777">
        <f>IF('[1]Tasa de Falla'!GV26=0,"",'[1]Tasa de Falla'!GV26)</f>
      </c>
      <c r="S26" s="778"/>
      <c r="T26" s="3"/>
    </row>
    <row r="27" spans="2:20" ht="15" customHeight="1">
      <c r="B27" s="2"/>
      <c r="C27" s="812">
        <f>IF('[1]Tasa de Falla'!C27=0,"",'[1]Tasa de Falla'!C27)</f>
        <v>11</v>
      </c>
      <c r="D27" s="813" t="str">
        <f>IF('[1]Tasa de Falla'!D27=0,"",'[1]Tasa de Falla'!D27)</f>
        <v>PLANTA ALUMINIO APPA - PUERTO MADRYN 1</v>
      </c>
      <c r="E27" s="813">
        <f>IF('[1]Tasa de Falla'!E27=0,"",'[1]Tasa de Falla'!E27)</f>
        <v>330</v>
      </c>
      <c r="F27" s="814">
        <f>IF('[1]Tasa de Falla'!F27=0,"",'[1]Tasa de Falla'!F27)</f>
        <v>5.5</v>
      </c>
      <c r="G27" s="777">
        <f>IF('[1]Tasa de Falla'!GK27=0,"",'[1]Tasa de Falla'!GK27)</f>
      </c>
      <c r="H27" s="777">
        <f>IF('[1]Tasa de Falla'!GL27=0,"",'[1]Tasa de Falla'!GL27)</f>
      </c>
      <c r="I27" s="777">
        <f>IF('[1]Tasa de Falla'!GM27=0,"",'[1]Tasa de Falla'!GM27)</f>
      </c>
      <c r="J27" s="777">
        <f>IF('[1]Tasa de Falla'!GN27=0,"",'[1]Tasa de Falla'!GN27)</f>
      </c>
      <c r="K27" s="777">
        <f>IF('[1]Tasa de Falla'!GO27=0,"",'[1]Tasa de Falla'!GO27)</f>
      </c>
      <c r="L27" s="777">
        <f>IF('[1]Tasa de Falla'!GP27=0,"",'[1]Tasa de Falla'!GP27)</f>
      </c>
      <c r="M27" s="777">
        <f>IF('[1]Tasa de Falla'!GQ27=0,"",'[1]Tasa de Falla'!GQ27)</f>
      </c>
      <c r="N27" s="777">
        <f>IF('[1]Tasa de Falla'!GR27=0,"",'[1]Tasa de Falla'!GR27)</f>
      </c>
      <c r="O27" s="777">
        <f>IF('[1]Tasa de Falla'!GS27=0,"",'[1]Tasa de Falla'!GS27)</f>
      </c>
      <c r="P27" s="777">
        <f>IF('[1]Tasa de Falla'!GT27=0,"",'[1]Tasa de Falla'!GT27)</f>
      </c>
      <c r="Q27" s="777">
        <f>IF('[1]Tasa de Falla'!GU27=0,"",'[1]Tasa de Falla'!GU27)</f>
      </c>
      <c r="R27" s="777">
        <f>IF('[1]Tasa de Falla'!GV27=0,"",'[1]Tasa de Falla'!GV27)</f>
      </c>
      <c r="S27" s="778"/>
      <c r="T27" s="3"/>
    </row>
    <row r="28" spans="2:20" ht="15" customHeight="1">
      <c r="B28" s="2"/>
      <c r="C28" s="779">
        <f>IF('[1]Tasa de Falla'!C28=0,"",'[1]Tasa de Falla'!C28)</f>
        <v>12</v>
      </c>
      <c r="D28" s="810" t="str">
        <f>IF('[1]Tasa de Falla'!D28=0,"",'[1]Tasa de Falla'!D28)</f>
        <v>PLANTA ALUMINIO APPA - PUERTO MADRYN 2</v>
      </c>
      <c r="E28" s="810">
        <f>IF('[1]Tasa de Falla'!E28=0,"",'[1]Tasa de Falla'!E28)</f>
        <v>330</v>
      </c>
      <c r="F28" s="811">
        <f>IF('[1]Tasa de Falla'!F28=0,"",'[1]Tasa de Falla'!F28)</f>
        <v>5.5</v>
      </c>
      <c r="G28" s="777">
        <f>IF('[1]Tasa de Falla'!GK28=0,"",'[1]Tasa de Falla'!GK28)</f>
      </c>
      <c r="H28" s="777">
        <f>IF('[1]Tasa de Falla'!GL28=0,"",'[1]Tasa de Falla'!GL28)</f>
      </c>
      <c r="I28" s="777">
        <f>IF('[1]Tasa de Falla'!GM28=0,"",'[1]Tasa de Falla'!GM28)</f>
      </c>
      <c r="J28" s="777">
        <f>IF('[1]Tasa de Falla'!GN28=0,"",'[1]Tasa de Falla'!GN28)</f>
      </c>
      <c r="K28" s="777">
        <f>IF('[1]Tasa de Falla'!GO28=0,"",'[1]Tasa de Falla'!GO28)</f>
      </c>
      <c r="L28" s="777">
        <f>IF('[1]Tasa de Falla'!GP28=0,"",'[1]Tasa de Falla'!GP28)</f>
      </c>
      <c r="M28" s="777">
        <f>IF('[1]Tasa de Falla'!GQ28=0,"",'[1]Tasa de Falla'!GQ28)</f>
      </c>
      <c r="N28" s="777">
        <f>IF('[1]Tasa de Falla'!GR28=0,"",'[1]Tasa de Falla'!GR28)</f>
      </c>
      <c r="O28" s="777">
        <f>IF('[1]Tasa de Falla'!GS28=0,"",'[1]Tasa de Falla'!GS28)</f>
      </c>
      <c r="P28" s="777">
        <f>IF('[1]Tasa de Falla'!GT28=0,"",'[1]Tasa de Falla'!GT28)</f>
      </c>
      <c r="Q28" s="777">
        <f>IF('[1]Tasa de Falla'!GU28=0,"",'[1]Tasa de Falla'!GU28)</f>
      </c>
      <c r="R28" s="777">
        <f>IF('[1]Tasa de Falla'!GV28=0,"",'[1]Tasa de Falla'!GV28)</f>
      </c>
      <c r="S28" s="778"/>
      <c r="T28" s="3"/>
    </row>
    <row r="29" spans="2:20" ht="15" customHeight="1">
      <c r="B29" s="2"/>
      <c r="C29" s="812">
        <f>IF('[1]Tasa de Falla'!C29=0,"",'[1]Tasa de Falla'!C29)</f>
        <v>13</v>
      </c>
      <c r="D29" s="813" t="str">
        <f>IF('[1]Tasa de Falla'!D29=0,"",'[1]Tasa de Falla'!D29)</f>
        <v>PICO TRUNCADO I - PICO TRUNCADO II</v>
      </c>
      <c r="E29" s="813">
        <f>IF('[1]Tasa de Falla'!E29=0,"",'[1]Tasa de Falla'!E29)</f>
        <v>132</v>
      </c>
      <c r="F29" s="814">
        <f>IF('[1]Tasa de Falla'!F29=0,"",'[1]Tasa de Falla'!F29)</f>
        <v>13.4</v>
      </c>
      <c r="G29" s="777">
        <f>IF('[1]Tasa de Falla'!GK29=0,"",'[1]Tasa de Falla'!GK29)</f>
      </c>
      <c r="H29" s="777">
        <f>IF('[1]Tasa de Falla'!GL29=0,"",'[1]Tasa de Falla'!GL29)</f>
      </c>
      <c r="I29" s="777">
        <f>IF('[1]Tasa de Falla'!GM29=0,"",'[1]Tasa de Falla'!GM29)</f>
      </c>
      <c r="J29" s="777">
        <f>IF('[1]Tasa de Falla'!GN29=0,"",'[1]Tasa de Falla'!GN29)</f>
      </c>
      <c r="K29" s="777">
        <f>IF('[1]Tasa de Falla'!GO29=0,"",'[1]Tasa de Falla'!GO29)</f>
      </c>
      <c r="L29" s="777">
        <f>IF('[1]Tasa de Falla'!GP29=0,"",'[1]Tasa de Falla'!GP29)</f>
      </c>
      <c r="M29" s="777">
        <f>IF('[1]Tasa de Falla'!GQ29=0,"",'[1]Tasa de Falla'!GQ29)</f>
      </c>
      <c r="N29" s="777">
        <f>IF('[1]Tasa de Falla'!GR29=0,"",'[1]Tasa de Falla'!GR29)</f>
      </c>
      <c r="O29" s="777">
        <f>IF('[1]Tasa de Falla'!GS29=0,"",'[1]Tasa de Falla'!GS29)</f>
      </c>
      <c r="P29" s="777">
        <f>IF('[1]Tasa de Falla'!GT29=0,"",'[1]Tasa de Falla'!GT29)</f>
        <v>1</v>
      </c>
      <c r="Q29" s="777">
        <f>IF('[1]Tasa de Falla'!GU29=0,"",'[1]Tasa de Falla'!GU29)</f>
      </c>
      <c r="R29" s="777">
        <f>IF('[1]Tasa de Falla'!GV29=0,"",'[1]Tasa de Falla'!GV29)</f>
      </c>
      <c r="S29" s="778"/>
      <c r="T29" s="3"/>
    </row>
    <row r="30" spans="2:20" ht="15" customHeight="1">
      <c r="B30" s="2"/>
      <c r="C30" s="779">
        <f>IF('[1]Tasa de Falla'!C30=0,"",'[1]Tasa de Falla'!C30)</f>
        <v>14</v>
      </c>
      <c r="D30" s="810" t="str">
        <f>IF('[1]Tasa de Falla'!D30=0,"",'[1]Tasa de Falla'!D30)</f>
        <v>PLANTA ALUMINIO DGPA - PTO MADRYN</v>
      </c>
      <c r="E30" s="810">
        <f>IF('[1]Tasa de Falla'!E30=0,"",'[1]Tasa de Falla'!E30)</f>
        <v>132</v>
      </c>
      <c r="F30" s="811">
        <f>IF('[1]Tasa de Falla'!F30=0,"",'[1]Tasa de Falla'!F30)</f>
        <v>5.7</v>
      </c>
      <c r="G30" s="777">
        <f>IF('[1]Tasa de Falla'!GK30=0,"",'[1]Tasa de Falla'!GK30)</f>
      </c>
      <c r="H30" s="777">
        <f>IF('[1]Tasa de Falla'!GL30=0,"",'[1]Tasa de Falla'!GL30)</f>
      </c>
      <c r="I30" s="777">
        <f>IF('[1]Tasa de Falla'!GM30=0,"",'[1]Tasa de Falla'!GM30)</f>
      </c>
      <c r="J30" s="777">
        <f>IF('[1]Tasa de Falla'!GN30=0,"",'[1]Tasa de Falla'!GN30)</f>
      </c>
      <c r="K30" s="777">
        <f>IF('[1]Tasa de Falla'!GO30=0,"",'[1]Tasa de Falla'!GO30)</f>
      </c>
      <c r="L30" s="777">
        <f>IF('[1]Tasa de Falla'!GP30=0,"",'[1]Tasa de Falla'!GP30)</f>
      </c>
      <c r="M30" s="777">
        <f>IF('[1]Tasa de Falla'!GQ30=0,"",'[1]Tasa de Falla'!GQ30)</f>
      </c>
      <c r="N30" s="777">
        <f>IF('[1]Tasa de Falla'!GR30=0,"",'[1]Tasa de Falla'!GR30)</f>
      </c>
      <c r="O30" s="777">
        <f>IF('[1]Tasa de Falla'!GS30=0,"",'[1]Tasa de Falla'!GS30)</f>
      </c>
      <c r="P30" s="777">
        <f>IF('[1]Tasa de Falla'!GT30=0,"",'[1]Tasa de Falla'!GT30)</f>
      </c>
      <c r="Q30" s="777">
        <f>IF('[1]Tasa de Falla'!GU30=0,"",'[1]Tasa de Falla'!GU30)</f>
      </c>
      <c r="R30" s="777">
        <f>IF('[1]Tasa de Falla'!GV30=0,"",'[1]Tasa de Falla'!GV30)</f>
      </c>
      <c r="S30" s="778"/>
      <c r="T30" s="3"/>
    </row>
    <row r="31" spans="2:20" ht="15" customHeight="1">
      <c r="B31" s="2"/>
      <c r="C31" s="812">
        <f>IF('[1]Tasa de Falla'!C31=0,"",'[1]Tasa de Falla'!C31)</f>
        <v>15</v>
      </c>
      <c r="D31" s="813" t="str">
        <f>IF('[1]Tasa de Falla'!D31=0,"",'[1]Tasa de Falla'!D31)</f>
        <v>PLANTA ALUMINIO DGPA - SS.AA. PTO MADRYN</v>
      </c>
      <c r="E31" s="813">
        <f>IF('[1]Tasa de Falla'!E31=0,"",'[1]Tasa de Falla'!E31)</f>
        <v>33</v>
      </c>
      <c r="F31" s="814">
        <f>IF('[1]Tasa de Falla'!F31=0,"",'[1]Tasa de Falla'!F31)</f>
        <v>6</v>
      </c>
      <c r="G31" s="777">
        <f>IF('[1]Tasa de Falla'!GK31=0,"",'[1]Tasa de Falla'!GK31)</f>
      </c>
      <c r="H31" s="777">
        <f>IF('[1]Tasa de Falla'!GL31=0,"",'[1]Tasa de Falla'!GL31)</f>
      </c>
      <c r="I31" s="777">
        <f>IF('[1]Tasa de Falla'!GM31=0,"",'[1]Tasa de Falla'!GM31)</f>
      </c>
      <c r="J31" s="777">
        <f>IF('[1]Tasa de Falla'!GN31=0,"",'[1]Tasa de Falla'!GN31)</f>
      </c>
      <c r="K31" s="777">
        <f>IF('[1]Tasa de Falla'!GO31=0,"",'[1]Tasa de Falla'!GO31)</f>
      </c>
      <c r="L31" s="777">
        <f>IF('[1]Tasa de Falla'!GP31=0,"",'[1]Tasa de Falla'!GP31)</f>
      </c>
      <c r="M31" s="777">
        <f>IF('[1]Tasa de Falla'!GQ31=0,"",'[1]Tasa de Falla'!GQ31)</f>
      </c>
      <c r="N31" s="777">
        <f>IF('[1]Tasa de Falla'!GR31=0,"",'[1]Tasa de Falla'!GR31)</f>
      </c>
      <c r="O31" s="777">
        <f>IF('[1]Tasa de Falla'!GS31=0,"",'[1]Tasa de Falla'!GS31)</f>
      </c>
      <c r="P31" s="777">
        <f>IF('[1]Tasa de Falla'!GT31=0,"",'[1]Tasa de Falla'!GT31)</f>
      </c>
      <c r="Q31" s="777">
        <f>IF('[1]Tasa de Falla'!GU31=0,"",'[1]Tasa de Falla'!GU31)</f>
      </c>
      <c r="R31" s="777">
        <f>IF('[1]Tasa de Falla'!GV31=0,"",'[1]Tasa de Falla'!GV31)</f>
      </c>
      <c r="S31" s="778"/>
      <c r="T31" s="3"/>
    </row>
    <row r="32" spans="2:20" ht="15" customHeight="1">
      <c r="B32" s="2"/>
      <c r="C32" s="779">
        <f>IF('[1]Tasa de Falla'!C32=0,"",'[1]Tasa de Falla'!C32)</f>
        <v>16</v>
      </c>
      <c r="D32" s="810" t="str">
        <f>IF('[1]Tasa de Falla'!D32=0,"",'[1]Tasa de Falla'!D32)</f>
        <v>PLANTA ALUMINIO DGPA - TRELEW</v>
      </c>
      <c r="E32" s="810">
        <f>IF('[1]Tasa de Falla'!E32=0,"",'[1]Tasa de Falla'!E32)</f>
        <v>132</v>
      </c>
      <c r="F32" s="811">
        <f>IF('[1]Tasa de Falla'!F32=0,"",'[1]Tasa de Falla'!F32)</f>
        <v>62</v>
      </c>
      <c r="G32" s="777">
        <f>IF('[1]Tasa de Falla'!GK32=0,"",'[1]Tasa de Falla'!GK32)</f>
      </c>
      <c r="H32" s="777">
        <f>IF('[1]Tasa de Falla'!GL32=0,"",'[1]Tasa de Falla'!GL32)</f>
      </c>
      <c r="I32" s="777">
        <f>IF('[1]Tasa de Falla'!GM32=0,"",'[1]Tasa de Falla'!GM32)</f>
      </c>
      <c r="J32" s="777">
        <f>IF('[1]Tasa de Falla'!GN32=0,"",'[1]Tasa de Falla'!GN32)</f>
      </c>
      <c r="K32" s="777">
        <f>IF('[1]Tasa de Falla'!GO32=0,"",'[1]Tasa de Falla'!GO32)</f>
      </c>
      <c r="L32" s="777">
        <f>IF('[1]Tasa de Falla'!GP32=0,"",'[1]Tasa de Falla'!GP32)</f>
      </c>
      <c r="M32" s="777">
        <f>IF('[1]Tasa de Falla'!GQ32=0,"",'[1]Tasa de Falla'!GQ32)</f>
      </c>
      <c r="N32" s="777">
        <f>IF('[1]Tasa de Falla'!GR32=0,"",'[1]Tasa de Falla'!GR32)</f>
      </c>
      <c r="O32" s="777">
        <f>IF('[1]Tasa de Falla'!GS32=0,"",'[1]Tasa de Falla'!GS32)</f>
      </c>
      <c r="P32" s="777">
        <f>IF('[1]Tasa de Falla'!GT32=0,"",'[1]Tasa de Falla'!GT32)</f>
        <v>1</v>
      </c>
      <c r="Q32" s="777">
        <f>IF('[1]Tasa de Falla'!GU32=0,"",'[1]Tasa de Falla'!GU32)</f>
      </c>
      <c r="R32" s="777">
        <f>IF('[1]Tasa de Falla'!GV32=0,"",'[1]Tasa de Falla'!GV32)</f>
      </c>
      <c r="S32" s="778"/>
      <c r="T32" s="3"/>
    </row>
    <row r="33" spans="2:20" ht="18" customHeight="1">
      <c r="B33" s="2"/>
      <c r="C33" s="812">
        <f>IF('[1]Tasa de Falla'!C33=0,"",'[1]Tasa de Falla'!C33)</f>
        <v>17</v>
      </c>
      <c r="D33" s="813" t="str">
        <f>IF('[1]Tasa de Falla'!D33=0,"",'[1]Tasa de Falla'!D33)</f>
        <v>PUERTO MADRYN - SIERRA GRANDE</v>
      </c>
      <c r="E33" s="813">
        <f>IF('[1]Tasa de Falla'!E33=0,"",'[1]Tasa de Falla'!E33)</f>
        <v>132</v>
      </c>
      <c r="F33" s="814">
        <f>IF('[1]Tasa de Falla'!F33=0,"",'[1]Tasa de Falla'!F33)</f>
        <v>121.5</v>
      </c>
      <c r="G33" s="777">
        <f>IF('[1]Tasa de Falla'!GK33=0,"",'[1]Tasa de Falla'!GK33)</f>
        <v>1</v>
      </c>
      <c r="H33" s="777">
        <f>IF('[1]Tasa de Falla'!GL33=0,"",'[1]Tasa de Falla'!GL33)</f>
      </c>
      <c r="I33" s="777">
        <f>IF('[1]Tasa de Falla'!GM33=0,"",'[1]Tasa de Falla'!GM33)</f>
      </c>
      <c r="J33" s="777">
        <f>IF('[1]Tasa de Falla'!GN33=0,"",'[1]Tasa de Falla'!GN33)</f>
        <v>3</v>
      </c>
      <c r="K33" s="777">
        <f>IF('[1]Tasa de Falla'!GO33=0,"",'[1]Tasa de Falla'!GO33)</f>
      </c>
      <c r="L33" s="777">
        <f>IF('[1]Tasa de Falla'!GP33=0,"",'[1]Tasa de Falla'!GP33)</f>
      </c>
      <c r="M33" s="777">
        <f>IF('[1]Tasa de Falla'!GQ33=0,"",'[1]Tasa de Falla'!GQ33)</f>
      </c>
      <c r="N33" s="777">
        <f>IF('[1]Tasa de Falla'!GR33=0,"",'[1]Tasa de Falla'!GR33)</f>
      </c>
      <c r="O33" s="777">
        <f>IF('[1]Tasa de Falla'!GS33=0,"",'[1]Tasa de Falla'!GS33)</f>
      </c>
      <c r="P33" s="777">
        <f>IF('[1]Tasa de Falla'!GT33=0,"",'[1]Tasa de Falla'!GT33)</f>
      </c>
      <c r="Q33" s="777">
        <f>IF('[1]Tasa de Falla'!GU33=0,"",'[1]Tasa de Falla'!GU33)</f>
      </c>
      <c r="R33" s="777">
        <f>IF('[1]Tasa de Falla'!GV33=0,"",'[1]Tasa de Falla'!GV33)</f>
      </c>
      <c r="S33" s="778"/>
      <c r="T33" s="3"/>
    </row>
    <row r="34" spans="2:20" ht="16.5" customHeight="1">
      <c r="B34" s="2"/>
      <c r="C34" s="779">
        <f>IF('[1]Tasa de Falla'!C34=0,"",'[1]Tasa de Falla'!C34)</f>
        <v>18</v>
      </c>
      <c r="D34" s="810" t="str">
        <f>IF('[1]Tasa de Falla'!D34=0,"",'[1]Tasa de Falla'!D34)</f>
        <v>BARRIO SAN MARTIN - A CONEXION "T"</v>
      </c>
      <c r="E34" s="810">
        <f>IF('[1]Tasa de Falla'!E34=0,"",'[1]Tasa de Falla'!E34)</f>
        <v>132</v>
      </c>
      <c r="F34" s="811">
        <f>IF('[1]Tasa de Falla'!F34=0,"",'[1]Tasa de Falla'!F34)</f>
        <v>7.5</v>
      </c>
      <c r="G34" s="777" t="str">
        <f>IF('[1]Tasa de Falla'!GK34=0,"",'[1]Tasa de Falla'!GK34)</f>
        <v>XXXX</v>
      </c>
      <c r="H34" s="777" t="str">
        <f>IF('[1]Tasa de Falla'!GL34=0,"",'[1]Tasa de Falla'!GL34)</f>
        <v>XXXX</v>
      </c>
      <c r="I34" s="777" t="str">
        <f>IF('[1]Tasa de Falla'!GM34=0,"",'[1]Tasa de Falla'!GM34)</f>
        <v>XXXX</v>
      </c>
      <c r="J34" s="777" t="str">
        <f>IF('[1]Tasa de Falla'!GN34=0,"",'[1]Tasa de Falla'!GN34)</f>
        <v>XXXX</v>
      </c>
      <c r="K34" s="777" t="str">
        <f>IF('[1]Tasa de Falla'!GO34=0,"",'[1]Tasa de Falla'!GO34)</f>
        <v>XXXX</v>
      </c>
      <c r="L34" s="777" t="str">
        <f>IF('[1]Tasa de Falla'!GP34=0,"",'[1]Tasa de Falla'!GP34)</f>
        <v>XXXX</v>
      </c>
      <c r="M34" s="777" t="str">
        <f>IF('[1]Tasa de Falla'!GQ34=0,"",'[1]Tasa de Falla'!GQ34)</f>
        <v>XXXX</v>
      </c>
      <c r="N34" s="777" t="str">
        <f>IF('[1]Tasa de Falla'!GR34=0,"",'[1]Tasa de Falla'!GR34)</f>
        <v>XXXX</v>
      </c>
      <c r="O34" s="777" t="str">
        <f>IF('[1]Tasa de Falla'!GS34=0,"",'[1]Tasa de Falla'!GS34)</f>
        <v>XXXX</v>
      </c>
      <c r="P34" s="777" t="str">
        <f>IF('[1]Tasa de Falla'!GT34=0,"",'[1]Tasa de Falla'!GT34)</f>
        <v>XXXX</v>
      </c>
      <c r="Q34" s="777" t="str">
        <f>IF('[1]Tasa de Falla'!GU34=0,"",'[1]Tasa de Falla'!GU34)</f>
        <v>XXXX</v>
      </c>
      <c r="R34" s="777" t="str">
        <f>IF('[1]Tasa de Falla'!GV34=0,"",'[1]Tasa de Falla'!GV34)</f>
        <v>XXXX</v>
      </c>
      <c r="S34" s="778"/>
      <c r="T34" s="3"/>
    </row>
    <row r="35" spans="2:20" ht="15" customHeight="1">
      <c r="B35" s="2"/>
      <c r="C35" s="812">
        <f>IF('[1]Tasa de Falla'!C35=0,"",'[1]Tasa de Falla'!C35)</f>
        <v>19</v>
      </c>
      <c r="D35" s="813" t="str">
        <f>IF('[1]Tasa de Falla'!D35=0,"",'[1]Tasa de Falla'!D35)</f>
        <v>PICO TRUNCADO I - LAS HERAS</v>
      </c>
      <c r="E35" s="813">
        <f>IF('[1]Tasa de Falla'!E35=0,"",'[1]Tasa de Falla'!E35)</f>
        <v>132</v>
      </c>
      <c r="F35" s="814">
        <f>IF('[1]Tasa de Falla'!F35=0,"",'[1]Tasa de Falla'!F35)</f>
        <v>82.5</v>
      </c>
      <c r="G35" s="777">
        <f>IF('[1]Tasa de Falla'!GK35=0,"",'[1]Tasa de Falla'!GK35)</f>
      </c>
      <c r="H35" s="777">
        <f>IF('[1]Tasa de Falla'!GL35=0,"",'[1]Tasa de Falla'!GL35)</f>
      </c>
      <c r="I35" s="777" t="str">
        <f>IF('[1]Tasa de Falla'!GM35=0,"",'[1]Tasa de Falla'!GM35)</f>
        <v>XXXX</v>
      </c>
      <c r="J35" s="777" t="str">
        <f>IF('[1]Tasa de Falla'!GN35=0,"",'[1]Tasa de Falla'!GN35)</f>
        <v>XXXX</v>
      </c>
      <c r="K35" s="777" t="str">
        <f>IF('[1]Tasa de Falla'!GO35=0,"",'[1]Tasa de Falla'!GO35)</f>
        <v>XXXX</v>
      </c>
      <c r="L35" s="777" t="str">
        <f>IF('[1]Tasa de Falla'!GP35=0,"",'[1]Tasa de Falla'!GP35)</f>
        <v>XXXX</v>
      </c>
      <c r="M35" s="777" t="str">
        <f>IF('[1]Tasa de Falla'!GQ35=0,"",'[1]Tasa de Falla'!GQ35)</f>
        <v>XXXX</v>
      </c>
      <c r="N35" s="777" t="str">
        <f>IF('[1]Tasa de Falla'!GR35=0,"",'[1]Tasa de Falla'!GR35)</f>
        <v>XXXX</v>
      </c>
      <c r="O35" s="777" t="str">
        <f>IF('[1]Tasa de Falla'!GS35=0,"",'[1]Tasa de Falla'!GS35)</f>
        <v>XXXX</v>
      </c>
      <c r="P35" s="777" t="str">
        <f>IF('[1]Tasa de Falla'!GT35=0,"",'[1]Tasa de Falla'!GT35)</f>
        <v>XXXX</v>
      </c>
      <c r="Q35" s="777" t="str">
        <f>IF('[1]Tasa de Falla'!GU35=0,"",'[1]Tasa de Falla'!GU35)</f>
        <v>XXXX</v>
      </c>
      <c r="R35" s="777" t="str">
        <f>IF('[1]Tasa de Falla'!GV35=0,"",'[1]Tasa de Falla'!GV35)</f>
        <v>XXXX</v>
      </c>
      <c r="S35" s="778"/>
      <c r="T35" s="3"/>
    </row>
    <row r="36" spans="2:20" ht="15" customHeight="1">
      <c r="B36" s="2"/>
      <c r="C36" s="779">
        <f>IF('[1]Tasa de Falla'!C36=0,"",'[1]Tasa de Falla'!C36)</f>
        <v>20</v>
      </c>
      <c r="D36" s="810" t="str">
        <f>IF('[1]Tasa de Falla'!D36=0,"",'[1]Tasa de Falla'!D36)</f>
        <v>LAS HERAS - LOS PERALES</v>
      </c>
      <c r="E36" s="810">
        <f>IF('[1]Tasa de Falla'!E36=0,"",'[1]Tasa de Falla'!E36)</f>
        <v>132</v>
      </c>
      <c r="F36" s="811">
        <f>IF('[1]Tasa de Falla'!F36=0,"",'[1]Tasa de Falla'!F36)</f>
        <v>47</v>
      </c>
      <c r="G36" s="777">
        <f>IF('[1]Tasa de Falla'!GK36=0,"",'[1]Tasa de Falla'!GK36)</f>
      </c>
      <c r="H36" s="777">
        <f>IF('[1]Tasa de Falla'!GL36=0,"",'[1]Tasa de Falla'!GL36)</f>
      </c>
      <c r="I36" s="777">
        <f>IF('[1]Tasa de Falla'!GM36=0,"",'[1]Tasa de Falla'!GM36)</f>
      </c>
      <c r="J36" s="777">
        <f>IF('[1]Tasa de Falla'!GN36=0,"",'[1]Tasa de Falla'!GN36)</f>
      </c>
      <c r="K36" s="777">
        <f>IF('[1]Tasa de Falla'!GO36=0,"",'[1]Tasa de Falla'!GO36)</f>
      </c>
      <c r="L36" s="777">
        <f>IF('[1]Tasa de Falla'!GP36=0,"",'[1]Tasa de Falla'!GP36)</f>
        <v>1</v>
      </c>
      <c r="M36" s="777">
        <f>IF('[1]Tasa de Falla'!GQ36=0,"",'[1]Tasa de Falla'!GQ36)</f>
      </c>
      <c r="N36" s="777">
        <f>IF('[1]Tasa de Falla'!GR36=0,"",'[1]Tasa de Falla'!GR36)</f>
      </c>
      <c r="O36" s="777">
        <f>IF('[1]Tasa de Falla'!GS36=0,"",'[1]Tasa de Falla'!GS36)</f>
      </c>
      <c r="P36" s="777">
        <f>IF('[1]Tasa de Falla'!GT36=0,"",'[1]Tasa de Falla'!GT36)</f>
      </c>
      <c r="Q36" s="777">
        <f>IF('[1]Tasa de Falla'!GU36=0,"",'[1]Tasa de Falla'!GU36)</f>
      </c>
      <c r="R36" s="777">
        <f>IF('[1]Tasa de Falla'!GV36=0,"",'[1]Tasa de Falla'!GV36)</f>
      </c>
      <c r="S36" s="778"/>
      <c r="T36" s="3"/>
    </row>
    <row r="37" spans="2:20" ht="15" customHeight="1">
      <c r="B37" s="2"/>
      <c r="C37" s="812">
        <f>IF('[1]Tasa de Falla'!C37=0,"",'[1]Tasa de Falla'!C37)</f>
        <v>21</v>
      </c>
      <c r="D37" s="813" t="str">
        <f>IF('[1]Tasa de Falla'!D37=0,"",'[1]Tasa de Falla'!D37)</f>
        <v>N. P. MADRYN - P. MADRYN 330 kV</v>
      </c>
      <c r="E37" s="813">
        <f>IF('[1]Tasa de Falla'!E37=0,"",'[1]Tasa de Falla'!E37)</f>
        <v>330</v>
      </c>
      <c r="F37" s="814">
        <f>IF('[1]Tasa de Falla'!F37=0,"",'[1]Tasa de Falla'!F37)</f>
        <v>0.47</v>
      </c>
      <c r="G37" s="777">
        <f>IF('[1]Tasa de Falla'!GK37=0,"",'[1]Tasa de Falla'!GK37)</f>
      </c>
      <c r="H37" s="777">
        <f>IF('[1]Tasa de Falla'!GL37=0,"",'[1]Tasa de Falla'!GL37)</f>
      </c>
      <c r="I37" s="777">
        <f>IF('[1]Tasa de Falla'!GM37=0,"",'[1]Tasa de Falla'!GM37)</f>
      </c>
      <c r="J37" s="777">
        <f>IF('[1]Tasa de Falla'!GN37=0,"",'[1]Tasa de Falla'!GN37)</f>
      </c>
      <c r="K37" s="777">
        <f>IF('[1]Tasa de Falla'!GO37=0,"",'[1]Tasa de Falla'!GO37)</f>
      </c>
      <c r="L37" s="777">
        <f>IF('[1]Tasa de Falla'!GP37=0,"",'[1]Tasa de Falla'!GP37)</f>
      </c>
      <c r="M37" s="777">
        <f>IF('[1]Tasa de Falla'!GQ37=0,"",'[1]Tasa de Falla'!GQ37)</f>
      </c>
      <c r="N37" s="777">
        <f>IF('[1]Tasa de Falla'!GR37=0,"",'[1]Tasa de Falla'!GR37)</f>
      </c>
      <c r="O37" s="777">
        <f>IF('[1]Tasa de Falla'!GS37=0,"",'[1]Tasa de Falla'!GS37)</f>
      </c>
      <c r="P37" s="777">
        <f>IF('[1]Tasa de Falla'!GT37=0,"",'[1]Tasa de Falla'!GT37)</f>
      </c>
      <c r="Q37" s="777">
        <f>IF('[1]Tasa de Falla'!GU37=0,"",'[1]Tasa de Falla'!GU37)</f>
      </c>
      <c r="R37" s="777">
        <f>IF('[1]Tasa de Falla'!GV37=0,"",'[1]Tasa de Falla'!GV37)</f>
      </c>
      <c r="S37" s="778"/>
      <c r="T37" s="3"/>
    </row>
    <row r="38" spans="2:20" ht="18" customHeight="1">
      <c r="B38" s="2"/>
      <c r="C38" s="779">
        <f>IF('[1]Tasa de Falla'!C38=0,"",'[1]Tasa de Falla'!C38)</f>
        <v>31</v>
      </c>
      <c r="D38" s="810" t="str">
        <f>IF('[1]Tasa de Falla'!D38=0,"",'[1]Tasa de Falla'!D38)</f>
        <v>LAS HERAS - MINA SAN JOSE</v>
      </c>
      <c r="E38" s="810">
        <f>IF('[1]Tasa de Falla'!E38=0,"",'[1]Tasa de Falla'!E38)</f>
        <v>132</v>
      </c>
      <c r="F38" s="811">
        <f>IF('[1]Tasa de Falla'!F38=0,"",'[1]Tasa de Falla'!F38)</f>
        <v>128</v>
      </c>
      <c r="G38" s="777" t="str">
        <f>IF('[1]Tasa de Falla'!GK38=0,"",'[1]Tasa de Falla'!GK38)</f>
        <v>XXXX</v>
      </c>
      <c r="H38" s="777" t="str">
        <f>IF('[1]Tasa de Falla'!GL38=0,"",'[1]Tasa de Falla'!GL38)</f>
        <v>XXXX</v>
      </c>
      <c r="I38" s="777">
        <f>IF('[1]Tasa de Falla'!GM38=0,"",'[1]Tasa de Falla'!GM38)</f>
        <v>1</v>
      </c>
      <c r="J38" s="777">
        <f>IF('[1]Tasa de Falla'!GN38=0,"",'[1]Tasa de Falla'!GN38)</f>
      </c>
      <c r="K38" s="777">
        <f>IF('[1]Tasa de Falla'!GO38=0,"",'[1]Tasa de Falla'!GO38)</f>
      </c>
      <c r="L38" s="777">
        <f>IF('[1]Tasa de Falla'!GP38=0,"",'[1]Tasa de Falla'!GP38)</f>
        <v>1</v>
      </c>
      <c r="M38" s="777">
        <f>IF('[1]Tasa de Falla'!GQ38=0,"",'[1]Tasa de Falla'!GQ38)</f>
      </c>
      <c r="N38" s="777">
        <f>IF('[1]Tasa de Falla'!GR38=0,"",'[1]Tasa de Falla'!GR38)</f>
      </c>
      <c r="O38" s="777">
        <f>IF('[1]Tasa de Falla'!GS38=0,"",'[1]Tasa de Falla'!GS38)</f>
      </c>
      <c r="P38" s="777">
        <f>IF('[1]Tasa de Falla'!GT38=0,"",'[1]Tasa de Falla'!GT38)</f>
      </c>
      <c r="Q38" s="777">
        <f>IF('[1]Tasa de Falla'!GU38=0,"",'[1]Tasa de Falla'!GU38)</f>
      </c>
      <c r="R38" s="777">
        <f>IF('[1]Tasa de Falla'!GV38=0,"",'[1]Tasa de Falla'!GV38)</f>
      </c>
      <c r="S38" s="778"/>
      <c r="T38" s="3"/>
    </row>
    <row r="39" spans="2:20" ht="19.5" customHeight="1">
      <c r="B39" s="2"/>
      <c r="C39" s="812">
        <f>IF('[1]Tasa de Falla'!C39=0,"",'[1]Tasa de Falla'!C39)</f>
        <v>27</v>
      </c>
      <c r="D39" s="813" t="str">
        <f>IF('[1]Tasa de Falla'!D39=0,"",'[1]Tasa de Falla'!D39)</f>
        <v>PAMPA DEL CASTILLO - EL TORDILLO</v>
      </c>
      <c r="E39" s="813">
        <f>IF('[1]Tasa de Falla'!E39=0,"",'[1]Tasa de Falla'!E39)</f>
        <v>132</v>
      </c>
      <c r="F39" s="814">
        <f>IF('[1]Tasa de Falla'!F39=0,"",'[1]Tasa de Falla'!F39)</f>
        <v>8.9</v>
      </c>
      <c r="G39" s="777">
        <f>IF('[1]Tasa de Falla'!GK39=0,"",'[1]Tasa de Falla'!GK39)</f>
      </c>
      <c r="H39" s="777">
        <f>IF('[1]Tasa de Falla'!GL39=0,"",'[1]Tasa de Falla'!GL39)</f>
      </c>
      <c r="I39" s="777">
        <f>IF('[1]Tasa de Falla'!GM39=0,"",'[1]Tasa de Falla'!GM39)</f>
      </c>
      <c r="J39" s="777">
        <f>IF('[1]Tasa de Falla'!GN39=0,"",'[1]Tasa de Falla'!GN39)</f>
      </c>
      <c r="K39" s="777">
        <f>IF('[1]Tasa de Falla'!GO39=0,"",'[1]Tasa de Falla'!GO39)</f>
      </c>
      <c r="L39" s="777">
        <f>IF('[1]Tasa de Falla'!GP39=0,"",'[1]Tasa de Falla'!GP39)</f>
      </c>
      <c r="M39" s="777">
        <f>IF('[1]Tasa de Falla'!GQ39=0,"",'[1]Tasa de Falla'!GQ39)</f>
      </c>
      <c r="N39" s="777">
        <f>IF('[1]Tasa de Falla'!GR39=0,"",'[1]Tasa de Falla'!GR39)</f>
      </c>
      <c r="O39" s="777">
        <f>IF('[1]Tasa de Falla'!GS39=0,"",'[1]Tasa de Falla'!GS39)</f>
      </c>
      <c r="P39" s="777">
        <f>IF('[1]Tasa de Falla'!GT39=0,"",'[1]Tasa de Falla'!GT39)</f>
      </c>
      <c r="Q39" s="777">
        <f>IF('[1]Tasa de Falla'!GU39=0,"",'[1]Tasa de Falla'!GU39)</f>
      </c>
      <c r="R39" s="777">
        <f>IF('[1]Tasa de Falla'!GV39=0,"",'[1]Tasa de Falla'!GV39)</f>
      </c>
      <c r="S39" s="778"/>
      <c r="T39" s="3"/>
    </row>
    <row r="40" spans="2:20" ht="16.5" customHeight="1">
      <c r="B40" s="2"/>
      <c r="C40" s="779">
        <f>IF('[1]Tasa de Falla'!C40=0,"",'[1]Tasa de Falla'!C40)</f>
        <v>28</v>
      </c>
      <c r="D40" s="810" t="str">
        <f>IF('[1]Tasa de Falla'!D40=0,"",'[1]Tasa de Falla'!D40)</f>
        <v>PLANTA ALUMINIO APPA - PUERTO MADRYN 3</v>
      </c>
      <c r="E40" s="810">
        <f>IF('[1]Tasa de Falla'!E40=0,"",'[1]Tasa de Falla'!E40)</f>
        <v>330</v>
      </c>
      <c r="F40" s="811">
        <f>IF('[1]Tasa de Falla'!F40=0,"",'[1]Tasa de Falla'!F40)</f>
        <v>4.85</v>
      </c>
      <c r="G40" s="777">
        <f>IF('[1]Tasa de Falla'!GK40=0,"",'[1]Tasa de Falla'!GK40)</f>
      </c>
      <c r="H40" s="777">
        <f>IF('[1]Tasa de Falla'!GL40=0,"",'[1]Tasa de Falla'!GL40)</f>
      </c>
      <c r="I40" s="777">
        <f>IF('[1]Tasa de Falla'!GM40=0,"",'[1]Tasa de Falla'!GM40)</f>
      </c>
      <c r="J40" s="777">
        <f>IF('[1]Tasa de Falla'!GN40=0,"",'[1]Tasa de Falla'!GN40)</f>
      </c>
      <c r="K40" s="777">
        <f>IF('[1]Tasa de Falla'!GO40=0,"",'[1]Tasa de Falla'!GO40)</f>
      </c>
      <c r="L40" s="777">
        <f>IF('[1]Tasa de Falla'!GP40=0,"",'[1]Tasa de Falla'!GP40)</f>
      </c>
      <c r="M40" s="777">
        <f>IF('[1]Tasa de Falla'!GQ40=0,"",'[1]Tasa de Falla'!GQ40)</f>
      </c>
      <c r="N40" s="777">
        <f>IF('[1]Tasa de Falla'!GR40=0,"",'[1]Tasa de Falla'!GR40)</f>
      </c>
      <c r="O40" s="777">
        <f>IF('[1]Tasa de Falla'!GS40=0,"",'[1]Tasa de Falla'!GS40)</f>
      </c>
      <c r="P40" s="777">
        <f>IF('[1]Tasa de Falla'!GT40=0,"",'[1]Tasa de Falla'!GT40)</f>
      </c>
      <c r="Q40" s="777">
        <f>IF('[1]Tasa de Falla'!GU40=0,"",'[1]Tasa de Falla'!GU40)</f>
      </c>
      <c r="R40" s="777">
        <f>IF('[1]Tasa de Falla'!GV40=0,"",'[1]Tasa de Falla'!GV40)</f>
      </c>
      <c r="S40" s="778"/>
      <c r="T40" s="3"/>
    </row>
    <row r="41" spans="2:20" ht="16.5" customHeight="1">
      <c r="B41" s="2"/>
      <c r="C41" s="812">
        <f>IF('[1]Tasa de Falla'!C41=0,"",'[1]Tasa de Falla'!C41)</f>
        <v>30</v>
      </c>
      <c r="D41" s="813" t="str">
        <f>IF('[1]Tasa de Falla'!D41=0,"",'[1]Tasa de Falla'!D41)</f>
        <v>TRELEW - RAWSON</v>
      </c>
      <c r="E41" s="813">
        <f>IF('[1]Tasa de Falla'!E41=0,"",'[1]Tasa de Falla'!E41)</f>
        <v>132</v>
      </c>
      <c r="F41" s="814">
        <f>IF('[1]Tasa de Falla'!F41=0,"",'[1]Tasa de Falla'!F41)</f>
        <v>21.8</v>
      </c>
      <c r="G41" s="777">
        <f>IF('[1]Tasa de Falla'!GK41=0,"",'[1]Tasa de Falla'!GK41)</f>
      </c>
      <c r="H41" s="777">
        <f>IF('[1]Tasa de Falla'!GL41=0,"",'[1]Tasa de Falla'!GL41)</f>
      </c>
      <c r="I41" s="777">
        <f>IF('[1]Tasa de Falla'!GM41=0,"",'[1]Tasa de Falla'!GM41)</f>
      </c>
      <c r="J41" s="777">
        <f>IF('[1]Tasa de Falla'!GN41=0,"",'[1]Tasa de Falla'!GN41)</f>
        <v>1</v>
      </c>
      <c r="K41" s="777">
        <f>IF('[1]Tasa de Falla'!GO41=0,"",'[1]Tasa de Falla'!GO41)</f>
      </c>
      <c r="L41" s="777">
        <f>IF('[1]Tasa de Falla'!GP41=0,"",'[1]Tasa de Falla'!GP41)</f>
      </c>
      <c r="M41" s="777">
        <f>IF('[1]Tasa de Falla'!GQ41=0,"",'[1]Tasa de Falla'!GQ41)</f>
      </c>
      <c r="N41" s="777">
        <f>IF('[1]Tasa de Falla'!GR41=0,"",'[1]Tasa de Falla'!GR41)</f>
      </c>
      <c r="O41" s="777">
        <f>IF('[1]Tasa de Falla'!GS41=0,"",'[1]Tasa de Falla'!GS41)</f>
      </c>
      <c r="P41" s="777">
        <f>IF('[1]Tasa de Falla'!GT41=0,"",'[1]Tasa de Falla'!GT41)</f>
      </c>
      <c r="Q41" s="777">
        <f>IF('[1]Tasa de Falla'!GU41=0,"",'[1]Tasa de Falla'!GU41)</f>
      </c>
      <c r="R41" s="777">
        <f>IF('[1]Tasa de Falla'!GV41=0,"",'[1]Tasa de Falla'!GV41)</f>
      </c>
      <c r="S41" s="778"/>
      <c r="T41" s="3"/>
    </row>
    <row r="42" spans="2:20" ht="16.5" customHeight="1">
      <c r="B42" s="2"/>
      <c r="C42" s="779">
        <f>IF('[1]Tasa de Falla'!C42=0,"",'[1]Tasa de Falla'!C42)</f>
        <v>37</v>
      </c>
      <c r="D42" s="810" t="str">
        <f>IF('[1]Tasa de Falla'!D42=0,"",'[1]Tasa de Falla'!D42)</f>
        <v>PICO TRUNCADO 1 - SANTA CRUZ NORTE     1</v>
      </c>
      <c r="E42" s="810">
        <f>IF('[1]Tasa de Falla'!E42=0,"",'[1]Tasa de Falla'!E42)</f>
        <v>132</v>
      </c>
      <c r="F42" s="811">
        <f>IF('[1]Tasa de Falla'!F42=0,"",'[1]Tasa de Falla'!F42)</f>
        <v>2.5</v>
      </c>
      <c r="G42" s="777">
        <f>IF('[1]Tasa de Falla'!GK42=0,"",'[1]Tasa de Falla'!GK42)</f>
      </c>
      <c r="H42" s="777">
        <f>IF('[1]Tasa de Falla'!GL42=0,"",'[1]Tasa de Falla'!GL42)</f>
      </c>
      <c r="I42" s="777">
        <f>IF('[1]Tasa de Falla'!GM42=0,"",'[1]Tasa de Falla'!GM42)</f>
      </c>
      <c r="J42" s="777">
        <f>IF('[1]Tasa de Falla'!GN42=0,"",'[1]Tasa de Falla'!GN42)</f>
      </c>
      <c r="K42" s="777">
        <f>IF('[1]Tasa de Falla'!GO42=0,"",'[1]Tasa de Falla'!GO42)</f>
      </c>
      <c r="L42" s="777">
        <f>IF('[1]Tasa de Falla'!GP42=0,"",'[1]Tasa de Falla'!GP42)</f>
      </c>
      <c r="M42" s="777">
        <f>IF('[1]Tasa de Falla'!GQ42=0,"",'[1]Tasa de Falla'!GQ42)</f>
      </c>
      <c r="N42" s="777">
        <f>IF('[1]Tasa de Falla'!GR42=0,"",'[1]Tasa de Falla'!GR42)</f>
      </c>
      <c r="O42" s="777">
        <f>IF('[1]Tasa de Falla'!GS42=0,"",'[1]Tasa de Falla'!GS42)</f>
      </c>
      <c r="P42" s="777">
        <f>IF('[1]Tasa de Falla'!GT42=0,"",'[1]Tasa de Falla'!GT42)</f>
      </c>
      <c r="Q42" s="777">
        <f>IF('[1]Tasa de Falla'!GU42=0,"",'[1]Tasa de Falla'!GU42)</f>
      </c>
      <c r="R42" s="777">
        <f>IF('[1]Tasa de Falla'!GV42=0,"",'[1]Tasa de Falla'!GV42)</f>
      </c>
      <c r="S42" s="778"/>
      <c r="T42" s="3"/>
    </row>
    <row r="43" spans="2:20" ht="15" customHeight="1">
      <c r="B43" s="2"/>
      <c r="C43" s="812">
        <f>IF('[1]Tasa de Falla'!C43=0,"",'[1]Tasa de Falla'!C43)</f>
        <v>38</v>
      </c>
      <c r="D43" s="813" t="str">
        <f>IF('[1]Tasa de Falla'!D43=0,"",'[1]Tasa de Falla'!D43)</f>
        <v>PICO TRUNCADO 1 - SANTA CRUZ NORTE     2</v>
      </c>
      <c r="E43" s="813">
        <f>IF('[1]Tasa de Falla'!E43=0,"",'[1]Tasa de Falla'!E43)</f>
        <v>132</v>
      </c>
      <c r="F43" s="814">
        <f>IF('[1]Tasa de Falla'!F43=0,"",'[1]Tasa de Falla'!F43)</f>
        <v>2.5</v>
      </c>
      <c r="G43" s="777">
        <f>IF('[1]Tasa de Falla'!GK43=0,"",'[1]Tasa de Falla'!GK43)</f>
      </c>
      <c r="H43" s="777">
        <f>IF('[1]Tasa de Falla'!GL43=0,"",'[1]Tasa de Falla'!GL43)</f>
      </c>
      <c r="I43" s="777">
        <f>IF('[1]Tasa de Falla'!GM43=0,"",'[1]Tasa de Falla'!GM43)</f>
      </c>
      <c r="J43" s="777">
        <f>IF('[1]Tasa de Falla'!GN43=0,"",'[1]Tasa de Falla'!GN43)</f>
      </c>
      <c r="K43" s="777">
        <f>IF('[1]Tasa de Falla'!GO43=0,"",'[1]Tasa de Falla'!GO43)</f>
      </c>
      <c r="L43" s="777">
        <f>IF('[1]Tasa de Falla'!GP43=0,"",'[1]Tasa de Falla'!GP43)</f>
      </c>
      <c r="M43" s="777">
        <f>IF('[1]Tasa de Falla'!GQ43=0,"",'[1]Tasa de Falla'!GQ43)</f>
      </c>
      <c r="N43" s="777">
        <f>IF('[1]Tasa de Falla'!GR43=0,"",'[1]Tasa de Falla'!GR43)</f>
      </c>
      <c r="O43" s="777">
        <f>IF('[1]Tasa de Falla'!GS43=0,"",'[1]Tasa de Falla'!GS43)</f>
      </c>
      <c r="P43" s="777">
        <f>IF('[1]Tasa de Falla'!GT43=0,"",'[1]Tasa de Falla'!GT43)</f>
      </c>
      <c r="Q43" s="777">
        <f>IF('[1]Tasa de Falla'!GU43=0,"",'[1]Tasa de Falla'!GU43)</f>
      </c>
      <c r="R43" s="777">
        <f>IF('[1]Tasa de Falla'!GV43=0,"",'[1]Tasa de Falla'!GV43)</f>
      </c>
      <c r="S43" s="778"/>
      <c r="T43" s="3"/>
    </row>
    <row r="44" spans="2:20" ht="15" customHeight="1">
      <c r="B44" s="2"/>
      <c r="C44" s="779">
        <f>IF('[1]Tasa de Falla'!C44=0,"",'[1]Tasa de Falla'!C44)</f>
        <v>39</v>
      </c>
      <c r="D44" s="810" t="str">
        <f>IF('[1]Tasa de Falla'!D44=0,"",'[1]Tasa de Falla'!D44)</f>
        <v>LAS HERAS - SANTA CRUZ NORTE</v>
      </c>
      <c r="E44" s="810">
        <f>IF('[1]Tasa de Falla'!E44=0,"",'[1]Tasa de Falla'!E44)</f>
        <v>132</v>
      </c>
      <c r="F44" s="811">
        <f>IF('[1]Tasa de Falla'!F44=0,"",'[1]Tasa de Falla'!F44)</f>
        <v>80</v>
      </c>
      <c r="G44" s="777" t="str">
        <f>IF('[1]Tasa de Falla'!GK44=0,"",'[1]Tasa de Falla'!GK44)</f>
        <v>XXXX</v>
      </c>
      <c r="H44" s="777" t="str">
        <f>IF('[1]Tasa de Falla'!GL44=0,"",'[1]Tasa de Falla'!GL44)</f>
        <v>XXXX</v>
      </c>
      <c r="I44" s="777">
        <f>IF('[1]Tasa de Falla'!GM44=0,"",'[1]Tasa de Falla'!GM44)</f>
      </c>
      <c r="J44" s="777">
        <f>IF('[1]Tasa de Falla'!GN44=0,"",'[1]Tasa de Falla'!GN44)</f>
      </c>
      <c r="K44" s="777">
        <f>IF('[1]Tasa de Falla'!GO44=0,"",'[1]Tasa de Falla'!GO44)</f>
      </c>
      <c r="L44" s="777">
        <f>IF('[1]Tasa de Falla'!GP44=0,"",'[1]Tasa de Falla'!GP44)</f>
      </c>
      <c r="M44" s="777">
        <f>IF('[1]Tasa de Falla'!GQ44=0,"",'[1]Tasa de Falla'!GQ44)</f>
      </c>
      <c r="N44" s="777">
        <f>IF('[1]Tasa de Falla'!GR44=0,"",'[1]Tasa de Falla'!GR44)</f>
      </c>
      <c r="O44" s="777">
        <f>IF('[1]Tasa de Falla'!GS44=0,"",'[1]Tasa de Falla'!GS44)</f>
      </c>
      <c r="P44" s="777">
        <f>IF('[1]Tasa de Falla'!GT44=0,"",'[1]Tasa de Falla'!GT44)</f>
      </c>
      <c r="Q44" s="777">
        <f>IF('[1]Tasa de Falla'!GU44=0,"",'[1]Tasa de Falla'!GU44)</f>
      </c>
      <c r="R44" s="777">
        <f>IF('[1]Tasa de Falla'!GV44=0,"",'[1]Tasa de Falla'!GV44)</f>
      </c>
      <c r="S44" s="778"/>
      <c r="T44" s="3"/>
    </row>
    <row r="45" spans="2:20" ht="15" customHeight="1">
      <c r="B45" s="2"/>
      <c r="C45" s="812">
        <f>IF('[1]Tasa de Falla'!C45=0,"",'[1]Tasa de Falla'!C45)</f>
      </c>
      <c r="D45" s="813">
        <f>IF('[1]Tasa de Falla'!D45=0,"",'[1]Tasa de Falla'!D45)</f>
      </c>
      <c r="E45" s="813">
        <f>IF('[1]Tasa de Falla'!E45=0,"",'[1]Tasa de Falla'!E45)</f>
      </c>
      <c r="F45" s="814">
        <f>IF('[1]Tasa de Falla'!F45=0,"",'[1]Tasa de Falla'!F45)</f>
      </c>
      <c r="G45" s="777">
        <f>IF('[1]Tasa de Falla'!GK45=0,"",'[1]Tasa de Falla'!GK45)</f>
      </c>
      <c r="H45" s="777">
        <f>IF('[1]Tasa de Falla'!GL45=0,"",'[1]Tasa de Falla'!GL45)</f>
      </c>
      <c r="I45" s="777">
        <f>IF('[1]Tasa de Falla'!GM45=0,"",'[1]Tasa de Falla'!GM45)</f>
      </c>
      <c r="J45" s="777">
        <f>IF('[1]Tasa de Falla'!GN45=0,"",'[1]Tasa de Falla'!GN45)</f>
      </c>
      <c r="K45" s="777">
        <f>IF('[1]Tasa de Falla'!GO45=0,"",'[1]Tasa de Falla'!GO45)</f>
      </c>
      <c r="L45" s="777">
        <f>IF('[1]Tasa de Falla'!GP45=0,"",'[1]Tasa de Falla'!GP45)</f>
      </c>
      <c r="M45" s="777">
        <f>IF('[1]Tasa de Falla'!GQ45=0,"",'[1]Tasa de Falla'!GQ45)</f>
      </c>
      <c r="N45" s="777">
        <f>IF('[1]Tasa de Falla'!GR45=0,"",'[1]Tasa de Falla'!GR45)</f>
      </c>
      <c r="O45" s="777">
        <f>IF('[1]Tasa de Falla'!GS45=0,"",'[1]Tasa de Falla'!GS45)</f>
      </c>
      <c r="P45" s="777">
        <f>IF('[1]Tasa de Falla'!GT45=0,"",'[1]Tasa de Falla'!GT45)</f>
      </c>
      <c r="Q45" s="777">
        <f>IF('[1]Tasa de Falla'!GU45=0,"",'[1]Tasa de Falla'!GU45)</f>
      </c>
      <c r="R45" s="777">
        <f>IF('[1]Tasa de Falla'!GV45=0,"",'[1]Tasa de Falla'!GV45)</f>
      </c>
      <c r="S45" s="778"/>
      <c r="T45" s="3"/>
    </row>
    <row r="46" spans="2:20" ht="15" customHeight="1">
      <c r="B46" s="2"/>
      <c r="C46" s="779">
        <f>IF('[1]Tasa de Falla'!C46=0,"",'[1]Tasa de Falla'!C46)</f>
        <v>19</v>
      </c>
      <c r="D46" s="810" t="str">
        <f>IF('[1]Tasa de Falla'!D46=0,"",'[1]Tasa de Falla'!D46)</f>
        <v>PUNTA COLORADA - SIERRA GRANDE</v>
      </c>
      <c r="E46" s="810">
        <f>IF('[1]Tasa de Falla'!E46=0,"",'[1]Tasa de Falla'!E46)</f>
        <v>132</v>
      </c>
      <c r="F46" s="811">
        <f>IF('[1]Tasa de Falla'!F46=0,"",'[1]Tasa de Falla'!F46)</f>
        <v>31</v>
      </c>
      <c r="G46" s="777">
        <f>IF('[1]Tasa de Falla'!GK46=0,"",'[1]Tasa de Falla'!GK46)</f>
      </c>
      <c r="H46" s="777">
        <f>IF('[1]Tasa de Falla'!GL46=0,"",'[1]Tasa de Falla'!GL46)</f>
      </c>
      <c r="I46" s="777">
        <f>IF('[1]Tasa de Falla'!GM46=0,"",'[1]Tasa de Falla'!GM46)</f>
      </c>
      <c r="J46" s="777">
        <f>IF('[1]Tasa de Falla'!GN46=0,"",'[1]Tasa de Falla'!GN46)</f>
      </c>
      <c r="K46" s="777">
        <f>IF('[1]Tasa de Falla'!GO46=0,"",'[1]Tasa de Falla'!GO46)</f>
      </c>
      <c r="L46" s="777">
        <f>IF('[1]Tasa de Falla'!GP46=0,"",'[1]Tasa de Falla'!GP46)</f>
      </c>
      <c r="M46" s="777">
        <f>IF('[1]Tasa de Falla'!GQ46=0,"",'[1]Tasa de Falla'!GQ46)</f>
      </c>
      <c r="N46" s="777">
        <f>IF('[1]Tasa de Falla'!GR46=0,"",'[1]Tasa de Falla'!GR46)</f>
      </c>
      <c r="O46" s="777">
        <f>IF('[1]Tasa de Falla'!GS46=0,"",'[1]Tasa de Falla'!GS46)</f>
      </c>
      <c r="P46" s="777">
        <f>IF('[1]Tasa de Falla'!GT46=0,"",'[1]Tasa de Falla'!GT46)</f>
      </c>
      <c r="Q46" s="777">
        <f>IF('[1]Tasa de Falla'!GU46=0,"",'[1]Tasa de Falla'!GU46)</f>
      </c>
      <c r="R46" s="777">
        <f>IF('[1]Tasa de Falla'!GV46=0,"",'[1]Tasa de Falla'!GV46)</f>
      </c>
      <c r="S46" s="778"/>
      <c r="T46" s="3"/>
    </row>
    <row r="47" spans="2:20" ht="15" customHeight="1">
      <c r="B47" s="2"/>
      <c r="C47" s="812">
        <f>IF('[1]Tasa de Falla'!C47=0,"",'[1]Tasa de Falla'!C47)</f>
        <v>20</v>
      </c>
      <c r="D47" s="813" t="str">
        <f>IF('[1]Tasa de Falla'!D47=0,"",'[1]Tasa de Falla'!D47)</f>
        <v>CARMEN DE PATAGONES - VIEDMA</v>
      </c>
      <c r="E47" s="813">
        <f>IF('[1]Tasa de Falla'!E47=0,"",'[1]Tasa de Falla'!E47)</f>
        <v>132</v>
      </c>
      <c r="F47" s="814">
        <f>IF('[1]Tasa de Falla'!F47=0,"",'[1]Tasa de Falla'!F47)</f>
        <v>7</v>
      </c>
      <c r="G47" s="777" t="str">
        <f>IF('[1]Tasa de Falla'!GK47=0,"",'[1]Tasa de Falla'!GK47)</f>
        <v>XXXX</v>
      </c>
      <c r="H47" s="777" t="str">
        <f>IF('[1]Tasa de Falla'!GL47=0,"",'[1]Tasa de Falla'!GL47)</f>
        <v>XXXX</v>
      </c>
      <c r="I47" s="777" t="str">
        <f>IF('[1]Tasa de Falla'!GM47=0,"",'[1]Tasa de Falla'!GM47)</f>
        <v>XXXX</v>
      </c>
      <c r="J47" s="777" t="str">
        <f>IF('[1]Tasa de Falla'!GN47=0,"",'[1]Tasa de Falla'!GN47)</f>
        <v>XXXX</v>
      </c>
      <c r="K47" s="777" t="str">
        <f>IF('[1]Tasa de Falla'!GO47=0,"",'[1]Tasa de Falla'!GO47)</f>
        <v>XXXX</v>
      </c>
      <c r="L47" s="777" t="str">
        <f>IF('[1]Tasa de Falla'!GP47=0,"",'[1]Tasa de Falla'!GP47)</f>
        <v>XXXX</v>
      </c>
      <c r="M47" s="777" t="str">
        <f>IF('[1]Tasa de Falla'!GQ47=0,"",'[1]Tasa de Falla'!GQ47)</f>
        <v>XXXX</v>
      </c>
      <c r="N47" s="777" t="str">
        <f>IF('[1]Tasa de Falla'!GR47=0,"",'[1]Tasa de Falla'!GR47)</f>
        <v>XXXX</v>
      </c>
      <c r="O47" s="777" t="str">
        <f>IF('[1]Tasa de Falla'!GS47=0,"",'[1]Tasa de Falla'!GS47)</f>
        <v>XXXX</v>
      </c>
      <c r="P47" s="777" t="str">
        <f>IF('[1]Tasa de Falla'!GT47=0,"",'[1]Tasa de Falla'!GT47)</f>
        <v>XXXX</v>
      </c>
      <c r="Q47" s="777" t="str">
        <f>IF('[1]Tasa de Falla'!GU47=0,"",'[1]Tasa de Falla'!GU47)</f>
        <v>XXXX</v>
      </c>
      <c r="R47" s="777" t="str">
        <f>IF('[1]Tasa de Falla'!GV47=0,"",'[1]Tasa de Falla'!GV47)</f>
        <v>XXXX</v>
      </c>
      <c r="S47" s="778"/>
      <c r="T47" s="3"/>
    </row>
    <row r="48" spans="2:20" ht="15" customHeight="1">
      <c r="B48" s="2"/>
      <c r="C48" s="779">
        <f>IF('[1]Tasa de Falla'!C48=0,"",'[1]Tasa de Falla'!C48)</f>
      </c>
      <c r="D48" s="810" t="str">
        <f>IF('[1]Tasa de Falla'!D48=0,"",'[1]Tasa de Falla'!D48)</f>
        <v>CARMEN DE PATAGONES - VIEDMA</v>
      </c>
      <c r="E48" s="810">
        <f>IF('[1]Tasa de Falla'!E48=0,"",'[1]Tasa de Falla'!E48)</f>
        <v>132</v>
      </c>
      <c r="F48" s="811">
        <f>IF('[1]Tasa de Falla'!F48=0,"",'[1]Tasa de Falla'!F48)</f>
        <v>4.4</v>
      </c>
      <c r="G48" s="777">
        <f>IF('[1]Tasa de Falla'!GK48=0,"",'[1]Tasa de Falla'!GK48)</f>
      </c>
      <c r="H48" s="777">
        <f>IF('[1]Tasa de Falla'!GL48=0,"",'[1]Tasa de Falla'!GL48)</f>
      </c>
      <c r="I48" s="777">
        <f>IF('[1]Tasa de Falla'!GM48=0,"",'[1]Tasa de Falla'!GM48)</f>
      </c>
      <c r="J48" s="777">
        <f>IF('[1]Tasa de Falla'!GN48=0,"",'[1]Tasa de Falla'!GN48)</f>
      </c>
      <c r="K48" s="777">
        <f>IF('[1]Tasa de Falla'!GO48=0,"",'[1]Tasa de Falla'!GO48)</f>
      </c>
      <c r="L48" s="777">
        <f>IF('[1]Tasa de Falla'!GP48=0,"",'[1]Tasa de Falla'!GP48)</f>
      </c>
      <c r="M48" s="777">
        <f>IF('[1]Tasa de Falla'!GQ48=0,"",'[1]Tasa de Falla'!GQ48)</f>
      </c>
      <c r="N48" s="777">
        <f>IF('[1]Tasa de Falla'!GR48=0,"",'[1]Tasa de Falla'!GR48)</f>
      </c>
      <c r="O48" s="777">
        <f>IF('[1]Tasa de Falla'!GS48=0,"",'[1]Tasa de Falla'!GS48)</f>
        <v>2</v>
      </c>
      <c r="P48" s="777">
        <f>IF('[1]Tasa de Falla'!GT48=0,"",'[1]Tasa de Falla'!GT48)</f>
      </c>
      <c r="Q48" s="777">
        <f>IF('[1]Tasa de Falla'!GU48=0,"",'[1]Tasa de Falla'!GU48)</f>
        <v>1</v>
      </c>
      <c r="R48" s="777">
        <f>IF('[1]Tasa de Falla'!GV48=0,"",'[1]Tasa de Falla'!GV48)</f>
      </c>
      <c r="S48" s="778"/>
      <c r="T48" s="3"/>
    </row>
    <row r="49" spans="2:20" ht="15" customHeight="1">
      <c r="B49" s="2"/>
      <c r="C49" s="812">
        <f>IF('[1]Tasa de Falla'!C49=0,"",'[1]Tasa de Falla'!C49)</f>
        <v>21</v>
      </c>
      <c r="D49" s="813" t="str">
        <f>IF('[1]Tasa de Falla'!D49=0,"",'[1]Tasa de Falla'!D49)</f>
        <v>SAN ANTONIO OESTE - SIERRA GRANDE</v>
      </c>
      <c r="E49" s="813">
        <f>IF('[1]Tasa de Falla'!E49=0,"",'[1]Tasa de Falla'!E49)</f>
        <v>132</v>
      </c>
      <c r="F49" s="814">
        <f>IF('[1]Tasa de Falla'!F49=0,"",'[1]Tasa de Falla'!F49)</f>
        <v>110.3</v>
      </c>
      <c r="G49" s="777">
        <f>IF('[1]Tasa de Falla'!GK49=0,"",'[1]Tasa de Falla'!GK49)</f>
      </c>
      <c r="H49" s="777">
        <f>IF('[1]Tasa de Falla'!GL49=0,"",'[1]Tasa de Falla'!GL49)</f>
      </c>
      <c r="I49" s="777">
        <f>IF('[1]Tasa de Falla'!GM49=0,"",'[1]Tasa de Falla'!GM49)</f>
      </c>
      <c r="J49" s="777">
        <f>IF('[1]Tasa de Falla'!GN49=0,"",'[1]Tasa de Falla'!GN49)</f>
      </c>
      <c r="K49" s="777">
        <f>IF('[1]Tasa de Falla'!GO49=0,"",'[1]Tasa de Falla'!GO49)</f>
        <v>1</v>
      </c>
      <c r="L49" s="777">
        <f>IF('[1]Tasa de Falla'!GP49=0,"",'[1]Tasa de Falla'!GP49)</f>
      </c>
      <c r="M49" s="777">
        <f>IF('[1]Tasa de Falla'!GQ49=0,"",'[1]Tasa de Falla'!GQ49)</f>
      </c>
      <c r="N49" s="777">
        <f>IF('[1]Tasa de Falla'!GR49=0,"",'[1]Tasa de Falla'!GR49)</f>
      </c>
      <c r="O49" s="777">
        <f>IF('[1]Tasa de Falla'!GS49=0,"",'[1]Tasa de Falla'!GS49)</f>
        <v>1</v>
      </c>
      <c r="P49" s="777">
        <f>IF('[1]Tasa de Falla'!GT49=0,"",'[1]Tasa de Falla'!GT49)</f>
      </c>
      <c r="Q49" s="777">
        <f>IF('[1]Tasa de Falla'!GU49=0,"",'[1]Tasa de Falla'!GU49)</f>
      </c>
      <c r="R49" s="777">
        <f>IF('[1]Tasa de Falla'!GV49=0,"",'[1]Tasa de Falla'!GV49)</f>
      </c>
      <c r="S49" s="778"/>
      <c r="T49" s="3"/>
    </row>
    <row r="50" spans="2:20" ht="15" customHeight="1">
      <c r="B50" s="2"/>
      <c r="C50" s="779">
        <f>IF('[1]Tasa de Falla'!C50=0,"",'[1]Tasa de Falla'!C50)</f>
        <v>22</v>
      </c>
      <c r="D50" s="810" t="str">
        <f>IF('[1]Tasa de Falla'!D50=0,"",'[1]Tasa de Falla'!D50)</f>
        <v>SAN ANTONIO OESTE -VIEDMA-SAN ANTONIO ESTE</v>
      </c>
      <c r="E50" s="810">
        <f>IF('[1]Tasa de Falla'!E50=0,"",'[1]Tasa de Falla'!E50)</f>
        <v>132</v>
      </c>
      <c r="F50" s="811">
        <f>IF('[1]Tasa de Falla'!F50=0,"",'[1]Tasa de Falla'!F50)</f>
        <v>185.6</v>
      </c>
      <c r="G50" s="777">
        <f>IF('[1]Tasa de Falla'!GK50=0,"",'[1]Tasa de Falla'!GK50)</f>
      </c>
      <c r="H50" s="777">
        <f>IF('[1]Tasa de Falla'!GL50=0,"",'[1]Tasa de Falla'!GL50)</f>
      </c>
      <c r="I50" s="777">
        <f>IF('[1]Tasa de Falla'!GM50=0,"",'[1]Tasa de Falla'!GM50)</f>
      </c>
      <c r="J50" s="777">
        <f>IF('[1]Tasa de Falla'!GN50=0,"",'[1]Tasa de Falla'!GN50)</f>
      </c>
      <c r="K50" s="777">
        <f>IF('[1]Tasa de Falla'!GO50=0,"",'[1]Tasa de Falla'!GO50)</f>
        <v>3</v>
      </c>
      <c r="L50" s="777">
        <f>IF('[1]Tasa de Falla'!GP50=0,"",'[1]Tasa de Falla'!GP50)</f>
      </c>
      <c r="M50" s="777">
        <f>IF('[1]Tasa de Falla'!GQ50=0,"",'[1]Tasa de Falla'!GQ50)</f>
      </c>
      <c r="N50" s="777">
        <f>IF('[1]Tasa de Falla'!GR50=0,"",'[1]Tasa de Falla'!GR50)</f>
      </c>
      <c r="O50" s="777">
        <f>IF('[1]Tasa de Falla'!GS50=0,"",'[1]Tasa de Falla'!GS50)</f>
        <v>5</v>
      </c>
      <c r="P50" s="777">
        <f>IF('[1]Tasa de Falla'!GT50=0,"",'[1]Tasa de Falla'!GT50)</f>
      </c>
      <c r="Q50" s="777">
        <f>IF('[1]Tasa de Falla'!GU50=0,"",'[1]Tasa de Falla'!GU50)</f>
      </c>
      <c r="R50" s="777">
        <f>IF('[1]Tasa de Falla'!GV50=0,"",'[1]Tasa de Falla'!GV50)</f>
      </c>
      <c r="S50" s="778"/>
      <c r="T50" s="3"/>
    </row>
    <row r="51" spans="2:20" ht="15" customHeight="1" thickBot="1">
      <c r="B51" s="2"/>
      <c r="C51" s="780"/>
      <c r="D51" s="781"/>
      <c r="E51" s="782"/>
      <c r="F51" s="783"/>
      <c r="G51" s="777" t="str">
        <f>IF('[1]Tasa de Falla'!GK51=0,"",'[1]Tasa de Falla'!GK51)</f>
        <v>XXXX</v>
      </c>
      <c r="H51" s="777" t="str">
        <f>IF('[1]Tasa de Falla'!GL51=0,"",'[1]Tasa de Falla'!GL51)</f>
        <v>XXXX</v>
      </c>
      <c r="I51" s="777" t="str">
        <f>IF('[1]Tasa de Falla'!GM51=0,"",'[1]Tasa de Falla'!GM51)</f>
        <v>XXXX</v>
      </c>
      <c r="J51" s="777" t="str">
        <f>IF('[1]Tasa de Falla'!GN51=0,"",'[1]Tasa de Falla'!GN51)</f>
        <v>XXXX</v>
      </c>
      <c r="K51" s="777" t="str">
        <f>IF('[1]Tasa de Falla'!GO51=0,"",'[1]Tasa de Falla'!GO51)</f>
        <v>XXXX</v>
      </c>
      <c r="L51" s="777" t="str">
        <f>IF('[1]Tasa de Falla'!GP51=0,"",'[1]Tasa de Falla'!GP51)</f>
        <v>XXXX</v>
      </c>
      <c r="M51" s="777" t="str">
        <f>IF('[1]Tasa de Falla'!GQ51=0,"",'[1]Tasa de Falla'!GQ51)</f>
        <v>XXXX</v>
      </c>
      <c r="N51" s="777" t="str">
        <f>IF('[1]Tasa de Falla'!GR51=0,"",'[1]Tasa de Falla'!GR51)</f>
        <v>XXXX</v>
      </c>
      <c r="O51" s="777" t="str">
        <f>IF('[1]Tasa de Falla'!GS51=0,"",'[1]Tasa de Falla'!GS51)</f>
        <v>XXXX</v>
      </c>
      <c r="P51" s="777" t="str">
        <f>IF('[1]Tasa de Falla'!GT51=0,"",'[1]Tasa de Falla'!GT51)</f>
        <v>XXXX</v>
      </c>
      <c r="Q51" s="777" t="str">
        <f>IF('[1]Tasa de Falla'!GU51=0,"",'[1]Tasa de Falla'!GU51)</f>
        <v>XXXX</v>
      </c>
      <c r="R51" s="777" t="str">
        <f>IF('[1]Tasa de Falla'!GV51=0,"",'[1]Tasa de Falla'!GV51)</f>
        <v>XXXX</v>
      </c>
      <c r="S51" s="778"/>
      <c r="T51" s="3"/>
    </row>
    <row r="52" spans="2:20" ht="15" customHeight="1" thickBot="1" thickTop="1">
      <c r="B52" s="2"/>
      <c r="C52" s="74"/>
      <c r="D52" s="179"/>
      <c r="E52" s="784" t="s">
        <v>186</v>
      </c>
      <c r="F52" s="785">
        <f>SUM(F18:F51)-F34</f>
        <v>2631.2600000000007</v>
      </c>
      <c r="G52" s="786"/>
      <c r="H52" s="786"/>
      <c r="I52" s="786"/>
      <c r="J52" s="786"/>
      <c r="K52" s="786"/>
      <c r="L52" s="786"/>
      <c r="M52" s="786"/>
      <c r="N52" s="786"/>
      <c r="O52" s="786"/>
      <c r="P52" s="786"/>
      <c r="Q52" s="786"/>
      <c r="R52" s="786"/>
      <c r="S52" s="778"/>
      <c r="T52" s="3"/>
    </row>
    <row r="53" spans="2:20" ht="15" customHeight="1" thickBot="1" thickTop="1">
      <c r="B53" s="2"/>
      <c r="C53" s="30"/>
      <c r="D53" s="37"/>
      <c r="E53" s="787"/>
      <c r="F53" s="788" t="s">
        <v>187</v>
      </c>
      <c r="G53" s="789">
        <f aca="true" t="shared" si="0" ref="G53:R53">SUM(G17:G51)</f>
        <v>1</v>
      </c>
      <c r="H53" s="789">
        <f t="shared" si="0"/>
        <v>1</v>
      </c>
      <c r="I53" s="789">
        <f t="shared" si="0"/>
        <v>4</v>
      </c>
      <c r="J53" s="789">
        <f t="shared" si="0"/>
        <v>4</v>
      </c>
      <c r="K53" s="789">
        <f t="shared" si="0"/>
        <v>6</v>
      </c>
      <c r="L53" s="789">
        <f t="shared" si="0"/>
        <v>2</v>
      </c>
      <c r="M53" s="789">
        <f t="shared" si="0"/>
        <v>1</v>
      </c>
      <c r="N53" s="789">
        <f t="shared" si="0"/>
        <v>3</v>
      </c>
      <c r="O53" s="789">
        <f t="shared" si="0"/>
        <v>8</v>
      </c>
      <c r="P53" s="789">
        <f t="shared" si="0"/>
        <v>2</v>
      </c>
      <c r="Q53" s="789">
        <f t="shared" si="0"/>
        <v>1</v>
      </c>
      <c r="R53" s="789">
        <f t="shared" si="0"/>
        <v>1</v>
      </c>
      <c r="S53" s="790"/>
      <c r="T53" s="3"/>
    </row>
    <row r="54" spans="2:20" ht="17.25" thickBot="1" thickTop="1">
      <c r="B54" s="2"/>
      <c r="C54" s="787"/>
      <c r="D54" s="787"/>
      <c r="E54" s="30"/>
      <c r="F54" s="791" t="s">
        <v>188</v>
      </c>
      <c r="G54" s="792">
        <f>'[1]Tasa de Falla'!GK72</f>
        <v>1.22</v>
      </c>
      <c r="H54" s="792">
        <f>'[1]Tasa de Falla'!GL72</f>
        <v>1.11</v>
      </c>
      <c r="I54" s="792">
        <f>'[1]Tasa de Falla'!GM72</f>
        <v>0.87</v>
      </c>
      <c r="J54" s="792">
        <f>'[1]Tasa de Falla'!GN72</f>
        <v>0.93</v>
      </c>
      <c r="K54" s="792">
        <f>'[1]Tasa de Falla'!GO72</f>
        <v>1.03</v>
      </c>
      <c r="L54" s="792">
        <f>'[1]Tasa de Falla'!GP72</f>
        <v>1.24</v>
      </c>
      <c r="M54" s="792">
        <f>'[1]Tasa de Falla'!GQ72</f>
        <v>1.27</v>
      </c>
      <c r="N54" s="792">
        <f>'[1]Tasa de Falla'!GR72</f>
        <v>1.2</v>
      </c>
      <c r="O54" s="792">
        <f>'[1]Tasa de Falla'!GS72</f>
        <v>1.2</v>
      </c>
      <c r="P54" s="792">
        <f>'[1]Tasa de Falla'!GT72</f>
        <v>1.44</v>
      </c>
      <c r="Q54" s="792">
        <f>'[1]Tasa de Falla'!GU72</f>
        <v>1.37</v>
      </c>
      <c r="R54" s="792">
        <f>'[1]Tasa de Falla'!GV72</f>
        <v>1.27</v>
      </c>
      <c r="S54" s="792">
        <f>'[1]Tasa de Falla'!GW72</f>
        <v>1.3</v>
      </c>
      <c r="T54" s="3"/>
    </row>
    <row r="55" spans="2:20" ht="18.75" customHeight="1" thickBot="1" thickTop="1">
      <c r="B55" s="2"/>
      <c r="C55" s="793" t="s">
        <v>189</v>
      </c>
      <c r="D55" s="30" t="s">
        <v>190</v>
      </c>
      <c r="E55" s="794"/>
      <c r="F55" s="795"/>
      <c r="G55" s="796"/>
      <c r="H55" s="796"/>
      <c r="I55" s="796"/>
      <c r="J55" s="796"/>
      <c r="K55" s="796"/>
      <c r="L55" s="796"/>
      <c r="M55" s="796"/>
      <c r="N55" s="796"/>
      <c r="O55" s="796"/>
      <c r="P55" s="796"/>
      <c r="Q55" s="796"/>
      <c r="R55" s="796"/>
      <c r="S55" s="796"/>
      <c r="T55" s="61"/>
    </row>
    <row r="56" spans="2:20" ht="17.25" thickBot="1" thickTop="1">
      <c r="B56" s="797"/>
      <c r="C56" s="798"/>
      <c r="D56" s="799" t="s">
        <v>191</v>
      </c>
      <c r="H56" s="800" t="s">
        <v>192</v>
      </c>
      <c r="I56" s="801"/>
      <c r="J56" s="802">
        <f>S54</f>
        <v>1.3</v>
      </c>
      <c r="K56" s="803" t="s">
        <v>193</v>
      </c>
      <c r="L56" s="803"/>
      <c r="M56" s="804"/>
      <c r="N56" s="799"/>
      <c r="O56" s="799"/>
      <c r="P56" s="799"/>
      <c r="Q56" s="799"/>
      <c r="R56" s="799"/>
      <c r="S56" s="799"/>
      <c r="T56" s="3"/>
    </row>
    <row r="57" spans="2:20" ht="18.75" customHeight="1" thickBot="1">
      <c r="B57" s="805"/>
      <c r="C57" s="806"/>
      <c r="D57" s="49"/>
      <c r="E57" s="49"/>
      <c r="F57" s="807"/>
      <c r="G57" s="808"/>
      <c r="H57" s="808"/>
      <c r="I57" s="808"/>
      <c r="J57" s="808"/>
      <c r="K57" s="808"/>
      <c r="L57" s="808"/>
      <c r="M57" s="808"/>
      <c r="N57" s="808"/>
      <c r="O57" s="808"/>
      <c r="P57" s="808"/>
      <c r="Q57" s="808"/>
      <c r="R57" s="808"/>
      <c r="S57" s="808"/>
      <c r="T57" s="809"/>
    </row>
    <row r="58" ht="13.5" thickTop="1"/>
  </sheetData>
  <printOptions horizontalCentered="1" verticalCentered="1"/>
  <pageMargins left="0.26" right="0.1968503937007874" top="0.7874015748031497" bottom="0.52" header="0.5118110236220472" footer="0.2"/>
  <pageSetup fitToHeight="1" fitToWidth="1" horizontalDpi="300" verticalDpi="300" orientation="landscape" paperSize="9" scale="52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B91"/>
  <sheetViews>
    <sheetView zoomScale="70" zoomScaleNormal="70" workbookViewId="0" topLeftCell="C13">
      <selection activeCell="B3" sqref="B3"/>
    </sheetView>
  </sheetViews>
  <sheetFormatPr defaultColWidth="11.421875" defaultRowHeight="12.75"/>
  <cols>
    <col min="1" max="2" width="4.28125" style="0" customWidth="1"/>
    <col min="3" max="3" width="5.421875" style="0" customWidth="1"/>
    <col min="4" max="5" width="13.7109375" style="0" customWidth="1"/>
    <col min="6" max="6" width="45.7109375" style="0" customWidth="1"/>
    <col min="7" max="7" width="9.7109375" style="0" customWidth="1"/>
    <col min="8" max="8" width="9.421875" style="0" customWidth="1"/>
    <col min="9" max="9" width="12.7109375" style="0" hidden="1" customWidth="1"/>
    <col min="10" max="11" width="15.7109375" style="0" customWidth="1"/>
    <col min="12" max="14" width="9.710937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28125" style="0" customWidth="1"/>
  </cols>
  <sheetData>
    <row r="1" s="109" customFormat="1" ht="26.25">
      <c r="AB1" s="416"/>
    </row>
    <row r="2" spans="2:28" s="109" customFormat="1" ht="26.25">
      <c r="B2" s="110" t="str">
        <f>+'TOT-0511'!B2</f>
        <v>ANEXO V al Memorandum  D.T.E.E.  N°482  / 2012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</row>
    <row r="3" s="10" customFormat="1" ht="12.75"/>
    <row r="4" spans="1:3" s="112" customFormat="1" ht="11.25">
      <c r="A4" s="707" t="s">
        <v>21</v>
      </c>
      <c r="C4" s="706"/>
    </row>
    <row r="5" spans="1:3" s="112" customFormat="1" ht="11.25">
      <c r="A5" s="707" t="s">
        <v>146</v>
      </c>
      <c r="C5" s="706"/>
    </row>
    <row r="6" s="10" customFormat="1" ht="13.5" thickBot="1"/>
    <row r="7" spans="1:28" s="10" customFormat="1" ht="13.5" thickTop="1">
      <c r="A7" s="8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3"/>
    </row>
    <row r="8" spans="1:28" s="114" customFormat="1" ht="20.25">
      <c r="A8" s="45"/>
      <c r="B8" s="113"/>
      <c r="C8" s="45"/>
      <c r="D8" s="45"/>
      <c r="E8" s="45"/>
      <c r="F8" s="21" t="s">
        <v>46</v>
      </c>
      <c r="G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115"/>
    </row>
    <row r="9" spans="1:28" s="10" customFormat="1" ht="12.75">
      <c r="A9" s="8"/>
      <c r="B9" s="44"/>
      <c r="C9" s="8"/>
      <c r="D9" s="8"/>
      <c r="E9" s="8"/>
      <c r="F9" s="126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1"/>
    </row>
    <row r="10" spans="1:28" s="114" customFormat="1" ht="20.25">
      <c r="A10" s="45"/>
      <c r="B10" s="113"/>
      <c r="C10" s="45"/>
      <c r="D10" s="45"/>
      <c r="E10" s="45"/>
      <c r="F10" s="21" t="s">
        <v>47</v>
      </c>
      <c r="G10" s="21"/>
      <c r="H10" s="45"/>
      <c r="I10" s="116"/>
      <c r="J10" s="116"/>
      <c r="K10" s="116"/>
      <c r="L10" s="116"/>
      <c r="M10" s="116"/>
      <c r="N10" s="116"/>
      <c r="O10" s="116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115"/>
    </row>
    <row r="11" spans="1:28" s="10" customFormat="1" ht="12.75">
      <c r="A11" s="8"/>
      <c r="B11" s="44"/>
      <c r="C11" s="8"/>
      <c r="D11" s="8"/>
      <c r="E11" s="8"/>
      <c r="F11" s="125"/>
      <c r="G11" s="123"/>
      <c r="H11" s="8"/>
      <c r="I11" s="122"/>
      <c r="J11" s="122"/>
      <c r="K11" s="122"/>
      <c r="L11" s="122"/>
      <c r="M11" s="122"/>
      <c r="N11" s="122"/>
      <c r="O11" s="122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1"/>
    </row>
    <row r="12" spans="1:28" s="114" customFormat="1" ht="20.25">
      <c r="A12" s="45"/>
      <c r="B12" s="113"/>
      <c r="C12" s="45"/>
      <c r="D12" s="45"/>
      <c r="E12" s="45"/>
      <c r="F12" s="21" t="s">
        <v>48</v>
      </c>
      <c r="G12" s="21"/>
      <c r="H12" s="45"/>
      <c r="I12" s="116"/>
      <c r="J12" s="116"/>
      <c r="K12" s="116"/>
      <c r="L12" s="116"/>
      <c r="M12" s="116"/>
      <c r="N12" s="116"/>
      <c r="O12" s="116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115"/>
    </row>
    <row r="13" spans="1:28" s="10" customFormat="1" ht="12.75">
      <c r="A13" s="8"/>
      <c r="B13" s="44"/>
      <c r="C13" s="8"/>
      <c r="D13" s="8"/>
      <c r="E13" s="8"/>
      <c r="F13" s="125"/>
      <c r="G13" s="123"/>
      <c r="H13" s="8"/>
      <c r="I13" s="122"/>
      <c r="J13" s="122"/>
      <c r="K13" s="122"/>
      <c r="L13" s="122"/>
      <c r="M13" s="122"/>
      <c r="N13" s="122"/>
      <c r="O13" s="122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11"/>
    </row>
    <row r="14" spans="1:28" s="121" customFormat="1" ht="19.5">
      <c r="A14" s="47"/>
      <c r="B14" s="87" t="str">
        <f>+'TOT-0511'!B14</f>
        <v>Desde el 01 al 31 de mayo de 2011</v>
      </c>
      <c r="C14" s="117"/>
      <c r="D14" s="117"/>
      <c r="E14" s="117"/>
      <c r="F14" s="117"/>
      <c r="G14" s="118"/>
      <c r="H14" s="118"/>
      <c r="I14" s="119"/>
      <c r="J14" s="119"/>
      <c r="K14" s="119"/>
      <c r="L14" s="119"/>
      <c r="M14" s="119"/>
      <c r="N14" s="119"/>
      <c r="O14" s="119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20"/>
    </row>
    <row r="15" spans="1:28" s="10" customFormat="1" ht="13.5" thickBot="1">
      <c r="A15" s="8"/>
      <c r="B15" s="44"/>
      <c r="C15" s="8"/>
      <c r="D15" s="8"/>
      <c r="E15" s="8"/>
      <c r="F15" s="8"/>
      <c r="G15" s="123"/>
      <c r="H15" s="124"/>
      <c r="I15" s="122"/>
      <c r="J15" s="122"/>
      <c r="K15" s="122"/>
      <c r="L15" s="122"/>
      <c r="M15" s="122"/>
      <c r="N15" s="122"/>
      <c r="O15" s="122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11"/>
    </row>
    <row r="16" spans="1:28" s="95" customFormat="1" ht="16.5" customHeight="1" thickBot="1" thickTop="1">
      <c r="A16" s="91"/>
      <c r="B16" s="92"/>
      <c r="C16" s="91"/>
      <c r="D16" s="91"/>
      <c r="E16" s="91"/>
      <c r="F16" s="510" t="s">
        <v>49</v>
      </c>
      <c r="G16" s="511">
        <v>72.965</v>
      </c>
      <c r="H16" s="512"/>
      <c r="I16" s="96"/>
      <c r="J16" s="96"/>
      <c r="K16" s="96"/>
      <c r="L16" s="96"/>
      <c r="M16" s="96"/>
      <c r="N16" s="96"/>
      <c r="O16" s="96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4"/>
    </row>
    <row r="17" spans="1:28" s="95" customFormat="1" ht="16.5" customHeight="1" thickBot="1" thickTop="1">
      <c r="A17" s="91"/>
      <c r="B17" s="92"/>
      <c r="C17" s="91"/>
      <c r="D17" s="91"/>
      <c r="E17" s="91"/>
      <c r="F17" s="510" t="s">
        <v>50</v>
      </c>
      <c r="G17" s="511">
        <v>69.722</v>
      </c>
      <c r="H17" s="513"/>
      <c r="I17" s="91"/>
      <c r="K17" s="97" t="s">
        <v>51</v>
      </c>
      <c r="L17" s="98">
        <f>30*'TOT-0511'!B13</f>
        <v>30</v>
      </c>
      <c r="M17" s="239" t="str">
        <f>IF(L17=30," ",IF(L17=60,"Coeficiente duplicado por tasa de falla &gt;4 Sal. x año/100 km.","REVISAR COEFICIENTE"))</f>
        <v> </v>
      </c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4"/>
    </row>
    <row r="18" spans="1:28" s="732" customFormat="1" ht="14.25" thickBot="1" thickTop="1">
      <c r="A18" s="728"/>
      <c r="B18" s="729"/>
      <c r="C18" s="730">
        <v>3</v>
      </c>
      <c r="D18" s="730">
        <v>4</v>
      </c>
      <c r="E18" s="730">
        <v>5</v>
      </c>
      <c r="F18" s="730">
        <v>6</v>
      </c>
      <c r="G18" s="730">
        <v>7</v>
      </c>
      <c r="H18" s="730">
        <v>8</v>
      </c>
      <c r="I18" s="730">
        <v>9</v>
      </c>
      <c r="J18" s="730">
        <v>10</v>
      </c>
      <c r="K18" s="730">
        <v>11</v>
      </c>
      <c r="L18" s="730">
        <v>12</v>
      </c>
      <c r="M18" s="730">
        <v>13</v>
      </c>
      <c r="N18" s="730">
        <v>14</v>
      </c>
      <c r="O18" s="730">
        <v>15</v>
      </c>
      <c r="P18" s="730">
        <v>16</v>
      </c>
      <c r="Q18" s="730">
        <v>17</v>
      </c>
      <c r="R18" s="730">
        <v>18</v>
      </c>
      <c r="S18" s="730">
        <v>19</v>
      </c>
      <c r="T18" s="730">
        <v>20</v>
      </c>
      <c r="U18" s="730">
        <v>21</v>
      </c>
      <c r="V18" s="730">
        <v>22</v>
      </c>
      <c r="W18" s="730">
        <v>23</v>
      </c>
      <c r="X18" s="730">
        <v>24</v>
      </c>
      <c r="Y18" s="730">
        <v>25</v>
      </c>
      <c r="Z18" s="730">
        <v>26</v>
      </c>
      <c r="AA18" s="730">
        <v>27</v>
      </c>
      <c r="AB18" s="731"/>
    </row>
    <row r="19" spans="1:28" s="108" customFormat="1" ht="33.75" customHeight="1" thickBot="1" thickTop="1">
      <c r="A19" s="99"/>
      <c r="B19" s="100"/>
      <c r="C19" s="101" t="s">
        <v>52</v>
      </c>
      <c r="D19" s="101" t="s">
        <v>145</v>
      </c>
      <c r="E19" s="101" t="s">
        <v>144</v>
      </c>
      <c r="F19" s="102" t="s">
        <v>24</v>
      </c>
      <c r="G19" s="103" t="s">
        <v>53</v>
      </c>
      <c r="H19" s="104" t="s">
        <v>54</v>
      </c>
      <c r="I19" s="269" t="s">
        <v>55</v>
      </c>
      <c r="J19" s="102" t="s">
        <v>56</v>
      </c>
      <c r="K19" s="102" t="s">
        <v>57</v>
      </c>
      <c r="L19" s="103" t="s">
        <v>58</v>
      </c>
      <c r="M19" s="103" t="s">
        <v>59</v>
      </c>
      <c r="N19" s="105" t="s">
        <v>60</v>
      </c>
      <c r="O19" s="103" t="s">
        <v>61</v>
      </c>
      <c r="P19" s="298" t="s">
        <v>62</v>
      </c>
      <c r="Q19" s="301" t="s">
        <v>63</v>
      </c>
      <c r="R19" s="304" t="s">
        <v>64</v>
      </c>
      <c r="S19" s="305"/>
      <c r="T19" s="306"/>
      <c r="U19" s="315" t="s">
        <v>65</v>
      </c>
      <c r="V19" s="316"/>
      <c r="W19" s="317"/>
      <c r="X19" s="325" t="s">
        <v>66</v>
      </c>
      <c r="Y19" s="328" t="s">
        <v>67</v>
      </c>
      <c r="Z19" s="106" t="s">
        <v>68</v>
      </c>
      <c r="AA19" s="106" t="s">
        <v>69</v>
      </c>
      <c r="AB19" s="107"/>
    </row>
    <row r="20" spans="1:28" ht="16.5" customHeight="1" thickTop="1">
      <c r="A20" s="1"/>
      <c r="B20" s="2"/>
      <c r="C20" s="51"/>
      <c r="D20" s="705"/>
      <c r="E20" s="705"/>
      <c r="F20" s="413"/>
      <c r="G20" s="53"/>
      <c r="H20" s="53"/>
      <c r="I20" s="405"/>
      <c r="J20" s="53"/>
      <c r="K20" s="54"/>
      <c r="L20" s="54"/>
      <c r="M20" s="54"/>
      <c r="N20" s="52"/>
      <c r="O20" s="53"/>
      <c r="P20" s="299"/>
      <c r="Q20" s="302"/>
      <c r="R20" s="307"/>
      <c r="S20" s="308"/>
      <c r="T20" s="309"/>
      <c r="U20" s="318"/>
      <c r="V20" s="319"/>
      <c r="W20" s="320"/>
      <c r="X20" s="326"/>
      <c r="Y20" s="329"/>
      <c r="Z20" s="313"/>
      <c r="AA20" s="414"/>
      <c r="AB20" s="3"/>
    </row>
    <row r="21" spans="1:28" ht="16.5" customHeight="1">
      <c r="A21" s="1"/>
      <c r="B21" s="2"/>
      <c r="C21" s="536"/>
      <c r="D21" s="703"/>
      <c r="E21" s="703"/>
      <c r="F21" s="536"/>
      <c r="G21" s="537"/>
      <c r="H21" s="537"/>
      <c r="I21" s="406"/>
      <c r="J21" s="536"/>
      <c r="K21" s="538"/>
      <c r="L21" s="90"/>
      <c r="M21" s="90"/>
      <c r="N21" s="539"/>
      <c r="O21" s="536"/>
      <c r="P21" s="540"/>
      <c r="Q21" s="541"/>
      <c r="R21" s="542"/>
      <c r="S21" s="543"/>
      <c r="T21" s="544"/>
      <c r="U21" s="545"/>
      <c r="V21" s="546"/>
      <c r="W21" s="547"/>
      <c r="X21" s="548"/>
      <c r="Y21" s="549"/>
      <c r="Z21" s="550"/>
      <c r="AA21" s="90"/>
      <c r="AB21" s="3"/>
    </row>
    <row r="22" spans="1:28" ht="16.5" customHeight="1">
      <c r="A22" s="1"/>
      <c r="B22" s="2"/>
      <c r="C22" s="514">
        <v>1</v>
      </c>
      <c r="D22" s="514">
        <v>235045</v>
      </c>
      <c r="E22" s="514">
        <v>1637</v>
      </c>
      <c r="F22" s="515" t="s">
        <v>151</v>
      </c>
      <c r="G22" s="516">
        <v>330</v>
      </c>
      <c r="H22" s="517">
        <v>550</v>
      </c>
      <c r="I22" s="407">
        <f aca="true" t="shared" si="0" ref="I22:I41">IF(H22&gt;25,H22,25)*IF(G22=330,$G$16,$G$17)/100</f>
        <v>401.3075</v>
      </c>
      <c r="J22" s="522">
        <v>40694.39166666667</v>
      </c>
      <c r="K22" s="522">
        <v>40694.61736111111</v>
      </c>
      <c r="L22" s="13">
        <f aca="true" t="shared" si="1" ref="L22:L41">IF(F22="","",(K22-J22)*24)</f>
        <v>5.416666666511446</v>
      </c>
      <c r="M22" s="14">
        <f aca="true" t="shared" si="2" ref="M22:M41">IF(F22="","",ROUND((K22-J22)*24*60,0))</f>
        <v>325</v>
      </c>
      <c r="N22" s="523" t="s">
        <v>152</v>
      </c>
      <c r="O22" s="725" t="s">
        <v>154</v>
      </c>
      <c r="P22" s="710">
        <f aca="true" t="shared" si="3" ref="P22:P41">IF(N22="P",ROUND(M22/60,2)*I22*$L$17*0.01,"--")</f>
        <v>652.5259950000001</v>
      </c>
      <c r="Q22" s="711" t="str">
        <f aca="true" t="shared" si="4" ref="Q22:Q41">IF(N22="RP",ROUND(M22/60,2)*I22*$L$17*0.01*O22/100,"--")</f>
        <v>--</v>
      </c>
      <c r="R22" s="712" t="str">
        <f aca="true" t="shared" si="5" ref="R22:R41">IF(N22="F",I22*$L$17,"--")</f>
        <v>--</v>
      </c>
      <c r="S22" s="713" t="str">
        <f aca="true" t="shared" si="6" ref="S22:S41">IF(AND(M22&gt;10,N22="F"),I22*$L$17*IF(M22&gt;180,3,ROUND(M22/60,2)),"--")</f>
        <v>--</v>
      </c>
      <c r="T22" s="714" t="str">
        <f aca="true" t="shared" si="7" ref="T22:T41">IF(AND(M22&gt;180,N22="F"),(ROUND(M22/60,2)-3)*I22*$L$17*0.1,"--")</f>
        <v>--</v>
      </c>
      <c r="U22" s="715" t="str">
        <f aca="true" t="shared" si="8" ref="U22:U41">IF(N22="R",I22*$L$17*O22/100,"--")</f>
        <v>--</v>
      </c>
      <c r="V22" s="716" t="str">
        <f aca="true" t="shared" si="9" ref="V22:V41">IF(AND(M22&gt;10,N22="R"),I22*$L$17*O22/100*IF(M22&gt;180,3,ROUND(M22/60,2)),"--")</f>
        <v>--</v>
      </c>
      <c r="W22" s="717" t="str">
        <f aca="true" t="shared" si="10" ref="W22:W41">IF(AND(M22&gt;180,N22="R"),(ROUND(M22/60,2)-3)*O22/100*I22*$L$17*0.1,"--")</f>
        <v>--</v>
      </c>
      <c r="X22" s="718" t="str">
        <f aca="true" t="shared" si="11" ref="X22:X41">IF(N22="RF",ROUND(M22/60,2)*I22*$L$17*0.1,"--")</f>
        <v>--</v>
      </c>
      <c r="Y22" s="719" t="str">
        <f aca="true" t="shared" si="12" ref="Y22:Y41">IF(N22="RR",ROUND(M22/60,2)*O22/100*I22*$L$17*0.1,"--")</f>
        <v>--</v>
      </c>
      <c r="Z22" s="720" t="s">
        <v>153</v>
      </c>
      <c r="AA22" s="55">
        <f aca="true" t="shared" si="13" ref="AA22:AA41">IF(F22="","",SUM(P22:Y22)*IF(Z22="SI",1,2))</f>
        <v>652.5259950000001</v>
      </c>
      <c r="AB22" s="3"/>
    </row>
    <row r="23" spans="1:28" ht="16.5" customHeight="1">
      <c r="A23" s="1"/>
      <c r="B23" s="2"/>
      <c r="C23" s="514"/>
      <c r="D23" s="514"/>
      <c r="E23" s="514"/>
      <c r="F23" s="515"/>
      <c r="G23" s="516"/>
      <c r="H23" s="517"/>
      <c r="I23" s="407">
        <f t="shared" si="0"/>
        <v>17.4305</v>
      </c>
      <c r="J23" s="522"/>
      <c r="K23" s="522"/>
      <c r="L23" s="13">
        <f t="shared" si="1"/>
      </c>
      <c r="M23" s="14">
        <f t="shared" si="2"/>
      </c>
      <c r="N23" s="523"/>
      <c r="O23" s="709">
        <f aca="true" t="shared" si="14" ref="O23:O41">IF(F23="","","--")</f>
      </c>
      <c r="P23" s="710" t="str">
        <f t="shared" si="3"/>
        <v>--</v>
      </c>
      <c r="Q23" s="711" t="str">
        <f t="shared" si="4"/>
        <v>--</v>
      </c>
      <c r="R23" s="712" t="str">
        <f t="shared" si="5"/>
        <v>--</v>
      </c>
      <c r="S23" s="713" t="str">
        <f t="shared" si="6"/>
        <v>--</v>
      </c>
      <c r="T23" s="714" t="str">
        <f t="shared" si="7"/>
        <v>--</v>
      </c>
      <c r="U23" s="715" t="str">
        <f t="shared" si="8"/>
        <v>--</v>
      </c>
      <c r="V23" s="716" t="str">
        <f t="shared" si="9"/>
        <v>--</v>
      </c>
      <c r="W23" s="717" t="str">
        <f t="shared" si="10"/>
        <v>--</v>
      </c>
      <c r="X23" s="718" t="str">
        <f t="shared" si="11"/>
        <v>--</v>
      </c>
      <c r="Y23" s="719" t="str">
        <f t="shared" si="12"/>
        <v>--</v>
      </c>
      <c r="Z23" s="720">
        <f aca="true" t="shared" si="15" ref="Z23:Z41">IF(F23="","","SI")</f>
      </c>
      <c r="AA23" s="55">
        <f t="shared" si="13"/>
      </c>
      <c r="AB23" s="3"/>
    </row>
    <row r="24" spans="1:28" ht="16.5" customHeight="1">
      <c r="A24" s="1"/>
      <c r="B24" s="2"/>
      <c r="C24" s="514"/>
      <c r="D24" s="514"/>
      <c r="E24" s="514"/>
      <c r="F24" s="515"/>
      <c r="G24" s="516"/>
      <c r="H24" s="517"/>
      <c r="I24" s="407">
        <f t="shared" si="0"/>
        <v>17.4305</v>
      </c>
      <c r="J24" s="522"/>
      <c r="K24" s="522"/>
      <c r="L24" s="13">
        <f t="shared" si="1"/>
      </c>
      <c r="M24" s="14">
        <f t="shared" si="2"/>
      </c>
      <c r="N24" s="523"/>
      <c r="O24" s="709">
        <f t="shared" si="14"/>
      </c>
      <c r="P24" s="710" t="str">
        <f t="shared" si="3"/>
        <v>--</v>
      </c>
      <c r="Q24" s="711" t="str">
        <f t="shared" si="4"/>
        <v>--</v>
      </c>
      <c r="R24" s="712" t="str">
        <f t="shared" si="5"/>
        <v>--</v>
      </c>
      <c r="S24" s="713" t="str">
        <f t="shared" si="6"/>
        <v>--</v>
      </c>
      <c r="T24" s="714" t="str">
        <f t="shared" si="7"/>
        <v>--</v>
      </c>
      <c r="U24" s="715" t="str">
        <f t="shared" si="8"/>
        <v>--</v>
      </c>
      <c r="V24" s="716" t="str">
        <f t="shared" si="9"/>
        <v>--</v>
      </c>
      <c r="W24" s="717" t="str">
        <f t="shared" si="10"/>
        <v>--</v>
      </c>
      <c r="X24" s="718" t="str">
        <f t="shared" si="11"/>
        <v>--</v>
      </c>
      <c r="Y24" s="719" t="str">
        <f t="shared" si="12"/>
        <v>--</v>
      </c>
      <c r="Z24" s="720">
        <f t="shared" si="15"/>
      </c>
      <c r="AA24" s="55">
        <f t="shared" si="13"/>
      </c>
      <c r="AB24" s="3"/>
    </row>
    <row r="25" spans="1:28" ht="16.5" customHeight="1">
      <c r="A25" s="1"/>
      <c r="B25" s="2"/>
      <c r="C25" s="514"/>
      <c r="D25" s="514"/>
      <c r="E25" s="514"/>
      <c r="F25" s="515"/>
      <c r="G25" s="516"/>
      <c r="H25" s="517"/>
      <c r="I25" s="407">
        <f t="shared" si="0"/>
        <v>17.4305</v>
      </c>
      <c r="J25" s="522"/>
      <c r="K25" s="522"/>
      <c r="L25" s="13">
        <f t="shared" si="1"/>
      </c>
      <c r="M25" s="14">
        <f t="shared" si="2"/>
      </c>
      <c r="N25" s="523"/>
      <c r="O25" s="709">
        <f t="shared" si="14"/>
      </c>
      <c r="P25" s="710" t="str">
        <f t="shared" si="3"/>
        <v>--</v>
      </c>
      <c r="Q25" s="711" t="str">
        <f t="shared" si="4"/>
        <v>--</v>
      </c>
      <c r="R25" s="712" t="str">
        <f t="shared" si="5"/>
        <v>--</v>
      </c>
      <c r="S25" s="713" t="str">
        <f t="shared" si="6"/>
        <v>--</v>
      </c>
      <c r="T25" s="714" t="str">
        <f t="shared" si="7"/>
        <v>--</v>
      </c>
      <c r="U25" s="715" t="str">
        <f t="shared" si="8"/>
        <v>--</v>
      </c>
      <c r="V25" s="716" t="str">
        <f t="shared" si="9"/>
        <v>--</v>
      </c>
      <c r="W25" s="717" t="str">
        <f t="shared" si="10"/>
        <v>--</v>
      </c>
      <c r="X25" s="718" t="str">
        <f t="shared" si="11"/>
        <v>--</v>
      </c>
      <c r="Y25" s="719" t="str">
        <f t="shared" si="12"/>
        <v>--</v>
      </c>
      <c r="Z25" s="720">
        <f t="shared" si="15"/>
      </c>
      <c r="AA25" s="55">
        <f t="shared" si="13"/>
      </c>
      <c r="AB25" s="3"/>
    </row>
    <row r="26" spans="1:28" ht="16.5" customHeight="1">
      <c r="A26" s="1"/>
      <c r="B26" s="2"/>
      <c r="C26" s="514"/>
      <c r="D26" s="514"/>
      <c r="E26" s="514"/>
      <c r="F26" s="515"/>
      <c r="G26" s="516"/>
      <c r="H26" s="517"/>
      <c r="I26" s="407">
        <f t="shared" si="0"/>
        <v>17.4305</v>
      </c>
      <c r="J26" s="522"/>
      <c r="K26" s="522"/>
      <c r="L26" s="13">
        <f t="shared" si="1"/>
      </c>
      <c r="M26" s="14">
        <f t="shared" si="2"/>
      </c>
      <c r="N26" s="523"/>
      <c r="O26" s="709">
        <f t="shared" si="14"/>
      </c>
      <c r="P26" s="710" t="str">
        <f t="shared" si="3"/>
        <v>--</v>
      </c>
      <c r="Q26" s="711" t="str">
        <f t="shared" si="4"/>
        <v>--</v>
      </c>
      <c r="R26" s="712" t="str">
        <f t="shared" si="5"/>
        <v>--</v>
      </c>
      <c r="S26" s="713" t="str">
        <f t="shared" si="6"/>
        <v>--</v>
      </c>
      <c r="T26" s="714" t="str">
        <f t="shared" si="7"/>
        <v>--</v>
      </c>
      <c r="U26" s="715" t="str">
        <f t="shared" si="8"/>
        <v>--</v>
      </c>
      <c r="V26" s="716" t="str">
        <f t="shared" si="9"/>
        <v>--</v>
      </c>
      <c r="W26" s="717" t="str">
        <f t="shared" si="10"/>
        <v>--</v>
      </c>
      <c r="X26" s="718" t="str">
        <f t="shared" si="11"/>
        <v>--</v>
      </c>
      <c r="Y26" s="719" t="str">
        <f t="shared" si="12"/>
        <v>--</v>
      </c>
      <c r="Z26" s="720">
        <f t="shared" si="15"/>
      </c>
      <c r="AA26" s="55">
        <f t="shared" si="13"/>
      </c>
      <c r="AB26" s="3"/>
    </row>
    <row r="27" spans="1:28" ht="16.5" customHeight="1">
      <c r="A27" s="1"/>
      <c r="B27" s="2"/>
      <c r="C27" s="514"/>
      <c r="D27" s="514"/>
      <c r="E27" s="514"/>
      <c r="F27" s="515"/>
      <c r="G27" s="516"/>
      <c r="H27" s="517"/>
      <c r="I27" s="407">
        <f t="shared" si="0"/>
        <v>17.4305</v>
      </c>
      <c r="J27" s="522"/>
      <c r="K27" s="522"/>
      <c r="L27" s="13">
        <f t="shared" si="1"/>
      </c>
      <c r="M27" s="14">
        <f t="shared" si="2"/>
      </c>
      <c r="N27" s="523"/>
      <c r="O27" s="709">
        <f t="shared" si="14"/>
      </c>
      <c r="P27" s="710" t="str">
        <f t="shared" si="3"/>
        <v>--</v>
      </c>
      <c r="Q27" s="711" t="str">
        <f t="shared" si="4"/>
        <v>--</v>
      </c>
      <c r="R27" s="712" t="str">
        <f t="shared" si="5"/>
        <v>--</v>
      </c>
      <c r="S27" s="713" t="str">
        <f t="shared" si="6"/>
        <v>--</v>
      </c>
      <c r="T27" s="714" t="str">
        <f t="shared" si="7"/>
        <v>--</v>
      </c>
      <c r="U27" s="715" t="str">
        <f t="shared" si="8"/>
        <v>--</v>
      </c>
      <c r="V27" s="716" t="str">
        <f t="shared" si="9"/>
        <v>--</v>
      </c>
      <c r="W27" s="717" t="str">
        <f t="shared" si="10"/>
        <v>--</v>
      </c>
      <c r="X27" s="718" t="str">
        <f t="shared" si="11"/>
        <v>--</v>
      </c>
      <c r="Y27" s="719" t="str">
        <f t="shared" si="12"/>
        <v>--</v>
      </c>
      <c r="Z27" s="720">
        <f t="shared" si="15"/>
      </c>
      <c r="AA27" s="55">
        <f t="shared" si="13"/>
      </c>
      <c r="AB27" s="3"/>
    </row>
    <row r="28" spans="1:28" ht="16.5" customHeight="1">
      <c r="A28" s="1"/>
      <c r="B28" s="2"/>
      <c r="C28" s="514"/>
      <c r="D28" s="514"/>
      <c r="E28" s="514"/>
      <c r="F28" s="515"/>
      <c r="G28" s="516"/>
      <c r="H28" s="517"/>
      <c r="I28" s="407">
        <f t="shared" si="0"/>
        <v>17.4305</v>
      </c>
      <c r="J28" s="522"/>
      <c r="K28" s="522"/>
      <c r="L28" s="13">
        <f t="shared" si="1"/>
      </c>
      <c r="M28" s="14">
        <f t="shared" si="2"/>
      </c>
      <c r="N28" s="523"/>
      <c r="O28" s="709">
        <f t="shared" si="14"/>
      </c>
      <c r="P28" s="710" t="str">
        <f t="shared" si="3"/>
        <v>--</v>
      </c>
      <c r="Q28" s="711" t="str">
        <f t="shared" si="4"/>
        <v>--</v>
      </c>
      <c r="R28" s="712" t="str">
        <f t="shared" si="5"/>
        <v>--</v>
      </c>
      <c r="S28" s="713" t="str">
        <f t="shared" si="6"/>
        <v>--</v>
      </c>
      <c r="T28" s="714" t="str">
        <f t="shared" si="7"/>
        <v>--</v>
      </c>
      <c r="U28" s="715" t="str">
        <f t="shared" si="8"/>
        <v>--</v>
      </c>
      <c r="V28" s="716" t="str">
        <f t="shared" si="9"/>
        <v>--</v>
      </c>
      <c r="W28" s="717" t="str">
        <f t="shared" si="10"/>
        <v>--</v>
      </c>
      <c r="X28" s="718" t="str">
        <f t="shared" si="11"/>
        <v>--</v>
      </c>
      <c r="Y28" s="719" t="str">
        <f t="shared" si="12"/>
        <v>--</v>
      </c>
      <c r="Z28" s="720">
        <f t="shared" si="15"/>
      </c>
      <c r="AA28" s="55">
        <f t="shared" si="13"/>
      </c>
      <c r="AB28" s="3"/>
    </row>
    <row r="29" spans="1:28" ht="16.5" customHeight="1">
      <c r="A29" s="1"/>
      <c r="B29" s="2"/>
      <c r="C29" s="514"/>
      <c r="D29" s="514"/>
      <c r="E29" s="514"/>
      <c r="F29" s="515"/>
      <c r="G29" s="516"/>
      <c r="H29" s="517"/>
      <c r="I29" s="407">
        <f t="shared" si="0"/>
        <v>17.4305</v>
      </c>
      <c r="J29" s="522"/>
      <c r="K29" s="522"/>
      <c r="L29" s="13">
        <f t="shared" si="1"/>
      </c>
      <c r="M29" s="14">
        <f t="shared" si="2"/>
      </c>
      <c r="N29" s="523"/>
      <c r="O29" s="709">
        <f t="shared" si="14"/>
      </c>
      <c r="P29" s="710" t="str">
        <f t="shared" si="3"/>
        <v>--</v>
      </c>
      <c r="Q29" s="711" t="str">
        <f t="shared" si="4"/>
        <v>--</v>
      </c>
      <c r="R29" s="712" t="str">
        <f t="shared" si="5"/>
        <v>--</v>
      </c>
      <c r="S29" s="713" t="str">
        <f t="shared" si="6"/>
        <v>--</v>
      </c>
      <c r="T29" s="714" t="str">
        <f t="shared" si="7"/>
        <v>--</v>
      </c>
      <c r="U29" s="715" t="str">
        <f t="shared" si="8"/>
        <v>--</v>
      </c>
      <c r="V29" s="716" t="str">
        <f t="shared" si="9"/>
        <v>--</v>
      </c>
      <c r="W29" s="717" t="str">
        <f t="shared" si="10"/>
        <v>--</v>
      </c>
      <c r="X29" s="718" t="str">
        <f t="shared" si="11"/>
        <v>--</v>
      </c>
      <c r="Y29" s="719" t="str">
        <f t="shared" si="12"/>
        <v>--</v>
      </c>
      <c r="Z29" s="720">
        <f t="shared" si="15"/>
      </c>
      <c r="AA29" s="55">
        <f t="shared" si="13"/>
      </c>
      <c r="AB29" s="3"/>
    </row>
    <row r="30" spans="1:28" ht="16.5" customHeight="1">
      <c r="A30" s="1"/>
      <c r="B30" s="2"/>
      <c r="C30" s="514"/>
      <c r="D30" s="514"/>
      <c r="E30" s="514"/>
      <c r="F30" s="515"/>
      <c r="G30" s="516"/>
      <c r="H30" s="517"/>
      <c r="I30" s="407">
        <f t="shared" si="0"/>
        <v>17.4305</v>
      </c>
      <c r="J30" s="522"/>
      <c r="K30" s="522"/>
      <c r="L30" s="13">
        <f t="shared" si="1"/>
      </c>
      <c r="M30" s="14">
        <f t="shared" si="2"/>
      </c>
      <c r="N30" s="523"/>
      <c r="O30" s="709">
        <f t="shared" si="14"/>
      </c>
      <c r="P30" s="710" t="str">
        <f t="shared" si="3"/>
        <v>--</v>
      </c>
      <c r="Q30" s="711" t="str">
        <f t="shared" si="4"/>
        <v>--</v>
      </c>
      <c r="R30" s="712" t="str">
        <f t="shared" si="5"/>
        <v>--</v>
      </c>
      <c r="S30" s="713" t="str">
        <f t="shared" si="6"/>
        <v>--</v>
      </c>
      <c r="T30" s="714" t="str">
        <f t="shared" si="7"/>
        <v>--</v>
      </c>
      <c r="U30" s="715" t="str">
        <f t="shared" si="8"/>
        <v>--</v>
      </c>
      <c r="V30" s="716" t="str">
        <f t="shared" si="9"/>
        <v>--</v>
      </c>
      <c r="W30" s="717" t="str">
        <f t="shared" si="10"/>
        <v>--</v>
      </c>
      <c r="X30" s="718" t="str">
        <f t="shared" si="11"/>
        <v>--</v>
      </c>
      <c r="Y30" s="719" t="str">
        <f t="shared" si="12"/>
        <v>--</v>
      </c>
      <c r="Z30" s="720">
        <f t="shared" si="15"/>
      </c>
      <c r="AA30" s="55">
        <f t="shared" si="13"/>
      </c>
      <c r="AB30" s="3"/>
    </row>
    <row r="31" spans="1:28" ht="16.5" customHeight="1">
      <c r="A31" s="1"/>
      <c r="B31" s="2"/>
      <c r="C31" s="514"/>
      <c r="D31" s="514"/>
      <c r="E31" s="514"/>
      <c r="F31" s="515"/>
      <c r="G31" s="516"/>
      <c r="H31" s="517"/>
      <c r="I31" s="407">
        <f t="shared" si="0"/>
        <v>17.4305</v>
      </c>
      <c r="J31" s="522"/>
      <c r="K31" s="522"/>
      <c r="L31" s="13">
        <f t="shared" si="1"/>
      </c>
      <c r="M31" s="14">
        <f t="shared" si="2"/>
      </c>
      <c r="N31" s="523"/>
      <c r="O31" s="709">
        <f t="shared" si="14"/>
      </c>
      <c r="P31" s="710" t="str">
        <f t="shared" si="3"/>
        <v>--</v>
      </c>
      <c r="Q31" s="711" t="str">
        <f t="shared" si="4"/>
        <v>--</v>
      </c>
      <c r="R31" s="712" t="str">
        <f t="shared" si="5"/>
        <v>--</v>
      </c>
      <c r="S31" s="713" t="str">
        <f t="shared" si="6"/>
        <v>--</v>
      </c>
      <c r="T31" s="714" t="str">
        <f t="shared" si="7"/>
        <v>--</v>
      </c>
      <c r="U31" s="715" t="str">
        <f t="shared" si="8"/>
        <v>--</v>
      </c>
      <c r="V31" s="716" t="str">
        <f t="shared" si="9"/>
        <v>--</v>
      </c>
      <c r="W31" s="717" t="str">
        <f t="shared" si="10"/>
        <v>--</v>
      </c>
      <c r="X31" s="718" t="str">
        <f t="shared" si="11"/>
        <v>--</v>
      </c>
      <c r="Y31" s="719" t="str">
        <f t="shared" si="12"/>
        <v>--</v>
      </c>
      <c r="Z31" s="720">
        <f t="shared" si="15"/>
      </c>
      <c r="AA31" s="55">
        <f t="shared" si="13"/>
      </c>
      <c r="AB31" s="3"/>
    </row>
    <row r="32" spans="1:28" ht="16.5" customHeight="1">
      <c r="A32" s="1"/>
      <c r="B32" s="2"/>
      <c r="C32" s="514"/>
      <c r="D32" s="514"/>
      <c r="E32" s="514"/>
      <c r="F32" s="515"/>
      <c r="G32" s="516"/>
      <c r="H32" s="517"/>
      <c r="I32" s="407">
        <f t="shared" si="0"/>
        <v>17.4305</v>
      </c>
      <c r="J32" s="522"/>
      <c r="K32" s="522"/>
      <c r="L32" s="13">
        <f t="shared" si="1"/>
      </c>
      <c r="M32" s="14">
        <f t="shared" si="2"/>
      </c>
      <c r="N32" s="523"/>
      <c r="O32" s="709">
        <f t="shared" si="14"/>
      </c>
      <c r="P32" s="710" t="str">
        <f t="shared" si="3"/>
        <v>--</v>
      </c>
      <c r="Q32" s="711" t="str">
        <f t="shared" si="4"/>
        <v>--</v>
      </c>
      <c r="R32" s="712" t="str">
        <f t="shared" si="5"/>
        <v>--</v>
      </c>
      <c r="S32" s="713" t="str">
        <f t="shared" si="6"/>
        <v>--</v>
      </c>
      <c r="T32" s="714" t="str">
        <f t="shared" si="7"/>
        <v>--</v>
      </c>
      <c r="U32" s="715" t="str">
        <f t="shared" si="8"/>
        <v>--</v>
      </c>
      <c r="V32" s="716" t="str">
        <f t="shared" si="9"/>
        <v>--</v>
      </c>
      <c r="W32" s="717" t="str">
        <f t="shared" si="10"/>
        <v>--</v>
      </c>
      <c r="X32" s="718" t="str">
        <f t="shared" si="11"/>
        <v>--</v>
      </c>
      <c r="Y32" s="719" t="str">
        <f t="shared" si="12"/>
        <v>--</v>
      </c>
      <c r="Z32" s="720">
        <f t="shared" si="15"/>
      </c>
      <c r="AA32" s="55">
        <f t="shared" si="13"/>
      </c>
      <c r="AB32" s="3"/>
    </row>
    <row r="33" spans="1:28" ht="16.5" customHeight="1">
      <c r="A33" s="1"/>
      <c r="B33" s="2"/>
      <c r="C33" s="514"/>
      <c r="D33" s="514"/>
      <c r="E33" s="514"/>
      <c r="F33" s="515"/>
      <c r="G33" s="516"/>
      <c r="H33" s="517"/>
      <c r="I33" s="407">
        <f t="shared" si="0"/>
        <v>17.4305</v>
      </c>
      <c r="J33" s="522"/>
      <c r="K33" s="522"/>
      <c r="L33" s="13">
        <f t="shared" si="1"/>
      </c>
      <c r="M33" s="14">
        <f t="shared" si="2"/>
      </c>
      <c r="N33" s="523"/>
      <c r="O33" s="709">
        <f t="shared" si="14"/>
      </c>
      <c r="P33" s="710" t="str">
        <f t="shared" si="3"/>
        <v>--</v>
      </c>
      <c r="Q33" s="711" t="str">
        <f t="shared" si="4"/>
        <v>--</v>
      </c>
      <c r="R33" s="712" t="str">
        <f t="shared" si="5"/>
        <v>--</v>
      </c>
      <c r="S33" s="713" t="str">
        <f t="shared" si="6"/>
        <v>--</v>
      </c>
      <c r="T33" s="714" t="str">
        <f t="shared" si="7"/>
        <v>--</v>
      </c>
      <c r="U33" s="715" t="str">
        <f t="shared" si="8"/>
        <v>--</v>
      </c>
      <c r="V33" s="716" t="str">
        <f t="shared" si="9"/>
        <v>--</v>
      </c>
      <c r="W33" s="717" t="str">
        <f t="shared" si="10"/>
        <v>--</v>
      </c>
      <c r="X33" s="718" t="str">
        <f t="shared" si="11"/>
        <v>--</v>
      </c>
      <c r="Y33" s="719" t="str">
        <f t="shared" si="12"/>
        <v>--</v>
      </c>
      <c r="Z33" s="720">
        <f t="shared" si="15"/>
      </c>
      <c r="AA33" s="55">
        <f t="shared" si="13"/>
      </c>
      <c r="AB33" s="3"/>
    </row>
    <row r="34" spans="1:28" ht="16.5" customHeight="1">
      <c r="A34" s="1"/>
      <c r="B34" s="2"/>
      <c r="C34" s="514"/>
      <c r="D34" s="514"/>
      <c r="E34" s="514"/>
      <c r="F34" s="515"/>
      <c r="G34" s="516"/>
      <c r="H34" s="517"/>
      <c r="I34" s="407">
        <f t="shared" si="0"/>
        <v>17.4305</v>
      </c>
      <c r="J34" s="522"/>
      <c r="K34" s="522"/>
      <c r="L34" s="13">
        <f t="shared" si="1"/>
      </c>
      <c r="M34" s="14">
        <f t="shared" si="2"/>
      </c>
      <c r="N34" s="523"/>
      <c r="O34" s="709">
        <f t="shared" si="14"/>
      </c>
      <c r="P34" s="710" t="str">
        <f t="shared" si="3"/>
        <v>--</v>
      </c>
      <c r="Q34" s="711" t="str">
        <f t="shared" si="4"/>
        <v>--</v>
      </c>
      <c r="R34" s="712" t="str">
        <f t="shared" si="5"/>
        <v>--</v>
      </c>
      <c r="S34" s="713" t="str">
        <f t="shared" si="6"/>
        <v>--</v>
      </c>
      <c r="T34" s="714" t="str">
        <f t="shared" si="7"/>
        <v>--</v>
      </c>
      <c r="U34" s="715" t="str">
        <f t="shared" si="8"/>
        <v>--</v>
      </c>
      <c r="V34" s="716" t="str">
        <f t="shared" si="9"/>
        <v>--</v>
      </c>
      <c r="W34" s="717" t="str">
        <f t="shared" si="10"/>
        <v>--</v>
      </c>
      <c r="X34" s="718" t="str">
        <f t="shared" si="11"/>
        <v>--</v>
      </c>
      <c r="Y34" s="719" t="str">
        <f t="shared" si="12"/>
        <v>--</v>
      </c>
      <c r="Z34" s="720">
        <f t="shared" si="15"/>
      </c>
      <c r="AA34" s="55">
        <f t="shared" si="13"/>
      </c>
      <c r="AB34" s="3"/>
    </row>
    <row r="35" spans="1:28" ht="16.5" customHeight="1">
      <c r="A35" s="1"/>
      <c r="B35" s="2"/>
      <c r="C35" s="514"/>
      <c r="D35" s="514"/>
      <c r="E35" s="514"/>
      <c r="F35" s="515"/>
      <c r="G35" s="516"/>
      <c r="H35" s="517"/>
      <c r="I35" s="407">
        <f t="shared" si="0"/>
        <v>17.4305</v>
      </c>
      <c r="J35" s="522"/>
      <c r="K35" s="522"/>
      <c r="L35" s="13">
        <f t="shared" si="1"/>
      </c>
      <c r="M35" s="14">
        <f t="shared" si="2"/>
      </c>
      <c r="N35" s="523"/>
      <c r="O35" s="709">
        <f t="shared" si="14"/>
      </c>
      <c r="P35" s="710" t="str">
        <f t="shared" si="3"/>
        <v>--</v>
      </c>
      <c r="Q35" s="711" t="str">
        <f t="shared" si="4"/>
        <v>--</v>
      </c>
      <c r="R35" s="712" t="str">
        <f t="shared" si="5"/>
        <v>--</v>
      </c>
      <c r="S35" s="713" t="str">
        <f t="shared" si="6"/>
        <v>--</v>
      </c>
      <c r="T35" s="714" t="str">
        <f t="shared" si="7"/>
        <v>--</v>
      </c>
      <c r="U35" s="715" t="str">
        <f t="shared" si="8"/>
        <v>--</v>
      </c>
      <c r="V35" s="716" t="str">
        <f t="shared" si="9"/>
        <v>--</v>
      </c>
      <c r="W35" s="717" t="str">
        <f t="shared" si="10"/>
        <v>--</v>
      </c>
      <c r="X35" s="718" t="str">
        <f t="shared" si="11"/>
        <v>--</v>
      </c>
      <c r="Y35" s="719" t="str">
        <f t="shared" si="12"/>
        <v>--</v>
      </c>
      <c r="Z35" s="720">
        <f t="shared" si="15"/>
      </c>
      <c r="AA35" s="55">
        <f t="shared" si="13"/>
      </c>
      <c r="AB35" s="3"/>
    </row>
    <row r="36" spans="1:28" ht="16.5" customHeight="1">
      <c r="A36" s="1"/>
      <c r="B36" s="2"/>
      <c r="C36" s="514"/>
      <c r="D36" s="514"/>
      <c r="E36" s="514"/>
      <c r="F36" s="515"/>
      <c r="G36" s="516"/>
      <c r="H36" s="517"/>
      <c r="I36" s="407">
        <f t="shared" si="0"/>
        <v>17.4305</v>
      </c>
      <c r="J36" s="522"/>
      <c r="K36" s="522"/>
      <c r="L36" s="13">
        <f t="shared" si="1"/>
      </c>
      <c r="M36" s="14">
        <f t="shared" si="2"/>
      </c>
      <c r="N36" s="523"/>
      <c r="O36" s="709">
        <f t="shared" si="14"/>
      </c>
      <c r="P36" s="710" t="str">
        <f t="shared" si="3"/>
        <v>--</v>
      </c>
      <c r="Q36" s="711" t="str">
        <f t="shared" si="4"/>
        <v>--</v>
      </c>
      <c r="R36" s="712" t="str">
        <f t="shared" si="5"/>
        <v>--</v>
      </c>
      <c r="S36" s="713" t="str">
        <f t="shared" si="6"/>
        <v>--</v>
      </c>
      <c r="T36" s="714" t="str">
        <f t="shared" si="7"/>
        <v>--</v>
      </c>
      <c r="U36" s="715" t="str">
        <f t="shared" si="8"/>
        <v>--</v>
      </c>
      <c r="V36" s="716" t="str">
        <f t="shared" si="9"/>
        <v>--</v>
      </c>
      <c r="W36" s="717" t="str">
        <f t="shared" si="10"/>
        <v>--</v>
      </c>
      <c r="X36" s="718" t="str">
        <f t="shared" si="11"/>
        <v>--</v>
      </c>
      <c r="Y36" s="719" t="str">
        <f t="shared" si="12"/>
        <v>--</v>
      </c>
      <c r="Z36" s="720">
        <f t="shared" si="15"/>
      </c>
      <c r="AA36" s="55">
        <f t="shared" si="13"/>
      </c>
      <c r="AB36" s="3"/>
    </row>
    <row r="37" spans="1:28" ht="16.5" customHeight="1">
      <c r="A37" s="1"/>
      <c r="B37" s="2"/>
      <c r="C37" s="514"/>
      <c r="D37" s="514"/>
      <c r="E37" s="514"/>
      <c r="F37" s="515"/>
      <c r="G37" s="516"/>
      <c r="H37" s="517"/>
      <c r="I37" s="407">
        <f t="shared" si="0"/>
        <v>17.4305</v>
      </c>
      <c r="J37" s="522"/>
      <c r="K37" s="522"/>
      <c r="L37" s="13">
        <f t="shared" si="1"/>
      </c>
      <c r="M37" s="14">
        <f t="shared" si="2"/>
      </c>
      <c r="N37" s="523"/>
      <c r="O37" s="709">
        <f t="shared" si="14"/>
      </c>
      <c r="P37" s="710" t="str">
        <f t="shared" si="3"/>
        <v>--</v>
      </c>
      <c r="Q37" s="711" t="str">
        <f t="shared" si="4"/>
        <v>--</v>
      </c>
      <c r="R37" s="712" t="str">
        <f t="shared" si="5"/>
        <v>--</v>
      </c>
      <c r="S37" s="713" t="str">
        <f t="shared" si="6"/>
        <v>--</v>
      </c>
      <c r="T37" s="714" t="str">
        <f t="shared" si="7"/>
        <v>--</v>
      </c>
      <c r="U37" s="715" t="str">
        <f t="shared" si="8"/>
        <v>--</v>
      </c>
      <c r="V37" s="716" t="str">
        <f t="shared" si="9"/>
        <v>--</v>
      </c>
      <c r="W37" s="717" t="str">
        <f t="shared" si="10"/>
        <v>--</v>
      </c>
      <c r="X37" s="718" t="str">
        <f t="shared" si="11"/>
        <v>--</v>
      </c>
      <c r="Y37" s="719" t="str">
        <f t="shared" si="12"/>
        <v>--</v>
      </c>
      <c r="Z37" s="720">
        <f t="shared" si="15"/>
      </c>
      <c r="AA37" s="55">
        <f t="shared" si="13"/>
      </c>
      <c r="AB37" s="3"/>
    </row>
    <row r="38" spans="2:28" ht="16.5" customHeight="1">
      <c r="B38" s="56"/>
      <c r="C38" s="514"/>
      <c r="D38" s="514"/>
      <c r="E38" s="514"/>
      <c r="F38" s="515"/>
      <c r="G38" s="516"/>
      <c r="H38" s="517"/>
      <c r="I38" s="407">
        <f t="shared" si="0"/>
        <v>17.4305</v>
      </c>
      <c r="J38" s="522"/>
      <c r="K38" s="522"/>
      <c r="L38" s="13">
        <f t="shared" si="1"/>
      </c>
      <c r="M38" s="14">
        <f t="shared" si="2"/>
      </c>
      <c r="N38" s="523"/>
      <c r="O38" s="709">
        <f t="shared" si="14"/>
      </c>
      <c r="P38" s="710" t="str">
        <f t="shared" si="3"/>
        <v>--</v>
      </c>
      <c r="Q38" s="711" t="str">
        <f t="shared" si="4"/>
        <v>--</v>
      </c>
      <c r="R38" s="712" t="str">
        <f t="shared" si="5"/>
        <v>--</v>
      </c>
      <c r="S38" s="713" t="str">
        <f t="shared" si="6"/>
        <v>--</v>
      </c>
      <c r="T38" s="714" t="str">
        <f t="shared" si="7"/>
        <v>--</v>
      </c>
      <c r="U38" s="715" t="str">
        <f t="shared" si="8"/>
        <v>--</v>
      </c>
      <c r="V38" s="716" t="str">
        <f t="shared" si="9"/>
        <v>--</v>
      </c>
      <c r="W38" s="717" t="str">
        <f t="shared" si="10"/>
        <v>--</v>
      </c>
      <c r="X38" s="718" t="str">
        <f t="shared" si="11"/>
        <v>--</v>
      </c>
      <c r="Y38" s="719" t="str">
        <f t="shared" si="12"/>
        <v>--</v>
      </c>
      <c r="Z38" s="720">
        <f t="shared" si="15"/>
      </c>
      <c r="AA38" s="55">
        <f t="shared" si="13"/>
      </c>
      <c r="AB38" s="3"/>
    </row>
    <row r="39" spans="2:28" ht="16.5" customHeight="1">
      <c r="B39" s="56"/>
      <c r="C39" s="514"/>
      <c r="D39" s="514"/>
      <c r="E39" s="514"/>
      <c r="F39" s="515"/>
      <c r="G39" s="516"/>
      <c r="H39" s="517"/>
      <c r="I39" s="407">
        <f t="shared" si="0"/>
        <v>17.4305</v>
      </c>
      <c r="J39" s="522"/>
      <c r="K39" s="522"/>
      <c r="L39" s="13">
        <f t="shared" si="1"/>
      </c>
      <c r="M39" s="14">
        <f t="shared" si="2"/>
      </c>
      <c r="N39" s="523"/>
      <c r="O39" s="709">
        <f t="shared" si="14"/>
      </c>
      <c r="P39" s="710" t="str">
        <f t="shared" si="3"/>
        <v>--</v>
      </c>
      <c r="Q39" s="711" t="str">
        <f t="shared" si="4"/>
        <v>--</v>
      </c>
      <c r="R39" s="712" t="str">
        <f t="shared" si="5"/>
        <v>--</v>
      </c>
      <c r="S39" s="713" t="str">
        <f t="shared" si="6"/>
        <v>--</v>
      </c>
      <c r="T39" s="714" t="str">
        <f t="shared" si="7"/>
        <v>--</v>
      </c>
      <c r="U39" s="715" t="str">
        <f t="shared" si="8"/>
        <v>--</v>
      </c>
      <c r="V39" s="716" t="str">
        <f t="shared" si="9"/>
        <v>--</v>
      </c>
      <c r="W39" s="717" t="str">
        <f t="shared" si="10"/>
        <v>--</v>
      </c>
      <c r="X39" s="718" t="str">
        <f t="shared" si="11"/>
        <v>--</v>
      </c>
      <c r="Y39" s="719" t="str">
        <f t="shared" si="12"/>
        <v>--</v>
      </c>
      <c r="Z39" s="720">
        <f t="shared" si="15"/>
      </c>
      <c r="AA39" s="55">
        <f t="shared" si="13"/>
      </c>
      <c r="AB39" s="3"/>
    </row>
    <row r="40" spans="2:28" ht="16.5" customHeight="1">
      <c r="B40" s="56"/>
      <c r="C40" s="514"/>
      <c r="D40" s="514"/>
      <c r="E40" s="514"/>
      <c r="F40" s="515"/>
      <c r="G40" s="516"/>
      <c r="H40" s="517"/>
      <c r="I40" s="407">
        <f t="shared" si="0"/>
        <v>17.4305</v>
      </c>
      <c r="J40" s="522"/>
      <c r="K40" s="522"/>
      <c r="L40" s="13">
        <f t="shared" si="1"/>
      </c>
      <c r="M40" s="14">
        <f t="shared" si="2"/>
      </c>
      <c r="N40" s="523"/>
      <c r="O40" s="709">
        <f t="shared" si="14"/>
      </c>
      <c r="P40" s="710" t="str">
        <f t="shared" si="3"/>
        <v>--</v>
      </c>
      <c r="Q40" s="711" t="str">
        <f t="shared" si="4"/>
        <v>--</v>
      </c>
      <c r="R40" s="712" t="str">
        <f t="shared" si="5"/>
        <v>--</v>
      </c>
      <c r="S40" s="713" t="str">
        <f t="shared" si="6"/>
        <v>--</v>
      </c>
      <c r="T40" s="714" t="str">
        <f t="shared" si="7"/>
        <v>--</v>
      </c>
      <c r="U40" s="715" t="str">
        <f t="shared" si="8"/>
        <v>--</v>
      </c>
      <c r="V40" s="716" t="str">
        <f t="shared" si="9"/>
        <v>--</v>
      </c>
      <c r="W40" s="717" t="str">
        <f t="shared" si="10"/>
        <v>--</v>
      </c>
      <c r="X40" s="718" t="str">
        <f t="shared" si="11"/>
        <v>--</v>
      </c>
      <c r="Y40" s="719" t="str">
        <f t="shared" si="12"/>
        <v>--</v>
      </c>
      <c r="Z40" s="720">
        <f t="shared" si="15"/>
      </c>
      <c r="AA40" s="55">
        <f t="shared" si="13"/>
      </c>
      <c r="AB40" s="3"/>
    </row>
    <row r="41" spans="2:28" ht="16.5" customHeight="1">
      <c r="B41" s="56"/>
      <c r="C41" s="514"/>
      <c r="D41" s="514"/>
      <c r="E41" s="514"/>
      <c r="F41" s="515"/>
      <c r="G41" s="516"/>
      <c r="H41" s="517"/>
      <c r="I41" s="407">
        <f t="shared" si="0"/>
        <v>17.4305</v>
      </c>
      <c r="J41" s="522"/>
      <c r="K41" s="522"/>
      <c r="L41" s="13">
        <f t="shared" si="1"/>
      </c>
      <c r="M41" s="14">
        <f t="shared" si="2"/>
      </c>
      <c r="N41" s="523"/>
      <c r="O41" s="709">
        <f t="shared" si="14"/>
      </c>
      <c r="P41" s="710" t="str">
        <f t="shared" si="3"/>
        <v>--</v>
      </c>
      <c r="Q41" s="711" t="str">
        <f t="shared" si="4"/>
        <v>--</v>
      </c>
      <c r="R41" s="712" t="str">
        <f t="shared" si="5"/>
        <v>--</v>
      </c>
      <c r="S41" s="713" t="str">
        <f t="shared" si="6"/>
        <v>--</v>
      </c>
      <c r="T41" s="714" t="str">
        <f t="shared" si="7"/>
        <v>--</v>
      </c>
      <c r="U41" s="715" t="str">
        <f t="shared" si="8"/>
        <v>--</v>
      </c>
      <c r="V41" s="716" t="str">
        <f t="shared" si="9"/>
        <v>--</v>
      </c>
      <c r="W41" s="717" t="str">
        <f t="shared" si="10"/>
        <v>--</v>
      </c>
      <c r="X41" s="718" t="str">
        <f t="shared" si="11"/>
        <v>--</v>
      </c>
      <c r="Y41" s="719" t="str">
        <f t="shared" si="12"/>
        <v>--</v>
      </c>
      <c r="Z41" s="720">
        <f t="shared" si="15"/>
      </c>
      <c r="AA41" s="55">
        <f t="shared" si="13"/>
      </c>
      <c r="AB41" s="3"/>
    </row>
    <row r="42" spans="1:28" ht="16.5" customHeight="1" thickBot="1">
      <c r="A42" s="1"/>
      <c r="B42" s="2"/>
      <c r="C42" s="518"/>
      <c r="D42" s="518"/>
      <c r="E42" s="518"/>
      <c r="F42" s="519"/>
      <c r="G42" s="520"/>
      <c r="H42" s="521"/>
      <c r="I42" s="408"/>
      <c r="J42" s="521"/>
      <c r="K42" s="521"/>
      <c r="L42" s="15"/>
      <c r="M42" s="15"/>
      <c r="N42" s="521"/>
      <c r="O42" s="524"/>
      <c r="P42" s="525"/>
      <c r="Q42" s="526"/>
      <c r="R42" s="527"/>
      <c r="S42" s="528"/>
      <c r="T42" s="529"/>
      <c r="U42" s="530"/>
      <c r="V42" s="531"/>
      <c r="W42" s="532"/>
      <c r="X42" s="533"/>
      <c r="Y42" s="534"/>
      <c r="Z42" s="535"/>
      <c r="AA42" s="57"/>
      <c r="AB42" s="3"/>
    </row>
    <row r="43" spans="1:28" ht="16.5" customHeight="1" thickBot="1" thickTop="1">
      <c r="A43" s="1"/>
      <c r="B43" s="2"/>
      <c r="C43" s="244" t="s">
        <v>70</v>
      </c>
      <c r="D43" s="726" t="s">
        <v>169</v>
      </c>
      <c r="E43" s="704"/>
      <c r="F43" s="245"/>
      <c r="G43" s="16"/>
      <c r="H43" s="17"/>
      <c r="I43" s="58"/>
      <c r="J43" s="58"/>
      <c r="K43" s="58"/>
      <c r="L43" s="58"/>
      <c r="M43" s="58"/>
      <c r="N43" s="58"/>
      <c r="O43" s="59"/>
      <c r="P43" s="331">
        <f aca="true" t="shared" si="16" ref="P43:Y43">ROUND(SUM(P20:P42),2)</f>
        <v>652.53</v>
      </c>
      <c r="Q43" s="332">
        <f t="shared" si="16"/>
        <v>0</v>
      </c>
      <c r="R43" s="333">
        <f t="shared" si="16"/>
        <v>0</v>
      </c>
      <c r="S43" s="333">
        <f t="shared" si="16"/>
        <v>0</v>
      </c>
      <c r="T43" s="334">
        <f t="shared" si="16"/>
        <v>0</v>
      </c>
      <c r="U43" s="335">
        <f t="shared" si="16"/>
        <v>0</v>
      </c>
      <c r="V43" s="335">
        <f t="shared" si="16"/>
        <v>0</v>
      </c>
      <c r="W43" s="336">
        <f t="shared" si="16"/>
        <v>0</v>
      </c>
      <c r="X43" s="337">
        <f t="shared" si="16"/>
        <v>0</v>
      </c>
      <c r="Y43" s="338">
        <f t="shared" si="16"/>
        <v>0</v>
      </c>
      <c r="Z43" s="60"/>
      <c r="AA43" s="708">
        <f>ROUND(SUM(AA20:AA42),2)</f>
        <v>652.53</v>
      </c>
      <c r="AB43" s="61"/>
    </row>
    <row r="44" spans="1:28" s="259" customFormat="1" ht="9.75" thickTop="1">
      <c r="A44" s="248"/>
      <c r="B44" s="249"/>
      <c r="C44" s="246"/>
      <c r="D44" s="246"/>
      <c r="E44" s="246"/>
      <c r="F44" s="247"/>
      <c r="G44" s="250"/>
      <c r="H44" s="251"/>
      <c r="I44" s="252"/>
      <c r="J44" s="252"/>
      <c r="K44" s="252"/>
      <c r="L44" s="252"/>
      <c r="M44" s="252"/>
      <c r="N44" s="252"/>
      <c r="O44" s="253"/>
      <c r="P44" s="254"/>
      <c r="Q44" s="254"/>
      <c r="R44" s="255"/>
      <c r="S44" s="255"/>
      <c r="T44" s="256"/>
      <c r="U44" s="256"/>
      <c r="V44" s="256"/>
      <c r="W44" s="256"/>
      <c r="X44" s="256"/>
      <c r="Y44" s="256"/>
      <c r="Z44" s="256"/>
      <c r="AA44" s="257"/>
      <c r="AB44" s="258"/>
    </row>
    <row r="45" spans="1:28" s="10" customFormat="1" ht="16.5" customHeight="1" thickBot="1">
      <c r="A45" s="8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</row>
    <row r="46" spans="1:28" ht="13.5" thickTop="1">
      <c r="A46" s="1"/>
      <c r="B46" s="1"/>
      <c r="AB46" s="1"/>
    </row>
    <row r="91" spans="1:2" ht="12.75">
      <c r="A91" s="1"/>
      <c r="B91" s="1"/>
    </row>
  </sheetData>
  <printOptions/>
  <pageMargins left="0.45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AB91"/>
  <sheetViews>
    <sheetView zoomScale="70" zoomScaleNormal="70" workbookViewId="0" topLeftCell="A7">
      <selection activeCell="B3" sqref="B3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0.14062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7" width="14.140625" style="0" customWidth="1"/>
    <col min="28" max="28" width="4.140625" style="0" customWidth="1"/>
  </cols>
  <sheetData>
    <row r="1" s="109" customFormat="1" ht="26.25">
      <c r="AB1" s="416"/>
    </row>
    <row r="2" spans="2:28" s="109" customFormat="1" ht="26.25">
      <c r="B2" s="110" t="str">
        <f>+'TOT-0511'!B2</f>
        <v>ANEXO V al Memorandum  D.T.E.E.  N°482  / 2012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</row>
    <row r="3" s="10" customFormat="1" ht="12.75"/>
    <row r="4" spans="1:4" s="112" customFormat="1" ht="11.25">
      <c r="A4" s="707" t="s">
        <v>21</v>
      </c>
      <c r="C4" s="706"/>
      <c r="D4" s="706"/>
    </row>
    <row r="5" spans="1:4" s="112" customFormat="1" ht="11.25">
      <c r="A5" s="707" t="s">
        <v>146</v>
      </c>
      <c r="C5" s="706"/>
      <c r="D5" s="706"/>
    </row>
    <row r="6" s="10" customFormat="1" ht="13.5" thickBot="1"/>
    <row r="7" spans="1:28" s="10" customFormat="1" ht="13.5" thickTop="1">
      <c r="A7" s="8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3"/>
    </row>
    <row r="8" spans="1:28" s="114" customFormat="1" ht="20.25">
      <c r="A8" s="45"/>
      <c r="B8" s="113"/>
      <c r="C8" s="45"/>
      <c r="D8" s="45"/>
      <c r="E8" s="45"/>
      <c r="F8" s="21" t="s">
        <v>46</v>
      </c>
      <c r="G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115"/>
    </row>
    <row r="9" spans="1:28" s="10" customFormat="1" ht="12.75">
      <c r="A9" s="8"/>
      <c r="B9" s="44"/>
      <c r="C9" s="8"/>
      <c r="D9" s="8"/>
      <c r="E9" s="8"/>
      <c r="F9" s="126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1"/>
    </row>
    <row r="10" spans="1:28" s="114" customFormat="1" ht="20.25">
      <c r="A10" s="45"/>
      <c r="B10" s="113"/>
      <c r="C10" s="45"/>
      <c r="D10" s="45"/>
      <c r="E10" s="45"/>
      <c r="F10" s="21" t="s">
        <v>143</v>
      </c>
      <c r="G10" s="21"/>
      <c r="H10" s="45"/>
      <c r="I10" s="116"/>
      <c r="J10" s="116"/>
      <c r="K10" s="116"/>
      <c r="L10" s="116"/>
      <c r="M10" s="116"/>
      <c r="N10" s="116"/>
      <c r="O10" s="116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115"/>
    </row>
    <row r="11" spans="1:28" s="10" customFormat="1" ht="12.75">
      <c r="A11" s="8"/>
      <c r="B11" s="44"/>
      <c r="C11" s="8"/>
      <c r="D11" s="8"/>
      <c r="E11" s="8"/>
      <c r="F11" s="125"/>
      <c r="G11" s="123"/>
      <c r="H11" s="8"/>
      <c r="I11" s="122"/>
      <c r="J11" s="122"/>
      <c r="K11" s="122"/>
      <c r="L11" s="122"/>
      <c r="M11" s="122"/>
      <c r="N11" s="122"/>
      <c r="O11" s="122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1"/>
    </row>
    <row r="12" spans="1:28" s="121" customFormat="1" ht="19.5">
      <c r="A12" s="47"/>
      <c r="B12" s="87" t="str">
        <f>+'TOT-0511'!B14</f>
        <v>Desde el 01 al 31 de mayo de 2011</v>
      </c>
      <c r="C12" s="117"/>
      <c r="D12" s="117"/>
      <c r="E12" s="117"/>
      <c r="F12" s="117"/>
      <c r="G12" s="118"/>
      <c r="H12" s="118"/>
      <c r="I12" s="119"/>
      <c r="J12" s="119"/>
      <c r="K12" s="119"/>
      <c r="L12" s="119"/>
      <c r="M12" s="119"/>
      <c r="N12" s="119"/>
      <c r="O12" s="119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20"/>
    </row>
    <row r="13" spans="1:28" s="121" customFormat="1" ht="7.5" customHeight="1">
      <c r="A13" s="47"/>
      <c r="B13" s="87"/>
      <c r="C13" s="117"/>
      <c r="D13" s="117"/>
      <c r="E13" s="117"/>
      <c r="F13" s="117"/>
      <c r="G13" s="118"/>
      <c r="H13" s="118"/>
      <c r="I13" s="119"/>
      <c r="J13" s="119"/>
      <c r="K13" s="119"/>
      <c r="L13" s="119"/>
      <c r="M13" s="119"/>
      <c r="N13" s="119"/>
      <c r="O13" s="119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20"/>
    </row>
    <row r="14" spans="1:28" s="10" customFormat="1" ht="7.5" customHeight="1" thickBot="1">
      <c r="A14" s="8"/>
      <c r="B14" s="44"/>
      <c r="C14" s="8"/>
      <c r="D14" s="8"/>
      <c r="E14" s="8"/>
      <c r="F14" s="8"/>
      <c r="G14" s="123"/>
      <c r="H14" s="124"/>
      <c r="I14" s="122"/>
      <c r="J14" s="122"/>
      <c r="K14" s="122"/>
      <c r="L14" s="122"/>
      <c r="M14" s="122"/>
      <c r="N14" s="122"/>
      <c r="O14" s="122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11"/>
    </row>
    <row r="15" spans="1:28" s="95" customFormat="1" ht="16.5" customHeight="1" thickBot="1" thickTop="1">
      <c r="A15" s="91"/>
      <c r="B15" s="92"/>
      <c r="C15" s="91"/>
      <c r="D15" s="91"/>
      <c r="E15" s="91"/>
      <c r="F15" s="510" t="s">
        <v>49</v>
      </c>
      <c r="G15" s="511" t="s">
        <v>178</v>
      </c>
      <c r="H15" s="242"/>
      <c r="I15" s="96"/>
      <c r="J15" s="96"/>
      <c r="K15" s="96"/>
      <c r="L15" s="96"/>
      <c r="M15" s="96"/>
      <c r="N15" s="96"/>
      <c r="O15" s="96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4"/>
    </row>
    <row r="16" spans="1:28" s="95" customFormat="1" ht="16.5" customHeight="1" thickBot="1" thickTop="1">
      <c r="A16" s="91"/>
      <c r="B16" s="92"/>
      <c r="C16" s="91"/>
      <c r="D16" s="91"/>
      <c r="E16" s="91"/>
      <c r="F16" s="510" t="s">
        <v>50</v>
      </c>
      <c r="G16" s="511">
        <v>69.722</v>
      </c>
      <c r="H16" s="243"/>
      <c r="I16" s="91"/>
      <c r="K16" s="97" t="s">
        <v>51</v>
      </c>
      <c r="L16" s="98">
        <f>30*'TOT-0511'!B13</f>
        <v>30</v>
      </c>
      <c r="M16" s="239" t="str">
        <f>IF(L16=30," ",IF(L16=60,"Coeficiente duplicado por tasa de falla &gt;4 Sal. x año/100 km.","REVISAR COEFICIENTE"))</f>
        <v> 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4"/>
    </row>
    <row r="17" spans="1:28" s="95" customFormat="1" ht="7.5" customHeight="1" thickTop="1">
      <c r="A17" s="91"/>
      <c r="B17" s="92"/>
      <c r="C17" s="91"/>
      <c r="D17" s="91"/>
      <c r="E17" s="91"/>
      <c r="F17" s="696"/>
      <c r="G17" s="697"/>
      <c r="H17" s="698"/>
      <c r="I17" s="91"/>
      <c r="K17" s="97"/>
      <c r="L17" s="98"/>
      <c r="M17" s="239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4"/>
    </row>
    <row r="18" spans="1:28" s="732" customFormat="1" ht="15" customHeight="1" thickBot="1">
      <c r="A18" s="728"/>
      <c r="B18" s="729"/>
      <c r="C18" s="730">
        <v>3</v>
      </c>
      <c r="D18" s="730">
        <v>4</v>
      </c>
      <c r="E18" s="730">
        <v>5</v>
      </c>
      <c r="F18" s="730">
        <v>6</v>
      </c>
      <c r="G18" s="730">
        <v>7</v>
      </c>
      <c r="H18" s="730">
        <v>8</v>
      </c>
      <c r="I18" s="730">
        <v>9</v>
      </c>
      <c r="J18" s="730">
        <v>10</v>
      </c>
      <c r="K18" s="730">
        <v>11</v>
      </c>
      <c r="L18" s="730">
        <v>12</v>
      </c>
      <c r="M18" s="730">
        <v>13</v>
      </c>
      <c r="N18" s="730">
        <v>14</v>
      </c>
      <c r="O18" s="730">
        <v>15</v>
      </c>
      <c r="P18" s="730">
        <v>16</v>
      </c>
      <c r="Q18" s="730">
        <v>17</v>
      </c>
      <c r="R18" s="730">
        <v>18</v>
      </c>
      <c r="S18" s="730">
        <v>19</v>
      </c>
      <c r="T18" s="730">
        <v>20</v>
      </c>
      <c r="U18" s="730">
        <v>21</v>
      </c>
      <c r="V18" s="730">
        <v>22</v>
      </c>
      <c r="W18" s="730">
        <v>23</v>
      </c>
      <c r="X18" s="730">
        <v>24</v>
      </c>
      <c r="Y18" s="730">
        <v>25</v>
      </c>
      <c r="Z18" s="730">
        <v>26</v>
      </c>
      <c r="AA18" s="730">
        <v>27</v>
      </c>
      <c r="AB18" s="731"/>
    </row>
    <row r="19" spans="1:28" s="108" customFormat="1" ht="33.75" customHeight="1" thickBot="1" thickTop="1">
      <c r="A19" s="99"/>
      <c r="B19" s="100"/>
      <c r="C19" s="101" t="s">
        <v>52</v>
      </c>
      <c r="D19" s="101" t="s">
        <v>145</v>
      </c>
      <c r="E19" s="101" t="s">
        <v>144</v>
      </c>
      <c r="F19" s="102" t="s">
        <v>24</v>
      </c>
      <c r="G19" s="103" t="s">
        <v>53</v>
      </c>
      <c r="H19" s="104" t="s">
        <v>54</v>
      </c>
      <c r="I19" s="269" t="s">
        <v>55</v>
      </c>
      <c r="J19" s="102" t="s">
        <v>56</v>
      </c>
      <c r="K19" s="102" t="s">
        <v>57</v>
      </c>
      <c r="L19" s="103" t="s">
        <v>58</v>
      </c>
      <c r="M19" s="103" t="s">
        <v>59</v>
      </c>
      <c r="N19" s="105" t="s">
        <v>60</v>
      </c>
      <c r="O19" s="103" t="s">
        <v>61</v>
      </c>
      <c r="P19" s="298" t="s">
        <v>62</v>
      </c>
      <c r="Q19" s="301" t="s">
        <v>63</v>
      </c>
      <c r="R19" s="304" t="s">
        <v>64</v>
      </c>
      <c r="S19" s="305"/>
      <c r="T19" s="306"/>
      <c r="U19" s="315" t="s">
        <v>65</v>
      </c>
      <c r="V19" s="316"/>
      <c r="W19" s="317"/>
      <c r="X19" s="325" t="s">
        <v>66</v>
      </c>
      <c r="Y19" s="328" t="s">
        <v>67</v>
      </c>
      <c r="Z19" s="106" t="s">
        <v>68</v>
      </c>
      <c r="AA19" s="106" t="s">
        <v>69</v>
      </c>
      <c r="AB19" s="107"/>
    </row>
    <row r="20" spans="1:28" ht="16.5" customHeight="1" thickTop="1">
      <c r="A20" s="1"/>
      <c r="B20" s="2"/>
      <c r="C20" s="51"/>
      <c r="D20" s="88"/>
      <c r="E20" s="88"/>
      <c r="F20" s="52"/>
      <c r="G20" s="53"/>
      <c r="H20" s="53"/>
      <c r="I20" s="270"/>
      <c r="J20" s="53"/>
      <c r="K20" s="54"/>
      <c r="L20" s="54"/>
      <c r="M20" s="54"/>
      <c r="N20" s="52"/>
      <c r="O20" s="53"/>
      <c r="P20" s="299"/>
      <c r="Q20" s="302"/>
      <c r="R20" s="307"/>
      <c r="S20" s="308"/>
      <c r="T20" s="309"/>
      <c r="U20" s="318"/>
      <c r="V20" s="319"/>
      <c r="W20" s="320"/>
      <c r="X20" s="326"/>
      <c r="Y20" s="329"/>
      <c r="Z20" s="313"/>
      <c r="AA20" s="54"/>
      <c r="AB20" s="3"/>
    </row>
    <row r="21" spans="1:28" ht="16.5" customHeight="1">
      <c r="A21" s="1"/>
      <c r="B21" s="2"/>
      <c r="C21" s="51"/>
      <c r="D21" s="51"/>
      <c r="E21" s="51"/>
      <c r="F21" s="51"/>
      <c r="G21" s="89"/>
      <c r="H21" s="89"/>
      <c r="I21" s="271"/>
      <c r="J21" s="51"/>
      <c r="K21" s="90"/>
      <c r="L21" s="90"/>
      <c r="M21" s="90"/>
      <c r="N21" s="88"/>
      <c r="O21" s="51"/>
      <c r="P21" s="300"/>
      <c r="Q21" s="303"/>
      <c r="R21" s="310"/>
      <c r="S21" s="311"/>
      <c r="T21" s="312"/>
      <c r="U21" s="321"/>
      <c r="V21" s="322"/>
      <c r="W21" s="323"/>
      <c r="X21" s="327"/>
      <c r="Y21" s="330"/>
      <c r="Z21" s="314"/>
      <c r="AA21" s="90"/>
      <c r="AB21" s="3"/>
    </row>
    <row r="22" spans="1:28" ht="16.5" customHeight="1">
      <c r="A22" s="1"/>
      <c r="B22" s="2"/>
      <c r="C22" s="514">
        <v>2</v>
      </c>
      <c r="D22" s="514" t="s">
        <v>171</v>
      </c>
      <c r="E22" s="514" t="s">
        <v>172</v>
      </c>
      <c r="F22" s="515" t="s">
        <v>167</v>
      </c>
      <c r="G22" s="516">
        <v>132</v>
      </c>
      <c r="H22" s="517">
        <v>185.6</v>
      </c>
      <c r="I22" s="272">
        <f aca="true" t="shared" si="0" ref="I22:I41">IF(H22&gt;25,H22,25)*IF(G22=330,$G$15,$G$16)/100</f>
        <v>129.404032</v>
      </c>
      <c r="J22" s="522">
        <v>40677.092361111114</v>
      </c>
      <c r="K22" s="522">
        <v>40677.50902777778</v>
      </c>
      <c r="L22" s="13">
        <f aca="true" t="shared" si="1" ref="L22:L41">IF(F22="","",(K22-J22)*24)</f>
        <v>9.999999999941792</v>
      </c>
      <c r="M22" s="14">
        <f aca="true" t="shared" si="2" ref="M22:M41">IF(F22="","",ROUND((K22-J22)*24*60,0))</f>
        <v>600</v>
      </c>
      <c r="N22" s="523" t="s">
        <v>155</v>
      </c>
      <c r="O22" s="725" t="s">
        <v>154</v>
      </c>
      <c r="P22" s="710" t="str">
        <f aca="true" t="shared" si="3" ref="P22:P41">IF(N22="P",ROUND(M22/60,2)*I22*$L$16*0.01,"--")</f>
        <v>--</v>
      </c>
      <c r="Q22" s="711" t="str">
        <f aca="true" t="shared" si="4" ref="Q22:Q41">IF(N22="RP",ROUND(M22/60,2)*I22*$L$16*0.01*O22/100,"--")</f>
        <v>--</v>
      </c>
      <c r="R22" s="712">
        <f aca="true" t="shared" si="5" ref="R22:R41">IF(N22="F",I22*$L$16,"--")</f>
        <v>3882.12096</v>
      </c>
      <c r="S22" s="713">
        <f aca="true" t="shared" si="6" ref="S22:S41">IF(AND(M22&gt;10,N22="F"),I22*$L$16*IF(M22&gt;180,3,ROUND(M22/60,2)),"--")</f>
        <v>11646.36288</v>
      </c>
      <c r="T22" s="714">
        <f aca="true" t="shared" si="7" ref="T22:T41">IF(AND(M22&gt;180,N22="F"),(ROUND(M22/60,2)-3)*I22*$L$16*0.1,"--")</f>
        <v>2717.484672</v>
      </c>
      <c r="U22" s="715" t="str">
        <f aca="true" t="shared" si="8" ref="U22:U41">IF(N22="R",I22*$L$16*O22/100,"--")</f>
        <v>--</v>
      </c>
      <c r="V22" s="716" t="str">
        <f aca="true" t="shared" si="9" ref="V22:V41">IF(AND(M22&gt;10,N22="R"),I22*$L$16*O22/100*IF(M22&gt;180,3,ROUND(M22/60,2)),"--")</f>
        <v>--</v>
      </c>
      <c r="W22" s="717" t="str">
        <f aca="true" t="shared" si="10" ref="W22:W41">IF(AND(M22&gt;180,N22="R"),(ROUND(M22/60,2)-3)*O22/100*I22*$L$16*0.1,"--")</f>
        <v>--</v>
      </c>
      <c r="X22" s="718" t="str">
        <f aca="true" t="shared" si="11" ref="X22:X41">IF(N22="RF",ROUND(M22/60,2)*I22*$L$16*0.1,"--")</f>
        <v>--</v>
      </c>
      <c r="Y22" s="719" t="str">
        <f aca="true" t="shared" si="12" ref="Y22:Y41">IF(N22="RR",ROUND(M22/60,2)*O22/100*I22*$L$16*0.1,"--")</f>
        <v>--</v>
      </c>
      <c r="Z22" s="720" t="s">
        <v>153</v>
      </c>
      <c r="AA22" s="55">
        <f aca="true" t="shared" si="13" ref="AA22:AA41">IF(F22="","",SUM(P22:Y22)*IF(Z22="SI",1,2))</f>
        <v>18245.968512</v>
      </c>
      <c r="AB22" s="3"/>
    </row>
    <row r="23" spans="1:28" ht="16.5" customHeight="1">
      <c r="A23" s="1"/>
      <c r="B23" s="2"/>
      <c r="C23" s="514"/>
      <c r="D23" s="514"/>
      <c r="E23" s="514"/>
      <c r="F23" s="515"/>
      <c r="G23" s="516"/>
      <c r="H23" s="517"/>
      <c r="I23" s="272"/>
      <c r="J23" s="522"/>
      <c r="K23" s="522"/>
      <c r="L23" s="13"/>
      <c r="M23" s="14"/>
      <c r="N23" s="523"/>
      <c r="O23" s="725"/>
      <c r="P23" s="710"/>
      <c r="Q23" s="711"/>
      <c r="R23" s="712"/>
      <c r="S23" s="713"/>
      <c r="T23" s="714"/>
      <c r="U23" s="715"/>
      <c r="V23" s="716"/>
      <c r="W23" s="717"/>
      <c r="X23" s="718"/>
      <c r="Y23" s="719"/>
      <c r="Z23" s="720"/>
      <c r="AA23" s="55"/>
      <c r="AB23" s="3"/>
    </row>
    <row r="24" spans="1:28" ht="16.5" customHeight="1">
      <c r="A24" s="1"/>
      <c r="B24" s="2"/>
      <c r="C24" s="514"/>
      <c r="D24" s="514"/>
      <c r="E24" s="514"/>
      <c r="F24" s="515"/>
      <c r="G24" s="516"/>
      <c r="H24" s="517"/>
      <c r="I24" s="272">
        <f t="shared" si="0"/>
        <v>17.4305</v>
      </c>
      <c r="J24" s="522"/>
      <c r="K24" s="522"/>
      <c r="L24" s="13">
        <f t="shared" si="1"/>
      </c>
      <c r="M24" s="14">
        <f t="shared" si="2"/>
      </c>
      <c r="N24" s="523"/>
      <c r="O24" s="709">
        <f aca="true" t="shared" si="14" ref="O24:O41">IF(F24="","","--")</f>
      </c>
      <c r="P24" s="710" t="str">
        <f t="shared" si="3"/>
        <v>--</v>
      </c>
      <c r="Q24" s="711" t="str">
        <f t="shared" si="4"/>
        <v>--</v>
      </c>
      <c r="R24" s="712" t="str">
        <f t="shared" si="5"/>
        <v>--</v>
      </c>
      <c r="S24" s="713" t="str">
        <f t="shared" si="6"/>
        <v>--</v>
      </c>
      <c r="T24" s="714" t="str">
        <f t="shared" si="7"/>
        <v>--</v>
      </c>
      <c r="U24" s="715" t="str">
        <f t="shared" si="8"/>
        <v>--</v>
      </c>
      <c r="V24" s="716" t="str">
        <f t="shared" si="9"/>
        <v>--</v>
      </c>
      <c r="W24" s="717" t="str">
        <f t="shared" si="10"/>
        <v>--</v>
      </c>
      <c r="X24" s="718" t="str">
        <f t="shared" si="11"/>
        <v>--</v>
      </c>
      <c r="Y24" s="719" t="str">
        <f t="shared" si="12"/>
        <v>--</v>
      </c>
      <c r="Z24" s="720">
        <f aca="true" t="shared" si="15" ref="Z24:Z41">IF(F24="","","SI")</f>
      </c>
      <c r="AA24" s="55">
        <f t="shared" si="13"/>
      </c>
      <c r="AB24" s="3"/>
    </row>
    <row r="25" spans="1:28" ht="16.5" customHeight="1">
      <c r="A25" s="1"/>
      <c r="B25" s="2"/>
      <c r="C25" s="514"/>
      <c r="D25" s="514"/>
      <c r="E25" s="514"/>
      <c r="F25" s="515"/>
      <c r="G25" s="516"/>
      <c r="H25" s="517"/>
      <c r="I25" s="272">
        <f t="shared" si="0"/>
        <v>17.4305</v>
      </c>
      <c r="J25" s="522"/>
      <c r="K25" s="522"/>
      <c r="L25" s="13">
        <f t="shared" si="1"/>
      </c>
      <c r="M25" s="14">
        <f t="shared" si="2"/>
      </c>
      <c r="N25" s="523"/>
      <c r="O25" s="709">
        <f t="shared" si="14"/>
      </c>
      <c r="P25" s="710" t="str">
        <f t="shared" si="3"/>
        <v>--</v>
      </c>
      <c r="Q25" s="711" t="str">
        <f t="shared" si="4"/>
        <v>--</v>
      </c>
      <c r="R25" s="712" t="str">
        <f t="shared" si="5"/>
        <v>--</v>
      </c>
      <c r="S25" s="713" t="str">
        <f t="shared" si="6"/>
        <v>--</v>
      </c>
      <c r="T25" s="714" t="str">
        <f t="shared" si="7"/>
        <v>--</v>
      </c>
      <c r="U25" s="715" t="str">
        <f t="shared" si="8"/>
        <v>--</v>
      </c>
      <c r="V25" s="716" t="str">
        <f t="shared" si="9"/>
        <v>--</v>
      </c>
      <c r="W25" s="717" t="str">
        <f t="shared" si="10"/>
        <v>--</v>
      </c>
      <c r="X25" s="718" t="str">
        <f t="shared" si="11"/>
        <v>--</v>
      </c>
      <c r="Y25" s="719" t="str">
        <f t="shared" si="12"/>
        <v>--</v>
      </c>
      <c r="Z25" s="720">
        <f t="shared" si="15"/>
      </c>
      <c r="AA25" s="55">
        <f t="shared" si="13"/>
      </c>
      <c r="AB25" s="3"/>
    </row>
    <row r="26" spans="1:28" ht="16.5" customHeight="1">
      <c r="A26" s="1"/>
      <c r="B26" s="2"/>
      <c r="C26" s="514"/>
      <c r="D26" s="514"/>
      <c r="E26" s="514"/>
      <c r="F26" s="515"/>
      <c r="G26" s="516"/>
      <c r="H26" s="517"/>
      <c r="I26" s="272">
        <f t="shared" si="0"/>
        <v>17.4305</v>
      </c>
      <c r="J26" s="522"/>
      <c r="K26" s="522"/>
      <c r="L26" s="13">
        <f t="shared" si="1"/>
      </c>
      <c r="M26" s="14">
        <f t="shared" si="2"/>
      </c>
      <c r="N26" s="523"/>
      <c r="O26" s="709">
        <f t="shared" si="14"/>
      </c>
      <c r="P26" s="710" t="str">
        <f t="shared" si="3"/>
        <v>--</v>
      </c>
      <c r="Q26" s="711" t="str">
        <f t="shared" si="4"/>
        <v>--</v>
      </c>
      <c r="R26" s="712" t="str">
        <f t="shared" si="5"/>
        <v>--</v>
      </c>
      <c r="S26" s="713" t="str">
        <f t="shared" si="6"/>
        <v>--</v>
      </c>
      <c r="T26" s="714" t="str">
        <f t="shared" si="7"/>
        <v>--</v>
      </c>
      <c r="U26" s="715" t="str">
        <f t="shared" si="8"/>
        <v>--</v>
      </c>
      <c r="V26" s="716" t="str">
        <f t="shared" si="9"/>
        <v>--</v>
      </c>
      <c r="W26" s="717" t="str">
        <f t="shared" si="10"/>
        <v>--</v>
      </c>
      <c r="X26" s="718" t="str">
        <f t="shared" si="11"/>
        <v>--</v>
      </c>
      <c r="Y26" s="719" t="str">
        <f t="shared" si="12"/>
        <v>--</v>
      </c>
      <c r="Z26" s="720">
        <f t="shared" si="15"/>
      </c>
      <c r="AA26" s="55">
        <f t="shared" si="13"/>
      </c>
      <c r="AB26" s="3"/>
    </row>
    <row r="27" spans="1:28" ht="16.5" customHeight="1">
      <c r="A27" s="1"/>
      <c r="B27" s="2"/>
      <c r="C27" s="514"/>
      <c r="D27" s="514"/>
      <c r="E27" s="514"/>
      <c r="F27" s="515"/>
      <c r="G27" s="516"/>
      <c r="H27" s="517"/>
      <c r="I27" s="272">
        <f t="shared" si="0"/>
        <v>17.4305</v>
      </c>
      <c r="J27" s="522"/>
      <c r="K27" s="522"/>
      <c r="L27" s="13">
        <f t="shared" si="1"/>
      </c>
      <c r="M27" s="14">
        <f t="shared" si="2"/>
      </c>
      <c r="N27" s="523"/>
      <c r="O27" s="709">
        <f t="shared" si="14"/>
      </c>
      <c r="P27" s="710" t="str">
        <f t="shared" si="3"/>
        <v>--</v>
      </c>
      <c r="Q27" s="711" t="str">
        <f t="shared" si="4"/>
        <v>--</v>
      </c>
      <c r="R27" s="712" t="str">
        <f t="shared" si="5"/>
        <v>--</v>
      </c>
      <c r="S27" s="713" t="str">
        <f t="shared" si="6"/>
        <v>--</v>
      </c>
      <c r="T27" s="714" t="str">
        <f t="shared" si="7"/>
        <v>--</v>
      </c>
      <c r="U27" s="715" t="str">
        <f t="shared" si="8"/>
        <v>--</v>
      </c>
      <c r="V27" s="716" t="str">
        <f t="shared" si="9"/>
        <v>--</v>
      </c>
      <c r="W27" s="717" t="str">
        <f t="shared" si="10"/>
        <v>--</v>
      </c>
      <c r="X27" s="718" t="str">
        <f t="shared" si="11"/>
        <v>--</v>
      </c>
      <c r="Y27" s="719" t="str">
        <f t="shared" si="12"/>
        <v>--</v>
      </c>
      <c r="Z27" s="720">
        <f t="shared" si="15"/>
      </c>
      <c r="AA27" s="55">
        <f t="shared" si="13"/>
      </c>
      <c r="AB27" s="3"/>
    </row>
    <row r="28" spans="1:28" ht="16.5" customHeight="1">
      <c r="A28" s="1"/>
      <c r="B28" s="2"/>
      <c r="C28" s="514"/>
      <c r="D28" s="514"/>
      <c r="E28" s="514"/>
      <c r="F28" s="515"/>
      <c r="G28" s="516"/>
      <c r="H28" s="517"/>
      <c r="I28" s="272">
        <f t="shared" si="0"/>
        <v>17.4305</v>
      </c>
      <c r="J28" s="522"/>
      <c r="K28" s="522"/>
      <c r="L28" s="13">
        <f t="shared" si="1"/>
      </c>
      <c r="M28" s="14">
        <f t="shared" si="2"/>
      </c>
      <c r="N28" s="523"/>
      <c r="O28" s="709">
        <f t="shared" si="14"/>
      </c>
      <c r="P28" s="710" t="str">
        <f t="shared" si="3"/>
        <v>--</v>
      </c>
      <c r="Q28" s="711" t="str">
        <f t="shared" si="4"/>
        <v>--</v>
      </c>
      <c r="R28" s="712" t="str">
        <f t="shared" si="5"/>
        <v>--</v>
      </c>
      <c r="S28" s="713" t="str">
        <f t="shared" si="6"/>
        <v>--</v>
      </c>
      <c r="T28" s="714" t="str">
        <f t="shared" si="7"/>
        <v>--</v>
      </c>
      <c r="U28" s="715" t="str">
        <f t="shared" si="8"/>
        <v>--</v>
      </c>
      <c r="V28" s="716" t="str">
        <f t="shared" si="9"/>
        <v>--</v>
      </c>
      <c r="W28" s="717" t="str">
        <f t="shared" si="10"/>
        <v>--</v>
      </c>
      <c r="X28" s="718" t="str">
        <f t="shared" si="11"/>
        <v>--</v>
      </c>
      <c r="Y28" s="719" t="str">
        <f t="shared" si="12"/>
        <v>--</v>
      </c>
      <c r="Z28" s="720">
        <f t="shared" si="15"/>
      </c>
      <c r="AA28" s="55">
        <f t="shared" si="13"/>
      </c>
      <c r="AB28" s="3"/>
    </row>
    <row r="29" spans="1:28" ht="16.5" customHeight="1">
      <c r="A29" s="1"/>
      <c r="B29" s="2"/>
      <c r="C29" s="514"/>
      <c r="D29" s="514"/>
      <c r="E29" s="514"/>
      <c r="F29" s="515"/>
      <c r="G29" s="516"/>
      <c r="H29" s="517"/>
      <c r="I29" s="272">
        <f t="shared" si="0"/>
        <v>17.4305</v>
      </c>
      <c r="J29" s="522"/>
      <c r="K29" s="522"/>
      <c r="L29" s="13">
        <f t="shared" si="1"/>
      </c>
      <c r="M29" s="14">
        <f t="shared" si="2"/>
      </c>
      <c r="N29" s="523"/>
      <c r="O29" s="709">
        <f t="shared" si="14"/>
      </c>
      <c r="P29" s="710" t="str">
        <f t="shared" si="3"/>
        <v>--</v>
      </c>
      <c r="Q29" s="711" t="str">
        <f t="shared" si="4"/>
        <v>--</v>
      </c>
      <c r="R29" s="712" t="str">
        <f t="shared" si="5"/>
        <v>--</v>
      </c>
      <c r="S29" s="713" t="str">
        <f t="shared" si="6"/>
        <v>--</v>
      </c>
      <c r="T29" s="714" t="str">
        <f t="shared" si="7"/>
        <v>--</v>
      </c>
      <c r="U29" s="715" t="str">
        <f t="shared" si="8"/>
        <v>--</v>
      </c>
      <c r="V29" s="716" t="str">
        <f t="shared" si="9"/>
        <v>--</v>
      </c>
      <c r="W29" s="717" t="str">
        <f t="shared" si="10"/>
        <v>--</v>
      </c>
      <c r="X29" s="718" t="str">
        <f t="shared" si="11"/>
        <v>--</v>
      </c>
      <c r="Y29" s="719" t="str">
        <f t="shared" si="12"/>
        <v>--</v>
      </c>
      <c r="Z29" s="720">
        <f t="shared" si="15"/>
      </c>
      <c r="AA29" s="55">
        <f t="shared" si="13"/>
      </c>
      <c r="AB29" s="3"/>
    </row>
    <row r="30" spans="1:28" ht="16.5" customHeight="1">
      <c r="A30" s="1"/>
      <c r="B30" s="2"/>
      <c r="C30" s="514"/>
      <c r="D30" s="514"/>
      <c r="E30" s="514"/>
      <c r="F30" s="515"/>
      <c r="G30" s="516"/>
      <c r="H30" s="517"/>
      <c r="I30" s="272">
        <f t="shared" si="0"/>
        <v>17.4305</v>
      </c>
      <c r="J30" s="522"/>
      <c r="K30" s="522"/>
      <c r="L30" s="13">
        <f t="shared" si="1"/>
      </c>
      <c r="M30" s="14">
        <f t="shared" si="2"/>
      </c>
      <c r="N30" s="523"/>
      <c r="O30" s="709">
        <f t="shared" si="14"/>
      </c>
      <c r="P30" s="710" t="str">
        <f t="shared" si="3"/>
        <v>--</v>
      </c>
      <c r="Q30" s="711" t="str">
        <f t="shared" si="4"/>
        <v>--</v>
      </c>
      <c r="R30" s="712" t="str">
        <f t="shared" si="5"/>
        <v>--</v>
      </c>
      <c r="S30" s="713" t="str">
        <f t="shared" si="6"/>
        <v>--</v>
      </c>
      <c r="T30" s="714" t="str">
        <f t="shared" si="7"/>
        <v>--</v>
      </c>
      <c r="U30" s="715" t="str">
        <f t="shared" si="8"/>
        <v>--</v>
      </c>
      <c r="V30" s="716" t="str">
        <f t="shared" si="9"/>
        <v>--</v>
      </c>
      <c r="W30" s="717" t="str">
        <f t="shared" si="10"/>
        <v>--</v>
      </c>
      <c r="X30" s="718" t="str">
        <f t="shared" si="11"/>
        <v>--</v>
      </c>
      <c r="Y30" s="719" t="str">
        <f t="shared" si="12"/>
        <v>--</v>
      </c>
      <c r="Z30" s="720">
        <f t="shared" si="15"/>
      </c>
      <c r="AA30" s="55">
        <f t="shared" si="13"/>
      </c>
      <c r="AB30" s="3"/>
    </row>
    <row r="31" spans="1:28" ht="16.5" customHeight="1">
      <c r="A31" s="1"/>
      <c r="B31" s="2"/>
      <c r="C31" s="514"/>
      <c r="D31" s="514"/>
      <c r="E31" s="514"/>
      <c r="F31" s="515"/>
      <c r="G31" s="516"/>
      <c r="H31" s="517"/>
      <c r="I31" s="272">
        <f t="shared" si="0"/>
        <v>17.4305</v>
      </c>
      <c r="J31" s="522"/>
      <c r="K31" s="522"/>
      <c r="L31" s="13">
        <f t="shared" si="1"/>
      </c>
      <c r="M31" s="14">
        <f t="shared" si="2"/>
      </c>
      <c r="N31" s="523"/>
      <c r="O31" s="709">
        <f t="shared" si="14"/>
      </c>
      <c r="P31" s="710" t="str">
        <f t="shared" si="3"/>
        <v>--</v>
      </c>
      <c r="Q31" s="711" t="str">
        <f t="shared" si="4"/>
        <v>--</v>
      </c>
      <c r="R31" s="712" t="str">
        <f t="shared" si="5"/>
        <v>--</v>
      </c>
      <c r="S31" s="713" t="str">
        <f t="shared" si="6"/>
        <v>--</v>
      </c>
      <c r="T31" s="714" t="str">
        <f t="shared" si="7"/>
        <v>--</v>
      </c>
      <c r="U31" s="715" t="str">
        <f t="shared" si="8"/>
        <v>--</v>
      </c>
      <c r="V31" s="716" t="str">
        <f t="shared" si="9"/>
        <v>--</v>
      </c>
      <c r="W31" s="717" t="str">
        <f t="shared" si="10"/>
        <v>--</v>
      </c>
      <c r="X31" s="718" t="str">
        <f t="shared" si="11"/>
        <v>--</v>
      </c>
      <c r="Y31" s="719" t="str">
        <f t="shared" si="12"/>
        <v>--</v>
      </c>
      <c r="Z31" s="720">
        <f t="shared" si="15"/>
      </c>
      <c r="AA31" s="55">
        <f t="shared" si="13"/>
      </c>
      <c r="AB31" s="3"/>
    </row>
    <row r="32" spans="1:28" ht="16.5" customHeight="1">
      <c r="A32" s="1"/>
      <c r="B32" s="2"/>
      <c r="C32" s="514"/>
      <c r="D32" s="514"/>
      <c r="E32" s="514"/>
      <c r="F32" s="515"/>
      <c r="G32" s="516"/>
      <c r="H32" s="517"/>
      <c r="I32" s="272">
        <f t="shared" si="0"/>
        <v>17.4305</v>
      </c>
      <c r="J32" s="522"/>
      <c r="K32" s="522"/>
      <c r="L32" s="13">
        <f t="shared" si="1"/>
      </c>
      <c r="M32" s="14">
        <f t="shared" si="2"/>
      </c>
      <c r="N32" s="523"/>
      <c r="O32" s="709">
        <f t="shared" si="14"/>
      </c>
      <c r="P32" s="710" t="str">
        <f t="shared" si="3"/>
        <v>--</v>
      </c>
      <c r="Q32" s="711" t="str">
        <f t="shared" si="4"/>
        <v>--</v>
      </c>
      <c r="R32" s="712" t="str">
        <f t="shared" si="5"/>
        <v>--</v>
      </c>
      <c r="S32" s="713" t="str">
        <f t="shared" si="6"/>
        <v>--</v>
      </c>
      <c r="T32" s="714" t="str">
        <f t="shared" si="7"/>
        <v>--</v>
      </c>
      <c r="U32" s="715" t="str">
        <f t="shared" si="8"/>
        <v>--</v>
      </c>
      <c r="V32" s="716" t="str">
        <f t="shared" si="9"/>
        <v>--</v>
      </c>
      <c r="W32" s="717" t="str">
        <f t="shared" si="10"/>
        <v>--</v>
      </c>
      <c r="X32" s="718" t="str">
        <f t="shared" si="11"/>
        <v>--</v>
      </c>
      <c r="Y32" s="719" t="str">
        <f t="shared" si="12"/>
        <v>--</v>
      </c>
      <c r="Z32" s="720">
        <f t="shared" si="15"/>
      </c>
      <c r="AA32" s="55">
        <f t="shared" si="13"/>
      </c>
      <c r="AB32" s="3"/>
    </row>
    <row r="33" spans="1:28" ht="16.5" customHeight="1">
      <c r="A33" s="1"/>
      <c r="B33" s="2"/>
      <c r="C33" s="514"/>
      <c r="D33" s="514"/>
      <c r="E33" s="514"/>
      <c r="F33" s="515"/>
      <c r="G33" s="516"/>
      <c r="H33" s="517"/>
      <c r="I33" s="272">
        <f t="shared" si="0"/>
        <v>17.4305</v>
      </c>
      <c r="J33" s="522"/>
      <c r="K33" s="522"/>
      <c r="L33" s="13">
        <f t="shared" si="1"/>
      </c>
      <c r="M33" s="14">
        <f t="shared" si="2"/>
      </c>
      <c r="N33" s="523"/>
      <c r="O33" s="709">
        <f t="shared" si="14"/>
      </c>
      <c r="P33" s="710" t="str">
        <f t="shared" si="3"/>
        <v>--</v>
      </c>
      <c r="Q33" s="711" t="str">
        <f t="shared" si="4"/>
        <v>--</v>
      </c>
      <c r="R33" s="712" t="str">
        <f t="shared" si="5"/>
        <v>--</v>
      </c>
      <c r="S33" s="713" t="str">
        <f t="shared" si="6"/>
        <v>--</v>
      </c>
      <c r="T33" s="714" t="str">
        <f t="shared" si="7"/>
        <v>--</v>
      </c>
      <c r="U33" s="715" t="str">
        <f t="shared" si="8"/>
        <v>--</v>
      </c>
      <c r="V33" s="716" t="str">
        <f t="shared" si="9"/>
        <v>--</v>
      </c>
      <c r="W33" s="717" t="str">
        <f t="shared" si="10"/>
        <v>--</v>
      </c>
      <c r="X33" s="718" t="str">
        <f t="shared" si="11"/>
        <v>--</v>
      </c>
      <c r="Y33" s="719" t="str">
        <f t="shared" si="12"/>
        <v>--</v>
      </c>
      <c r="Z33" s="720">
        <f t="shared" si="15"/>
      </c>
      <c r="AA33" s="55">
        <f t="shared" si="13"/>
      </c>
      <c r="AB33" s="3"/>
    </row>
    <row r="34" spans="1:28" ht="16.5" customHeight="1">
      <c r="A34" s="1"/>
      <c r="B34" s="2"/>
      <c r="C34" s="514"/>
      <c r="D34" s="514"/>
      <c r="E34" s="514"/>
      <c r="F34" s="515"/>
      <c r="G34" s="516"/>
      <c r="H34" s="517"/>
      <c r="I34" s="272">
        <f t="shared" si="0"/>
        <v>17.4305</v>
      </c>
      <c r="J34" s="522"/>
      <c r="K34" s="522"/>
      <c r="L34" s="13">
        <f t="shared" si="1"/>
      </c>
      <c r="M34" s="14">
        <f t="shared" si="2"/>
      </c>
      <c r="N34" s="523"/>
      <c r="O34" s="709">
        <f t="shared" si="14"/>
      </c>
      <c r="P34" s="710" t="str">
        <f t="shared" si="3"/>
        <v>--</v>
      </c>
      <c r="Q34" s="711" t="str">
        <f t="shared" si="4"/>
        <v>--</v>
      </c>
      <c r="R34" s="712" t="str">
        <f t="shared" si="5"/>
        <v>--</v>
      </c>
      <c r="S34" s="713" t="str">
        <f t="shared" si="6"/>
        <v>--</v>
      </c>
      <c r="T34" s="714" t="str">
        <f t="shared" si="7"/>
        <v>--</v>
      </c>
      <c r="U34" s="715" t="str">
        <f t="shared" si="8"/>
        <v>--</v>
      </c>
      <c r="V34" s="716" t="str">
        <f t="shared" si="9"/>
        <v>--</v>
      </c>
      <c r="W34" s="717" t="str">
        <f t="shared" si="10"/>
        <v>--</v>
      </c>
      <c r="X34" s="718" t="str">
        <f t="shared" si="11"/>
        <v>--</v>
      </c>
      <c r="Y34" s="719" t="str">
        <f t="shared" si="12"/>
        <v>--</v>
      </c>
      <c r="Z34" s="720">
        <f t="shared" si="15"/>
      </c>
      <c r="AA34" s="55">
        <f t="shared" si="13"/>
      </c>
      <c r="AB34" s="3"/>
    </row>
    <row r="35" spans="1:28" ht="16.5" customHeight="1">
      <c r="A35" s="1"/>
      <c r="B35" s="2"/>
      <c r="C35" s="514"/>
      <c r="D35" s="514"/>
      <c r="E35" s="514"/>
      <c r="F35" s="515"/>
      <c r="G35" s="516"/>
      <c r="H35" s="517"/>
      <c r="I35" s="272">
        <f t="shared" si="0"/>
        <v>17.4305</v>
      </c>
      <c r="J35" s="522"/>
      <c r="K35" s="522"/>
      <c r="L35" s="13">
        <f t="shared" si="1"/>
      </c>
      <c r="M35" s="14">
        <f t="shared" si="2"/>
      </c>
      <c r="N35" s="523"/>
      <c r="O35" s="709">
        <f t="shared" si="14"/>
      </c>
      <c r="P35" s="710" t="str">
        <f t="shared" si="3"/>
        <v>--</v>
      </c>
      <c r="Q35" s="711" t="str">
        <f t="shared" si="4"/>
        <v>--</v>
      </c>
      <c r="R35" s="712" t="str">
        <f t="shared" si="5"/>
        <v>--</v>
      </c>
      <c r="S35" s="713" t="str">
        <f t="shared" si="6"/>
        <v>--</v>
      </c>
      <c r="T35" s="714" t="str">
        <f t="shared" si="7"/>
        <v>--</v>
      </c>
      <c r="U35" s="715" t="str">
        <f t="shared" si="8"/>
        <v>--</v>
      </c>
      <c r="V35" s="716" t="str">
        <f t="shared" si="9"/>
        <v>--</v>
      </c>
      <c r="W35" s="717" t="str">
        <f t="shared" si="10"/>
        <v>--</v>
      </c>
      <c r="X35" s="718" t="str">
        <f t="shared" si="11"/>
        <v>--</v>
      </c>
      <c r="Y35" s="719" t="str">
        <f t="shared" si="12"/>
        <v>--</v>
      </c>
      <c r="Z35" s="720">
        <f t="shared" si="15"/>
      </c>
      <c r="AA35" s="55">
        <f t="shared" si="13"/>
      </c>
      <c r="AB35" s="3"/>
    </row>
    <row r="36" spans="1:28" ht="16.5" customHeight="1">
      <c r="A36" s="1"/>
      <c r="B36" s="2"/>
      <c r="C36" s="514"/>
      <c r="D36" s="514"/>
      <c r="E36" s="514"/>
      <c r="F36" s="515"/>
      <c r="G36" s="516"/>
      <c r="H36" s="517"/>
      <c r="I36" s="272">
        <f t="shared" si="0"/>
        <v>17.4305</v>
      </c>
      <c r="J36" s="522"/>
      <c r="K36" s="522"/>
      <c r="L36" s="13">
        <f t="shared" si="1"/>
      </c>
      <c r="M36" s="14">
        <f t="shared" si="2"/>
      </c>
      <c r="N36" s="523"/>
      <c r="O36" s="709">
        <f t="shared" si="14"/>
      </c>
      <c r="P36" s="710" t="str">
        <f t="shared" si="3"/>
        <v>--</v>
      </c>
      <c r="Q36" s="711" t="str">
        <f t="shared" si="4"/>
        <v>--</v>
      </c>
      <c r="R36" s="712" t="str">
        <f t="shared" si="5"/>
        <v>--</v>
      </c>
      <c r="S36" s="713" t="str">
        <f t="shared" si="6"/>
        <v>--</v>
      </c>
      <c r="T36" s="714" t="str">
        <f t="shared" si="7"/>
        <v>--</v>
      </c>
      <c r="U36" s="715" t="str">
        <f t="shared" si="8"/>
        <v>--</v>
      </c>
      <c r="V36" s="716" t="str">
        <f t="shared" si="9"/>
        <v>--</v>
      </c>
      <c r="W36" s="717" t="str">
        <f t="shared" si="10"/>
        <v>--</v>
      </c>
      <c r="X36" s="718" t="str">
        <f t="shared" si="11"/>
        <v>--</v>
      </c>
      <c r="Y36" s="719" t="str">
        <f t="shared" si="12"/>
        <v>--</v>
      </c>
      <c r="Z36" s="720">
        <f t="shared" si="15"/>
      </c>
      <c r="AA36" s="55">
        <f t="shared" si="13"/>
      </c>
      <c r="AB36" s="3"/>
    </row>
    <row r="37" spans="1:28" ht="16.5" customHeight="1">
      <c r="A37" s="1"/>
      <c r="B37" s="2"/>
      <c r="C37" s="514"/>
      <c r="D37" s="514"/>
      <c r="E37" s="514"/>
      <c r="F37" s="515"/>
      <c r="G37" s="516"/>
      <c r="H37" s="517"/>
      <c r="I37" s="272">
        <f t="shared" si="0"/>
        <v>17.4305</v>
      </c>
      <c r="J37" s="522"/>
      <c r="K37" s="522"/>
      <c r="L37" s="13">
        <f t="shared" si="1"/>
      </c>
      <c r="M37" s="14">
        <f t="shared" si="2"/>
      </c>
      <c r="N37" s="523"/>
      <c r="O37" s="709">
        <f t="shared" si="14"/>
      </c>
      <c r="P37" s="710" t="str">
        <f t="shared" si="3"/>
        <v>--</v>
      </c>
      <c r="Q37" s="711" t="str">
        <f t="shared" si="4"/>
        <v>--</v>
      </c>
      <c r="R37" s="712" t="str">
        <f t="shared" si="5"/>
        <v>--</v>
      </c>
      <c r="S37" s="713" t="str">
        <f t="shared" si="6"/>
        <v>--</v>
      </c>
      <c r="T37" s="714" t="str">
        <f t="shared" si="7"/>
        <v>--</v>
      </c>
      <c r="U37" s="715" t="str">
        <f t="shared" si="8"/>
        <v>--</v>
      </c>
      <c r="V37" s="716" t="str">
        <f t="shared" si="9"/>
        <v>--</v>
      </c>
      <c r="W37" s="717" t="str">
        <f t="shared" si="10"/>
        <v>--</v>
      </c>
      <c r="X37" s="718" t="str">
        <f t="shared" si="11"/>
        <v>--</v>
      </c>
      <c r="Y37" s="719" t="str">
        <f t="shared" si="12"/>
        <v>--</v>
      </c>
      <c r="Z37" s="720">
        <f t="shared" si="15"/>
      </c>
      <c r="AA37" s="55">
        <f t="shared" si="13"/>
      </c>
      <c r="AB37" s="3"/>
    </row>
    <row r="38" spans="2:28" ht="16.5" customHeight="1">
      <c r="B38" s="56"/>
      <c r="C38" s="514"/>
      <c r="D38" s="514"/>
      <c r="E38" s="514"/>
      <c r="F38" s="515"/>
      <c r="G38" s="516"/>
      <c r="H38" s="517"/>
      <c r="I38" s="272">
        <f t="shared" si="0"/>
        <v>17.4305</v>
      </c>
      <c r="J38" s="522"/>
      <c r="K38" s="522"/>
      <c r="L38" s="13">
        <f t="shared" si="1"/>
      </c>
      <c r="M38" s="14">
        <f t="shared" si="2"/>
      </c>
      <c r="N38" s="523"/>
      <c r="O38" s="709">
        <f t="shared" si="14"/>
      </c>
      <c r="P38" s="710" t="str">
        <f t="shared" si="3"/>
        <v>--</v>
      </c>
      <c r="Q38" s="711" t="str">
        <f t="shared" si="4"/>
        <v>--</v>
      </c>
      <c r="R38" s="712" t="str">
        <f t="shared" si="5"/>
        <v>--</v>
      </c>
      <c r="S38" s="713" t="str">
        <f t="shared" si="6"/>
        <v>--</v>
      </c>
      <c r="T38" s="714" t="str">
        <f t="shared" si="7"/>
        <v>--</v>
      </c>
      <c r="U38" s="715" t="str">
        <f t="shared" si="8"/>
        <v>--</v>
      </c>
      <c r="V38" s="716" t="str">
        <f t="shared" si="9"/>
        <v>--</v>
      </c>
      <c r="W38" s="717" t="str">
        <f t="shared" si="10"/>
        <v>--</v>
      </c>
      <c r="X38" s="718" t="str">
        <f t="shared" si="11"/>
        <v>--</v>
      </c>
      <c r="Y38" s="719" t="str">
        <f t="shared" si="12"/>
        <v>--</v>
      </c>
      <c r="Z38" s="720">
        <f t="shared" si="15"/>
      </c>
      <c r="AA38" s="55">
        <f t="shared" si="13"/>
      </c>
      <c r="AB38" s="3"/>
    </row>
    <row r="39" spans="2:28" ht="16.5" customHeight="1">
      <c r="B39" s="56"/>
      <c r="C39" s="514"/>
      <c r="D39" s="514"/>
      <c r="E39" s="514"/>
      <c r="F39" s="515"/>
      <c r="G39" s="516"/>
      <c r="H39" s="517"/>
      <c r="I39" s="272">
        <f t="shared" si="0"/>
        <v>17.4305</v>
      </c>
      <c r="J39" s="522"/>
      <c r="K39" s="522"/>
      <c r="L39" s="13">
        <f t="shared" si="1"/>
      </c>
      <c r="M39" s="14">
        <f t="shared" si="2"/>
      </c>
      <c r="N39" s="523"/>
      <c r="O39" s="709">
        <f t="shared" si="14"/>
      </c>
      <c r="P39" s="710" t="str">
        <f t="shared" si="3"/>
        <v>--</v>
      </c>
      <c r="Q39" s="711" t="str">
        <f t="shared" si="4"/>
        <v>--</v>
      </c>
      <c r="R39" s="712" t="str">
        <f t="shared" si="5"/>
        <v>--</v>
      </c>
      <c r="S39" s="713" t="str">
        <f t="shared" si="6"/>
        <v>--</v>
      </c>
      <c r="T39" s="714" t="str">
        <f t="shared" si="7"/>
        <v>--</v>
      </c>
      <c r="U39" s="715" t="str">
        <f t="shared" si="8"/>
        <v>--</v>
      </c>
      <c r="V39" s="716" t="str">
        <f t="shared" si="9"/>
        <v>--</v>
      </c>
      <c r="W39" s="717" t="str">
        <f t="shared" si="10"/>
        <v>--</v>
      </c>
      <c r="X39" s="718" t="str">
        <f t="shared" si="11"/>
        <v>--</v>
      </c>
      <c r="Y39" s="719" t="str">
        <f t="shared" si="12"/>
        <v>--</v>
      </c>
      <c r="Z39" s="720">
        <f t="shared" si="15"/>
      </c>
      <c r="AA39" s="55">
        <f t="shared" si="13"/>
      </c>
      <c r="AB39" s="3"/>
    </row>
    <row r="40" spans="2:28" ht="16.5" customHeight="1">
      <c r="B40" s="56"/>
      <c r="C40" s="514"/>
      <c r="D40" s="514"/>
      <c r="E40" s="514"/>
      <c r="F40" s="515"/>
      <c r="G40" s="516"/>
      <c r="H40" s="517"/>
      <c r="I40" s="272">
        <f t="shared" si="0"/>
        <v>17.4305</v>
      </c>
      <c r="J40" s="522"/>
      <c r="K40" s="522"/>
      <c r="L40" s="13">
        <f t="shared" si="1"/>
      </c>
      <c r="M40" s="14">
        <f t="shared" si="2"/>
      </c>
      <c r="N40" s="523"/>
      <c r="O40" s="709">
        <f t="shared" si="14"/>
      </c>
      <c r="P40" s="710" t="str">
        <f t="shared" si="3"/>
        <v>--</v>
      </c>
      <c r="Q40" s="711" t="str">
        <f t="shared" si="4"/>
        <v>--</v>
      </c>
      <c r="R40" s="712" t="str">
        <f t="shared" si="5"/>
        <v>--</v>
      </c>
      <c r="S40" s="713" t="str">
        <f t="shared" si="6"/>
        <v>--</v>
      </c>
      <c r="T40" s="714" t="str">
        <f t="shared" si="7"/>
        <v>--</v>
      </c>
      <c r="U40" s="715" t="str">
        <f t="shared" si="8"/>
        <v>--</v>
      </c>
      <c r="V40" s="716" t="str">
        <f t="shared" si="9"/>
        <v>--</v>
      </c>
      <c r="W40" s="717" t="str">
        <f t="shared" si="10"/>
        <v>--</v>
      </c>
      <c r="X40" s="718" t="str">
        <f t="shared" si="11"/>
        <v>--</v>
      </c>
      <c r="Y40" s="719" t="str">
        <f t="shared" si="12"/>
        <v>--</v>
      </c>
      <c r="Z40" s="720">
        <f t="shared" si="15"/>
      </c>
      <c r="AA40" s="55">
        <f t="shared" si="13"/>
      </c>
      <c r="AB40" s="3"/>
    </row>
    <row r="41" spans="2:28" ht="16.5" customHeight="1">
      <c r="B41" s="56"/>
      <c r="C41" s="514"/>
      <c r="D41" s="514"/>
      <c r="E41" s="514"/>
      <c r="F41" s="515"/>
      <c r="G41" s="516"/>
      <c r="H41" s="517"/>
      <c r="I41" s="272">
        <f t="shared" si="0"/>
        <v>17.4305</v>
      </c>
      <c r="J41" s="522"/>
      <c r="K41" s="522"/>
      <c r="L41" s="13">
        <f t="shared" si="1"/>
      </c>
      <c r="M41" s="14">
        <f t="shared" si="2"/>
      </c>
      <c r="N41" s="523"/>
      <c r="O41" s="709">
        <f t="shared" si="14"/>
      </c>
      <c r="P41" s="710" t="str">
        <f t="shared" si="3"/>
        <v>--</v>
      </c>
      <c r="Q41" s="711" t="str">
        <f t="shared" si="4"/>
        <v>--</v>
      </c>
      <c r="R41" s="712" t="str">
        <f t="shared" si="5"/>
        <v>--</v>
      </c>
      <c r="S41" s="713" t="str">
        <f t="shared" si="6"/>
        <v>--</v>
      </c>
      <c r="T41" s="714" t="str">
        <f t="shared" si="7"/>
        <v>--</v>
      </c>
      <c r="U41" s="715" t="str">
        <f t="shared" si="8"/>
        <v>--</v>
      </c>
      <c r="V41" s="716" t="str">
        <f t="shared" si="9"/>
        <v>--</v>
      </c>
      <c r="W41" s="717" t="str">
        <f t="shared" si="10"/>
        <v>--</v>
      </c>
      <c r="X41" s="718" t="str">
        <f t="shared" si="11"/>
        <v>--</v>
      </c>
      <c r="Y41" s="719" t="str">
        <f t="shared" si="12"/>
        <v>--</v>
      </c>
      <c r="Z41" s="720">
        <f t="shared" si="15"/>
      </c>
      <c r="AA41" s="55">
        <f t="shared" si="13"/>
      </c>
      <c r="AB41" s="3"/>
    </row>
    <row r="42" spans="1:28" ht="16.5" customHeight="1" thickBot="1">
      <c r="A42" s="1"/>
      <c r="B42" s="2"/>
      <c r="C42" s="518"/>
      <c r="D42" s="518"/>
      <c r="E42" s="518"/>
      <c r="F42" s="519"/>
      <c r="G42" s="520"/>
      <c r="H42" s="521"/>
      <c r="I42" s="273"/>
      <c r="J42" s="521"/>
      <c r="K42" s="521"/>
      <c r="L42" s="15"/>
      <c r="M42" s="15"/>
      <c r="N42" s="521"/>
      <c r="O42" s="524"/>
      <c r="P42" s="525"/>
      <c r="Q42" s="526"/>
      <c r="R42" s="527"/>
      <c r="S42" s="528"/>
      <c r="T42" s="529"/>
      <c r="U42" s="530"/>
      <c r="V42" s="531"/>
      <c r="W42" s="532"/>
      <c r="X42" s="533"/>
      <c r="Y42" s="534"/>
      <c r="Z42" s="535"/>
      <c r="AA42" s="57"/>
      <c r="AB42" s="3"/>
    </row>
    <row r="43" spans="1:28" ht="16.5" customHeight="1" thickBot="1" thickTop="1">
      <c r="A43" s="1"/>
      <c r="B43" s="2"/>
      <c r="C43" s="244" t="s">
        <v>70</v>
      </c>
      <c r="D43" s="726" t="s">
        <v>168</v>
      </c>
      <c r="E43" s="704"/>
      <c r="F43" s="245"/>
      <c r="G43" s="16"/>
      <c r="H43" s="17"/>
      <c r="I43" s="58"/>
      <c r="J43" s="58"/>
      <c r="K43" s="58"/>
      <c r="L43" s="58"/>
      <c r="M43" s="58"/>
      <c r="N43" s="58"/>
      <c r="O43" s="59"/>
      <c r="P43" s="331">
        <f aca="true" t="shared" si="16" ref="P43:Y43">ROUND(SUM(P20:P42),2)</f>
        <v>0</v>
      </c>
      <c r="Q43" s="332">
        <f t="shared" si="16"/>
        <v>0</v>
      </c>
      <c r="R43" s="333">
        <f t="shared" si="16"/>
        <v>3882.12</v>
      </c>
      <c r="S43" s="333">
        <f t="shared" si="16"/>
        <v>11646.36</v>
      </c>
      <c r="T43" s="334">
        <f t="shared" si="16"/>
        <v>2717.48</v>
      </c>
      <c r="U43" s="335">
        <f t="shared" si="16"/>
        <v>0</v>
      </c>
      <c r="V43" s="335">
        <f t="shared" si="16"/>
        <v>0</v>
      </c>
      <c r="W43" s="336">
        <f t="shared" si="16"/>
        <v>0</v>
      </c>
      <c r="X43" s="337">
        <f t="shared" si="16"/>
        <v>0</v>
      </c>
      <c r="Y43" s="338">
        <f t="shared" si="16"/>
        <v>0</v>
      </c>
      <c r="Z43" s="60"/>
      <c r="AA43" s="708">
        <f>ROUND(SUM(AA20:AA42),2)</f>
        <v>18245.97</v>
      </c>
      <c r="AB43" s="61"/>
    </row>
    <row r="44" spans="1:28" s="259" customFormat="1" ht="9.75" thickTop="1">
      <c r="A44" s="248"/>
      <c r="B44" s="249"/>
      <c r="C44" s="246"/>
      <c r="D44" s="246"/>
      <c r="E44" s="246"/>
      <c r="F44" s="247"/>
      <c r="G44" s="250"/>
      <c r="H44" s="251"/>
      <c r="I44" s="252"/>
      <c r="J44" s="252"/>
      <c r="K44" s="252"/>
      <c r="L44" s="252"/>
      <c r="M44" s="252"/>
      <c r="N44" s="252"/>
      <c r="O44" s="253"/>
      <c r="P44" s="254"/>
      <c r="Q44" s="254"/>
      <c r="R44" s="255"/>
      <c r="S44" s="255"/>
      <c r="T44" s="256"/>
      <c r="U44" s="256"/>
      <c r="V44" s="256"/>
      <c r="W44" s="256"/>
      <c r="X44" s="256"/>
      <c r="Y44" s="256"/>
      <c r="Z44" s="256"/>
      <c r="AA44" s="257"/>
      <c r="AB44" s="258"/>
    </row>
    <row r="45" spans="1:28" s="10" customFormat="1" ht="16.5" customHeight="1" thickBot="1">
      <c r="A45" s="8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</row>
    <row r="46" spans="1:28" ht="13.5" thickTop="1">
      <c r="A46" s="1"/>
      <c r="B46" s="1"/>
      <c r="AB46" s="1"/>
    </row>
    <row r="91" spans="1:2" ht="12.75">
      <c r="A91" s="1"/>
      <c r="B91" s="1"/>
    </row>
  </sheetData>
  <printOptions/>
  <pageMargins left="0.44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AB91"/>
  <sheetViews>
    <sheetView zoomScale="70" zoomScaleNormal="70" workbookViewId="0" topLeftCell="A1">
      <selection activeCell="B3" sqref="B3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2.14062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109" customFormat="1" ht="26.25">
      <c r="AB1" s="416"/>
    </row>
    <row r="2" spans="2:28" s="109" customFormat="1" ht="26.25">
      <c r="B2" s="110" t="str">
        <f>+'TOT-0511'!B2</f>
        <v>ANEXO V al Memorandum  D.T.E.E.  N°482  / 2012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</row>
    <row r="3" s="10" customFormat="1" ht="12.75"/>
    <row r="4" spans="1:4" s="112" customFormat="1" ht="11.25">
      <c r="A4" s="707" t="s">
        <v>21</v>
      </c>
      <c r="C4" s="706"/>
      <c r="D4" s="706"/>
    </row>
    <row r="5" spans="1:4" s="112" customFormat="1" ht="11.25">
      <c r="A5" s="707" t="s">
        <v>146</v>
      </c>
      <c r="C5" s="706"/>
      <c r="D5" s="706"/>
    </row>
    <row r="6" s="10" customFormat="1" ht="13.5" thickBot="1"/>
    <row r="7" spans="1:28" s="10" customFormat="1" ht="13.5" thickTop="1">
      <c r="A7" s="8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3"/>
    </row>
    <row r="8" spans="1:28" s="114" customFormat="1" ht="20.25">
      <c r="A8" s="45"/>
      <c r="B8" s="113"/>
      <c r="C8" s="45"/>
      <c r="D8" s="45"/>
      <c r="E8" s="45"/>
      <c r="F8" s="21" t="s">
        <v>46</v>
      </c>
      <c r="G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115"/>
    </row>
    <row r="9" spans="1:28" s="10" customFormat="1" ht="12.75">
      <c r="A9" s="8"/>
      <c r="B9" s="44"/>
      <c r="C9" s="8"/>
      <c r="D9" s="8"/>
      <c r="E9" s="8"/>
      <c r="F9" s="126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1"/>
    </row>
    <row r="10" spans="1:28" s="114" customFormat="1" ht="20.25">
      <c r="A10" s="45"/>
      <c r="B10" s="113"/>
      <c r="C10" s="45"/>
      <c r="D10" s="45"/>
      <c r="E10" s="45"/>
      <c r="F10" s="21" t="s">
        <v>142</v>
      </c>
      <c r="G10" s="21"/>
      <c r="H10" s="45"/>
      <c r="I10" s="116"/>
      <c r="J10" s="116"/>
      <c r="K10" s="116"/>
      <c r="L10" s="116"/>
      <c r="M10" s="116"/>
      <c r="N10" s="116"/>
      <c r="O10" s="116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115"/>
    </row>
    <row r="11" spans="1:28" s="10" customFormat="1" ht="12.75">
      <c r="A11" s="8"/>
      <c r="B11" s="44"/>
      <c r="C11" s="8"/>
      <c r="D11" s="8"/>
      <c r="E11" s="8"/>
      <c r="F11" s="125"/>
      <c r="G11" s="123"/>
      <c r="H11" s="8"/>
      <c r="I11" s="122"/>
      <c r="J11" s="122"/>
      <c r="K11" s="122"/>
      <c r="L11" s="122"/>
      <c r="M11" s="122"/>
      <c r="N11" s="122"/>
      <c r="O11" s="122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1"/>
    </row>
    <row r="12" spans="1:28" s="121" customFormat="1" ht="19.5">
      <c r="A12" s="47"/>
      <c r="B12" s="87" t="str">
        <f>+'TOT-0511'!B14</f>
        <v>Desde el 01 al 31 de mayo de 2011</v>
      </c>
      <c r="C12" s="117"/>
      <c r="D12" s="117"/>
      <c r="E12" s="117"/>
      <c r="F12" s="117"/>
      <c r="G12" s="118"/>
      <c r="H12" s="118"/>
      <c r="I12" s="119"/>
      <c r="J12" s="119"/>
      <c r="K12" s="119"/>
      <c r="L12" s="119"/>
      <c r="M12" s="119"/>
      <c r="N12" s="119"/>
      <c r="O12" s="119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20"/>
    </row>
    <row r="13" spans="1:28" s="121" customFormat="1" ht="7.5" customHeight="1">
      <c r="A13" s="47"/>
      <c r="B13" s="87"/>
      <c r="C13" s="117"/>
      <c r="D13" s="117"/>
      <c r="E13" s="117"/>
      <c r="F13" s="117"/>
      <c r="G13" s="118"/>
      <c r="H13" s="118"/>
      <c r="I13" s="119"/>
      <c r="J13" s="119"/>
      <c r="K13" s="119"/>
      <c r="L13" s="119"/>
      <c r="M13" s="119"/>
      <c r="N13" s="119"/>
      <c r="O13" s="119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20"/>
    </row>
    <row r="14" spans="1:28" s="10" customFormat="1" ht="7.5" customHeight="1" thickBot="1">
      <c r="A14" s="8"/>
      <c r="B14" s="44"/>
      <c r="C14" s="8"/>
      <c r="D14" s="8"/>
      <c r="E14" s="8"/>
      <c r="F14" s="8"/>
      <c r="G14" s="123"/>
      <c r="H14" s="124"/>
      <c r="I14" s="122"/>
      <c r="J14" s="122"/>
      <c r="K14" s="122"/>
      <c r="L14" s="122"/>
      <c r="M14" s="122"/>
      <c r="N14" s="122"/>
      <c r="O14" s="122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11"/>
    </row>
    <row r="15" spans="1:28" s="95" customFormat="1" ht="16.5" customHeight="1" thickBot="1" thickTop="1">
      <c r="A15" s="91"/>
      <c r="B15" s="92"/>
      <c r="C15" s="91"/>
      <c r="D15" s="91"/>
      <c r="E15" s="91"/>
      <c r="F15" s="510" t="s">
        <v>49</v>
      </c>
      <c r="G15" s="511" t="s">
        <v>178</v>
      </c>
      <c r="H15" s="242"/>
      <c r="I15" s="96"/>
      <c r="J15" s="96"/>
      <c r="K15" s="96"/>
      <c r="L15" s="96"/>
      <c r="M15" s="96"/>
      <c r="N15" s="96"/>
      <c r="O15" s="96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4"/>
    </row>
    <row r="16" spans="1:28" s="95" customFormat="1" ht="16.5" customHeight="1" thickBot="1" thickTop="1">
      <c r="A16" s="91"/>
      <c r="B16" s="92"/>
      <c r="C16" s="91"/>
      <c r="D16" s="91"/>
      <c r="E16" s="91"/>
      <c r="F16" s="510" t="s">
        <v>50</v>
      </c>
      <c r="G16" s="511">
        <v>69.722</v>
      </c>
      <c r="H16" s="243"/>
      <c r="I16" s="91"/>
      <c r="K16" s="97" t="s">
        <v>51</v>
      </c>
      <c r="L16" s="98">
        <f>30*'TOT-0511'!B13</f>
        <v>30</v>
      </c>
      <c r="M16" s="239" t="str">
        <f>IF(L16=30," ",IF(L16=60,"Coeficiente duplicado por tasa de falla &gt;4 Sal. x año/100 km.","REVISAR COEFICIENTE"))</f>
        <v> 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4"/>
    </row>
    <row r="17" spans="1:28" s="95" customFormat="1" ht="7.5" customHeight="1" thickTop="1">
      <c r="A17" s="91"/>
      <c r="B17" s="92"/>
      <c r="C17" s="91"/>
      <c r="D17" s="91"/>
      <c r="E17" s="91"/>
      <c r="F17" s="696"/>
      <c r="G17" s="697"/>
      <c r="H17" s="698"/>
      <c r="I17" s="91"/>
      <c r="K17" s="97"/>
      <c r="L17" s="98"/>
      <c r="M17" s="239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4"/>
    </row>
    <row r="18" spans="1:28" s="732" customFormat="1" ht="15" customHeight="1" thickBot="1">
      <c r="A18" s="728"/>
      <c r="B18" s="729"/>
      <c r="C18" s="730">
        <v>3</v>
      </c>
      <c r="D18" s="730">
        <v>4</v>
      </c>
      <c r="E18" s="730">
        <v>5</v>
      </c>
      <c r="F18" s="730">
        <v>6</v>
      </c>
      <c r="G18" s="730">
        <v>7</v>
      </c>
      <c r="H18" s="730">
        <v>8</v>
      </c>
      <c r="I18" s="730">
        <v>9</v>
      </c>
      <c r="J18" s="730">
        <v>10</v>
      </c>
      <c r="K18" s="730">
        <v>11</v>
      </c>
      <c r="L18" s="730">
        <v>12</v>
      </c>
      <c r="M18" s="730">
        <v>13</v>
      </c>
      <c r="N18" s="730">
        <v>14</v>
      </c>
      <c r="O18" s="730">
        <v>15</v>
      </c>
      <c r="P18" s="730">
        <v>16</v>
      </c>
      <c r="Q18" s="730">
        <v>17</v>
      </c>
      <c r="R18" s="730">
        <v>18</v>
      </c>
      <c r="S18" s="730">
        <v>19</v>
      </c>
      <c r="T18" s="730">
        <v>20</v>
      </c>
      <c r="U18" s="730">
        <v>21</v>
      </c>
      <c r="V18" s="730">
        <v>22</v>
      </c>
      <c r="W18" s="730">
        <v>23</v>
      </c>
      <c r="X18" s="730">
        <v>24</v>
      </c>
      <c r="Y18" s="730">
        <v>25</v>
      </c>
      <c r="Z18" s="730">
        <v>26</v>
      </c>
      <c r="AA18" s="730">
        <v>27</v>
      </c>
      <c r="AB18" s="731"/>
    </row>
    <row r="19" spans="1:28" s="108" customFormat="1" ht="33.75" customHeight="1" thickBot="1" thickTop="1">
      <c r="A19" s="99"/>
      <c r="B19" s="100"/>
      <c r="C19" s="101" t="s">
        <v>52</v>
      </c>
      <c r="D19" s="101" t="s">
        <v>145</v>
      </c>
      <c r="E19" s="101" t="s">
        <v>144</v>
      </c>
      <c r="F19" s="102" t="s">
        <v>24</v>
      </c>
      <c r="G19" s="103" t="s">
        <v>53</v>
      </c>
      <c r="H19" s="104" t="s">
        <v>54</v>
      </c>
      <c r="I19" s="269" t="s">
        <v>55</v>
      </c>
      <c r="J19" s="102" t="s">
        <v>56</v>
      </c>
      <c r="K19" s="102" t="s">
        <v>57</v>
      </c>
      <c r="L19" s="103" t="s">
        <v>58</v>
      </c>
      <c r="M19" s="103" t="s">
        <v>59</v>
      </c>
      <c r="N19" s="105" t="s">
        <v>60</v>
      </c>
      <c r="O19" s="103" t="s">
        <v>61</v>
      </c>
      <c r="P19" s="298" t="s">
        <v>62</v>
      </c>
      <c r="Q19" s="301" t="s">
        <v>63</v>
      </c>
      <c r="R19" s="304" t="s">
        <v>64</v>
      </c>
      <c r="S19" s="305"/>
      <c r="T19" s="306"/>
      <c r="U19" s="315" t="s">
        <v>65</v>
      </c>
      <c r="V19" s="316"/>
      <c r="W19" s="317"/>
      <c r="X19" s="325" t="s">
        <v>66</v>
      </c>
      <c r="Y19" s="328" t="s">
        <v>67</v>
      </c>
      <c r="Z19" s="106" t="s">
        <v>68</v>
      </c>
      <c r="AA19" s="106" t="s">
        <v>69</v>
      </c>
      <c r="AB19" s="107"/>
    </row>
    <row r="20" spans="1:28" ht="16.5" customHeight="1" thickTop="1">
      <c r="A20" s="1"/>
      <c r="B20" s="2"/>
      <c r="C20" s="51"/>
      <c r="D20" s="88"/>
      <c r="E20" s="88"/>
      <c r="F20" s="52"/>
      <c r="G20" s="53"/>
      <c r="H20" s="53"/>
      <c r="I20" s="270"/>
      <c r="J20" s="53"/>
      <c r="K20" s="54"/>
      <c r="L20" s="54"/>
      <c r="M20" s="54"/>
      <c r="N20" s="52"/>
      <c r="O20" s="53"/>
      <c r="P20" s="299"/>
      <c r="Q20" s="302"/>
      <c r="R20" s="307"/>
      <c r="S20" s="308"/>
      <c r="T20" s="309"/>
      <c r="U20" s="318"/>
      <c r="V20" s="319"/>
      <c r="W20" s="320"/>
      <c r="X20" s="326"/>
      <c r="Y20" s="329"/>
      <c r="Z20" s="313"/>
      <c r="AA20" s="54"/>
      <c r="AB20" s="3"/>
    </row>
    <row r="21" spans="1:28" ht="16.5" customHeight="1">
      <c r="A21" s="1"/>
      <c r="B21" s="2"/>
      <c r="C21" s="51"/>
      <c r="D21" s="51"/>
      <c r="E21" s="51"/>
      <c r="F21" s="51"/>
      <c r="G21" s="89"/>
      <c r="H21" s="89"/>
      <c r="I21" s="271"/>
      <c r="J21" s="51"/>
      <c r="K21" s="90"/>
      <c r="L21" s="90"/>
      <c r="M21" s="90"/>
      <c r="N21" s="88"/>
      <c r="O21" s="51"/>
      <c r="P21" s="300"/>
      <c r="Q21" s="303"/>
      <c r="R21" s="310"/>
      <c r="S21" s="311"/>
      <c r="T21" s="312"/>
      <c r="U21" s="321"/>
      <c r="V21" s="322"/>
      <c r="W21" s="323"/>
      <c r="X21" s="327"/>
      <c r="Y21" s="330"/>
      <c r="Z21" s="314"/>
      <c r="AA21" s="90"/>
      <c r="AB21" s="3"/>
    </row>
    <row r="22" spans="1:28" ht="16.5" customHeight="1">
      <c r="A22" s="1"/>
      <c r="B22" s="2"/>
      <c r="C22" s="514">
        <v>3</v>
      </c>
      <c r="D22" s="514">
        <v>234306</v>
      </c>
      <c r="E22" s="514">
        <v>4658</v>
      </c>
      <c r="F22" s="515" t="s">
        <v>170</v>
      </c>
      <c r="G22" s="516">
        <v>132</v>
      </c>
      <c r="H22" s="517">
        <v>207.5</v>
      </c>
      <c r="I22" s="272">
        <f aca="true" t="shared" si="0" ref="I22:I41">IF(H22&gt;25,H22,25)*IF(G22=330,$G$15,$G$16)/100</f>
        <v>144.67315</v>
      </c>
      <c r="J22" s="522">
        <v>40667.63680555556</v>
      </c>
      <c r="K22" s="522">
        <v>40667.65347222222</v>
      </c>
      <c r="L22" s="13">
        <f aca="true" t="shared" si="1" ref="L22:L41">IF(F22="","",(K22-J22)*24)</f>
        <v>0.39999999990686774</v>
      </c>
      <c r="M22" s="14">
        <f aca="true" t="shared" si="2" ref="M22:M41">IF(F22="","",ROUND((K22-J22)*24*60,0))</f>
        <v>24</v>
      </c>
      <c r="N22" s="523" t="s">
        <v>155</v>
      </c>
      <c r="O22" s="709" t="str">
        <f aca="true" t="shared" si="3" ref="O22:O41">IF(F22="","","--")</f>
        <v>--</v>
      </c>
      <c r="P22" s="710" t="str">
        <f aca="true" t="shared" si="4" ref="P22:P41">IF(N22="P",ROUND(M22/60,2)*I22*$L$16*0.01,"--")</f>
        <v>--</v>
      </c>
      <c r="Q22" s="711" t="str">
        <f aca="true" t="shared" si="5" ref="Q22:Q41">IF(N22="RP",ROUND(M22/60,2)*I22*$L$16*0.01*O22/100,"--")</f>
        <v>--</v>
      </c>
      <c r="R22" s="712">
        <f aca="true" t="shared" si="6" ref="R22:R41">IF(N22="F",I22*$L$16,"--")</f>
        <v>4340.1945</v>
      </c>
      <c r="S22" s="713">
        <f aca="true" t="shared" si="7" ref="S22:S41">IF(AND(M22&gt;10,N22="F"),I22*$L$16*IF(M22&gt;180,3,ROUND(M22/60,2)),"--")</f>
        <v>1736.0778</v>
      </c>
      <c r="T22" s="714" t="str">
        <f aca="true" t="shared" si="8" ref="T22:T41">IF(AND(M22&gt;180,N22="F"),(ROUND(M22/60,2)-3)*I22*$L$16*0.1,"--")</f>
        <v>--</v>
      </c>
      <c r="U22" s="715" t="str">
        <f aca="true" t="shared" si="9" ref="U22:U41">IF(N22="R",I22*$L$16*O22/100,"--")</f>
        <v>--</v>
      </c>
      <c r="V22" s="716" t="str">
        <f aca="true" t="shared" si="10" ref="V22:V41">IF(AND(M22&gt;10,N22="R"),I22*$L$16*O22/100*IF(M22&gt;180,3,ROUND(M22/60,2)),"--")</f>
        <v>--</v>
      </c>
      <c r="W22" s="717" t="str">
        <f aca="true" t="shared" si="11" ref="W22:W41">IF(AND(M22&gt;180,N22="R"),(ROUND(M22/60,2)-3)*O22/100*I22*$L$16*0.1,"--")</f>
        <v>--</v>
      </c>
      <c r="X22" s="718" t="str">
        <f aca="true" t="shared" si="12" ref="X22:X41">IF(N22="RF",ROUND(M22/60,2)*I22*$L$16*0.1,"--")</f>
        <v>--</v>
      </c>
      <c r="Y22" s="719" t="str">
        <f aca="true" t="shared" si="13" ref="Y22:Y41">IF(N22="RR",ROUND(M22/60,2)*O22/100*I22*$L$16*0.1,"--")</f>
        <v>--</v>
      </c>
      <c r="Z22" s="720" t="str">
        <f aca="true" t="shared" si="14" ref="Z22:Z41">IF(F22="","","SI")</f>
        <v>SI</v>
      </c>
      <c r="AA22" s="55">
        <f aca="true" t="shared" si="15" ref="AA22:AA41">IF(F22="","",SUM(P22:Y22)*IF(Z22="SI",1,2))</f>
        <v>6076.2723</v>
      </c>
      <c r="AB22" s="3"/>
    </row>
    <row r="23" spans="1:28" ht="16.5" customHeight="1">
      <c r="A23" s="1"/>
      <c r="B23" s="2"/>
      <c r="C23" s="514"/>
      <c r="D23" s="514"/>
      <c r="E23" s="514"/>
      <c r="F23" s="515"/>
      <c r="G23" s="516"/>
      <c r="H23" s="517"/>
      <c r="I23" s="272">
        <f t="shared" si="0"/>
        <v>17.4305</v>
      </c>
      <c r="J23" s="522"/>
      <c r="K23" s="522"/>
      <c r="L23" s="13">
        <f t="shared" si="1"/>
      </c>
      <c r="M23" s="14">
        <f t="shared" si="2"/>
      </c>
      <c r="N23" s="523"/>
      <c r="O23" s="709">
        <f t="shared" si="3"/>
      </c>
      <c r="P23" s="710" t="str">
        <f t="shared" si="4"/>
        <v>--</v>
      </c>
      <c r="Q23" s="711" t="str">
        <f t="shared" si="5"/>
        <v>--</v>
      </c>
      <c r="R23" s="712" t="str">
        <f t="shared" si="6"/>
        <v>--</v>
      </c>
      <c r="S23" s="713" t="str">
        <f t="shared" si="7"/>
        <v>--</v>
      </c>
      <c r="T23" s="714" t="str">
        <f t="shared" si="8"/>
        <v>--</v>
      </c>
      <c r="U23" s="715" t="str">
        <f t="shared" si="9"/>
        <v>--</v>
      </c>
      <c r="V23" s="716" t="str">
        <f t="shared" si="10"/>
        <v>--</v>
      </c>
      <c r="W23" s="717" t="str">
        <f t="shared" si="11"/>
        <v>--</v>
      </c>
      <c r="X23" s="718" t="str">
        <f t="shared" si="12"/>
        <v>--</v>
      </c>
      <c r="Y23" s="719" t="str">
        <f t="shared" si="13"/>
        <v>--</v>
      </c>
      <c r="Z23" s="720">
        <f t="shared" si="14"/>
      </c>
      <c r="AA23" s="55">
        <f t="shared" si="15"/>
      </c>
      <c r="AB23" s="3"/>
    </row>
    <row r="24" spans="1:28" ht="16.5" customHeight="1">
      <c r="A24" s="1"/>
      <c r="B24" s="2"/>
      <c r="C24" s="514"/>
      <c r="D24" s="514"/>
      <c r="E24" s="514"/>
      <c r="F24" s="515"/>
      <c r="G24" s="516"/>
      <c r="H24" s="517"/>
      <c r="I24" s="272">
        <f t="shared" si="0"/>
        <v>17.4305</v>
      </c>
      <c r="J24" s="522"/>
      <c r="K24" s="522"/>
      <c r="L24" s="13">
        <f t="shared" si="1"/>
      </c>
      <c r="M24" s="14">
        <f t="shared" si="2"/>
      </c>
      <c r="N24" s="523"/>
      <c r="O24" s="709">
        <f t="shared" si="3"/>
      </c>
      <c r="P24" s="710" t="str">
        <f t="shared" si="4"/>
        <v>--</v>
      </c>
      <c r="Q24" s="711" t="str">
        <f t="shared" si="5"/>
        <v>--</v>
      </c>
      <c r="R24" s="712" t="str">
        <f t="shared" si="6"/>
        <v>--</v>
      </c>
      <c r="S24" s="713" t="str">
        <f t="shared" si="7"/>
        <v>--</v>
      </c>
      <c r="T24" s="714" t="str">
        <f t="shared" si="8"/>
        <v>--</v>
      </c>
      <c r="U24" s="715" t="str">
        <f t="shared" si="9"/>
        <v>--</v>
      </c>
      <c r="V24" s="716" t="str">
        <f t="shared" si="10"/>
        <v>--</v>
      </c>
      <c r="W24" s="717" t="str">
        <f t="shared" si="11"/>
        <v>--</v>
      </c>
      <c r="X24" s="718" t="str">
        <f t="shared" si="12"/>
        <v>--</v>
      </c>
      <c r="Y24" s="719" t="str">
        <f t="shared" si="13"/>
        <v>--</v>
      </c>
      <c r="Z24" s="720">
        <f t="shared" si="14"/>
      </c>
      <c r="AA24" s="55">
        <f t="shared" si="15"/>
      </c>
      <c r="AB24" s="3"/>
    </row>
    <row r="25" spans="1:28" ht="16.5" customHeight="1">
      <c r="A25" s="1"/>
      <c r="B25" s="2"/>
      <c r="C25" s="514"/>
      <c r="D25" s="514"/>
      <c r="E25" s="514"/>
      <c r="F25" s="515"/>
      <c r="G25" s="516"/>
      <c r="H25" s="517"/>
      <c r="I25" s="272">
        <f t="shared" si="0"/>
        <v>17.4305</v>
      </c>
      <c r="J25" s="522"/>
      <c r="K25" s="522"/>
      <c r="L25" s="13">
        <f t="shared" si="1"/>
      </c>
      <c r="M25" s="14">
        <f t="shared" si="2"/>
      </c>
      <c r="N25" s="523"/>
      <c r="O25" s="709">
        <f t="shared" si="3"/>
      </c>
      <c r="P25" s="710" t="str">
        <f t="shared" si="4"/>
        <v>--</v>
      </c>
      <c r="Q25" s="711" t="str">
        <f t="shared" si="5"/>
        <v>--</v>
      </c>
      <c r="R25" s="712" t="str">
        <f t="shared" si="6"/>
        <v>--</v>
      </c>
      <c r="S25" s="713" t="str">
        <f t="shared" si="7"/>
        <v>--</v>
      </c>
      <c r="T25" s="714" t="str">
        <f t="shared" si="8"/>
        <v>--</v>
      </c>
      <c r="U25" s="715" t="str">
        <f t="shared" si="9"/>
        <v>--</v>
      </c>
      <c r="V25" s="716" t="str">
        <f t="shared" si="10"/>
        <v>--</v>
      </c>
      <c r="W25" s="717" t="str">
        <f t="shared" si="11"/>
        <v>--</v>
      </c>
      <c r="X25" s="718" t="str">
        <f t="shared" si="12"/>
        <v>--</v>
      </c>
      <c r="Y25" s="719" t="str">
        <f t="shared" si="13"/>
        <v>--</v>
      </c>
      <c r="Z25" s="720">
        <f t="shared" si="14"/>
      </c>
      <c r="AA25" s="55">
        <f t="shared" si="15"/>
      </c>
      <c r="AB25" s="3"/>
    </row>
    <row r="26" spans="1:28" ht="16.5" customHeight="1">
      <c r="A26" s="1"/>
      <c r="B26" s="2"/>
      <c r="C26" s="514"/>
      <c r="D26" s="514"/>
      <c r="E26" s="514"/>
      <c r="F26" s="515"/>
      <c r="G26" s="516"/>
      <c r="H26" s="517"/>
      <c r="I26" s="272">
        <f t="shared" si="0"/>
        <v>17.4305</v>
      </c>
      <c r="J26" s="522"/>
      <c r="K26" s="522"/>
      <c r="L26" s="13">
        <f t="shared" si="1"/>
      </c>
      <c r="M26" s="14">
        <f t="shared" si="2"/>
      </c>
      <c r="N26" s="523"/>
      <c r="O26" s="709">
        <f t="shared" si="3"/>
      </c>
      <c r="P26" s="710" t="str">
        <f t="shared" si="4"/>
        <v>--</v>
      </c>
      <c r="Q26" s="711" t="str">
        <f t="shared" si="5"/>
        <v>--</v>
      </c>
      <c r="R26" s="712" t="str">
        <f t="shared" si="6"/>
        <v>--</v>
      </c>
      <c r="S26" s="713" t="str">
        <f t="shared" si="7"/>
        <v>--</v>
      </c>
      <c r="T26" s="714" t="str">
        <f t="shared" si="8"/>
        <v>--</v>
      </c>
      <c r="U26" s="715" t="str">
        <f t="shared" si="9"/>
        <v>--</v>
      </c>
      <c r="V26" s="716" t="str">
        <f t="shared" si="10"/>
        <v>--</v>
      </c>
      <c r="W26" s="717" t="str">
        <f t="shared" si="11"/>
        <v>--</v>
      </c>
      <c r="X26" s="718" t="str">
        <f t="shared" si="12"/>
        <v>--</v>
      </c>
      <c r="Y26" s="719" t="str">
        <f t="shared" si="13"/>
        <v>--</v>
      </c>
      <c r="Z26" s="720">
        <f t="shared" si="14"/>
      </c>
      <c r="AA26" s="55">
        <f t="shared" si="15"/>
      </c>
      <c r="AB26" s="3"/>
    </row>
    <row r="27" spans="1:28" ht="16.5" customHeight="1">
      <c r="A27" s="1"/>
      <c r="B27" s="2"/>
      <c r="C27" s="514"/>
      <c r="D27" s="514"/>
      <c r="E27" s="514"/>
      <c r="F27" s="515"/>
      <c r="G27" s="516"/>
      <c r="H27" s="517"/>
      <c r="I27" s="272">
        <f t="shared" si="0"/>
        <v>17.4305</v>
      </c>
      <c r="J27" s="522"/>
      <c r="K27" s="522"/>
      <c r="L27" s="13">
        <f t="shared" si="1"/>
      </c>
      <c r="M27" s="14">
        <f t="shared" si="2"/>
      </c>
      <c r="N27" s="523"/>
      <c r="O27" s="709">
        <f t="shared" si="3"/>
      </c>
      <c r="P27" s="710" t="str">
        <f t="shared" si="4"/>
        <v>--</v>
      </c>
      <c r="Q27" s="711" t="str">
        <f t="shared" si="5"/>
        <v>--</v>
      </c>
      <c r="R27" s="712" t="str">
        <f t="shared" si="6"/>
        <v>--</v>
      </c>
      <c r="S27" s="713" t="str">
        <f t="shared" si="7"/>
        <v>--</v>
      </c>
      <c r="T27" s="714" t="str">
        <f t="shared" si="8"/>
        <v>--</v>
      </c>
      <c r="U27" s="715" t="str">
        <f t="shared" si="9"/>
        <v>--</v>
      </c>
      <c r="V27" s="716" t="str">
        <f t="shared" si="10"/>
        <v>--</v>
      </c>
      <c r="W27" s="717" t="str">
        <f t="shared" si="11"/>
        <v>--</v>
      </c>
      <c r="X27" s="718" t="str">
        <f t="shared" si="12"/>
        <v>--</v>
      </c>
      <c r="Y27" s="719" t="str">
        <f t="shared" si="13"/>
        <v>--</v>
      </c>
      <c r="Z27" s="720">
        <f t="shared" si="14"/>
      </c>
      <c r="AA27" s="55">
        <f t="shared" si="15"/>
      </c>
      <c r="AB27" s="3"/>
    </row>
    <row r="28" spans="1:28" ht="16.5" customHeight="1">
      <c r="A28" s="1"/>
      <c r="B28" s="2"/>
      <c r="C28" s="514"/>
      <c r="D28" s="514"/>
      <c r="E28" s="514"/>
      <c r="F28" s="515"/>
      <c r="G28" s="516"/>
      <c r="H28" s="517"/>
      <c r="I28" s="272">
        <f t="shared" si="0"/>
        <v>17.4305</v>
      </c>
      <c r="J28" s="522"/>
      <c r="K28" s="522"/>
      <c r="L28" s="13">
        <f t="shared" si="1"/>
      </c>
      <c r="M28" s="14">
        <f t="shared" si="2"/>
      </c>
      <c r="N28" s="523"/>
      <c r="O28" s="709">
        <f t="shared" si="3"/>
      </c>
      <c r="P28" s="710" t="str">
        <f t="shared" si="4"/>
        <v>--</v>
      </c>
      <c r="Q28" s="711" t="str">
        <f t="shared" si="5"/>
        <v>--</v>
      </c>
      <c r="R28" s="712" t="str">
        <f t="shared" si="6"/>
        <v>--</v>
      </c>
      <c r="S28" s="713" t="str">
        <f t="shared" si="7"/>
        <v>--</v>
      </c>
      <c r="T28" s="714" t="str">
        <f t="shared" si="8"/>
        <v>--</v>
      </c>
      <c r="U28" s="715" t="str">
        <f t="shared" si="9"/>
        <v>--</v>
      </c>
      <c r="V28" s="716" t="str">
        <f t="shared" si="10"/>
        <v>--</v>
      </c>
      <c r="W28" s="717" t="str">
        <f t="shared" si="11"/>
        <v>--</v>
      </c>
      <c r="X28" s="718" t="str">
        <f t="shared" si="12"/>
        <v>--</v>
      </c>
      <c r="Y28" s="719" t="str">
        <f t="shared" si="13"/>
        <v>--</v>
      </c>
      <c r="Z28" s="720">
        <f t="shared" si="14"/>
      </c>
      <c r="AA28" s="55">
        <f t="shared" si="15"/>
      </c>
      <c r="AB28" s="3"/>
    </row>
    <row r="29" spans="1:28" ht="16.5" customHeight="1">
      <c r="A29" s="1"/>
      <c r="B29" s="2"/>
      <c r="C29" s="514"/>
      <c r="D29" s="514"/>
      <c r="E29" s="514"/>
      <c r="F29" s="515"/>
      <c r="G29" s="516"/>
      <c r="H29" s="517"/>
      <c r="I29" s="272">
        <f t="shared" si="0"/>
        <v>17.4305</v>
      </c>
      <c r="J29" s="522"/>
      <c r="K29" s="522"/>
      <c r="L29" s="13">
        <f t="shared" si="1"/>
      </c>
      <c r="M29" s="14">
        <f t="shared" si="2"/>
      </c>
      <c r="N29" s="523"/>
      <c r="O29" s="709">
        <f t="shared" si="3"/>
      </c>
      <c r="P29" s="710" t="str">
        <f t="shared" si="4"/>
        <v>--</v>
      </c>
      <c r="Q29" s="711" t="str">
        <f t="shared" si="5"/>
        <v>--</v>
      </c>
      <c r="R29" s="712" t="str">
        <f t="shared" si="6"/>
        <v>--</v>
      </c>
      <c r="S29" s="713" t="str">
        <f t="shared" si="7"/>
        <v>--</v>
      </c>
      <c r="T29" s="714" t="str">
        <f t="shared" si="8"/>
        <v>--</v>
      </c>
      <c r="U29" s="715" t="str">
        <f t="shared" si="9"/>
        <v>--</v>
      </c>
      <c r="V29" s="716" t="str">
        <f t="shared" si="10"/>
        <v>--</v>
      </c>
      <c r="W29" s="717" t="str">
        <f t="shared" si="11"/>
        <v>--</v>
      </c>
      <c r="X29" s="718" t="str">
        <f t="shared" si="12"/>
        <v>--</v>
      </c>
      <c r="Y29" s="719" t="str">
        <f t="shared" si="13"/>
        <v>--</v>
      </c>
      <c r="Z29" s="720">
        <f t="shared" si="14"/>
      </c>
      <c r="AA29" s="55">
        <f t="shared" si="15"/>
      </c>
      <c r="AB29" s="3"/>
    </row>
    <row r="30" spans="1:28" ht="16.5" customHeight="1">
      <c r="A30" s="1"/>
      <c r="B30" s="2"/>
      <c r="C30" s="514"/>
      <c r="D30" s="514"/>
      <c r="E30" s="514"/>
      <c r="F30" s="515"/>
      <c r="G30" s="516"/>
      <c r="H30" s="517"/>
      <c r="I30" s="272">
        <f t="shared" si="0"/>
        <v>17.4305</v>
      </c>
      <c r="J30" s="522"/>
      <c r="K30" s="522"/>
      <c r="L30" s="13">
        <f t="shared" si="1"/>
      </c>
      <c r="M30" s="14">
        <f t="shared" si="2"/>
      </c>
      <c r="N30" s="523"/>
      <c r="O30" s="709">
        <f t="shared" si="3"/>
      </c>
      <c r="P30" s="710" t="str">
        <f t="shared" si="4"/>
        <v>--</v>
      </c>
      <c r="Q30" s="711" t="str">
        <f t="shared" si="5"/>
        <v>--</v>
      </c>
      <c r="R30" s="712" t="str">
        <f t="shared" si="6"/>
        <v>--</v>
      </c>
      <c r="S30" s="713" t="str">
        <f t="shared" si="7"/>
        <v>--</v>
      </c>
      <c r="T30" s="714" t="str">
        <f t="shared" si="8"/>
        <v>--</v>
      </c>
      <c r="U30" s="715" t="str">
        <f t="shared" si="9"/>
        <v>--</v>
      </c>
      <c r="V30" s="716" t="str">
        <f t="shared" si="10"/>
        <v>--</v>
      </c>
      <c r="W30" s="717" t="str">
        <f t="shared" si="11"/>
        <v>--</v>
      </c>
      <c r="X30" s="718" t="str">
        <f t="shared" si="12"/>
        <v>--</v>
      </c>
      <c r="Y30" s="719" t="str">
        <f t="shared" si="13"/>
        <v>--</v>
      </c>
      <c r="Z30" s="720">
        <f t="shared" si="14"/>
      </c>
      <c r="AA30" s="55">
        <f t="shared" si="15"/>
      </c>
      <c r="AB30" s="3"/>
    </row>
    <row r="31" spans="1:28" ht="16.5" customHeight="1">
      <c r="A31" s="1"/>
      <c r="B31" s="2"/>
      <c r="C31" s="514"/>
      <c r="D31" s="514"/>
      <c r="E31" s="514"/>
      <c r="F31" s="515"/>
      <c r="G31" s="516"/>
      <c r="H31" s="517"/>
      <c r="I31" s="272">
        <f t="shared" si="0"/>
        <v>17.4305</v>
      </c>
      <c r="J31" s="522"/>
      <c r="K31" s="522"/>
      <c r="L31" s="13">
        <f t="shared" si="1"/>
      </c>
      <c r="M31" s="14">
        <f t="shared" si="2"/>
      </c>
      <c r="N31" s="523"/>
      <c r="O31" s="709">
        <f t="shared" si="3"/>
      </c>
      <c r="P31" s="710" t="str">
        <f t="shared" si="4"/>
        <v>--</v>
      </c>
      <c r="Q31" s="711" t="str">
        <f t="shared" si="5"/>
        <v>--</v>
      </c>
      <c r="R31" s="712" t="str">
        <f t="shared" si="6"/>
        <v>--</v>
      </c>
      <c r="S31" s="713" t="str">
        <f t="shared" si="7"/>
        <v>--</v>
      </c>
      <c r="T31" s="714" t="str">
        <f t="shared" si="8"/>
        <v>--</v>
      </c>
      <c r="U31" s="715" t="str">
        <f t="shared" si="9"/>
        <v>--</v>
      </c>
      <c r="V31" s="716" t="str">
        <f t="shared" si="10"/>
        <v>--</v>
      </c>
      <c r="W31" s="717" t="str">
        <f t="shared" si="11"/>
        <v>--</v>
      </c>
      <c r="X31" s="718" t="str">
        <f t="shared" si="12"/>
        <v>--</v>
      </c>
      <c r="Y31" s="719" t="str">
        <f t="shared" si="13"/>
        <v>--</v>
      </c>
      <c r="Z31" s="720">
        <f t="shared" si="14"/>
      </c>
      <c r="AA31" s="55">
        <f t="shared" si="15"/>
      </c>
      <c r="AB31" s="3"/>
    </row>
    <row r="32" spans="1:28" ht="16.5" customHeight="1">
      <c r="A32" s="1"/>
      <c r="B32" s="2"/>
      <c r="C32" s="514"/>
      <c r="D32" s="514"/>
      <c r="E32" s="514"/>
      <c r="F32" s="515"/>
      <c r="G32" s="516"/>
      <c r="H32" s="517"/>
      <c r="I32" s="272">
        <f t="shared" si="0"/>
        <v>17.4305</v>
      </c>
      <c r="J32" s="522"/>
      <c r="K32" s="522"/>
      <c r="L32" s="13">
        <f t="shared" si="1"/>
      </c>
      <c r="M32" s="14">
        <f t="shared" si="2"/>
      </c>
      <c r="N32" s="523"/>
      <c r="O32" s="709">
        <f t="shared" si="3"/>
      </c>
      <c r="P32" s="710" t="str">
        <f t="shared" si="4"/>
        <v>--</v>
      </c>
      <c r="Q32" s="711" t="str">
        <f t="shared" si="5"/>
        <v>--</v>
      </c>
      <c r="R32" s="712" t="str">
        <f t="shared" si="6"/>
        <v>--</v>
      </c>
      <c r="S32" s="713" t="str">
        <f t="shared" si="7"/>
        <v>--</v>
      </c>
      <c r="T32" s="714" t="str">
        <f t="shared" si="8"/>
        <v>--</v>
      </c>
      <c r="U32" s="715" t="str">
        <f t="shared" si="9"/>
        <v>--</v>
      </c>
      <c r="V32" s="716" t="str">
        <f t="shared" si="10"/>
        <v>--</v>
      </c>
      <c r="W32" s="717" t="str">
        <f t="shared" si="11"/>
        <v>--</v>
      </c>
      <c r="X32" s="718" t="str">
        <f t="shared" si="12"/>
        <v>--</v>
      </c>
      <c r="Y32" s="719" t="str">
        <f t="shared" si="13"/>
        <v>--</v>
      </c>
      <c r="Z32" s="720">
        <f t="shared" si="14"/>
      </c>
      <c r="AA32" s="55">
        <f t="shared" si="15"/>
      </c>
      <c r="AB32" s="3"/>
    </row>
    <row r="33" spans="1:28" ht="16.5" customHeight="1">
      <c r="A33" s="1"/>
      <c r="B33" s="2"/>
      <c r="C33" s="514"/>
      <c r="D33" s="514"/>
      <c r="E33" s="514"/>
      <c r="F33" s="515"/>
      <c r="G33" s="516"/>
      <c r="H33" s="517"/>
      <c r="I33" s="272">
        <f t="shared" si="0"/>
        <v>17.4305</v>
      </c>
      <c r="J33" s="522"/>
      <c r="K33" s="522"/>
      <c r="L33" s="13">
        <f t="shared" si="1"/>
      </c>
      <c r="M33" s="14">
        <f t="shared" si="2"/>
      </c>
      <c r="N33" s="523"/>
      <c r="O33" s="709">
        <f t="shared" si="3"/>
      </c>
      <c r="P33" s="710" t="str">
        <f t="shared" si="4"/>
        <v>--</v>
      </c>
      <c r="Q33" s="711" t="str">
        <f t="shared" si="5"/>
        <v>--</v>
      </c>
      <c r="R33" s="712" t="str">
        <f t="shared" si="6"/>
        <v>--</v>
      </c>
      <c r="S33" s="713" t="str">
        <f t="shared" si="7"/>
        <v>--</v>
      </c>
      <c r="T33" s="714" t="str">
        <f t="shared" si="8"/>
        <v>--</v>
      </c>
      <c r="U33" s="715" t="str">
        <f t="shared" si="9"/>
        <v>--</v>
      </c>
      <c r="V33" s="716" t="str">
        <f t="shared" si="10"/>
        <v>--</v>
      </c>
      <c r="W33" s="717" t="str">
        <f t="shared" si="11"/>
        <v>--</v>
      </c>
      <c r="X33" s="718" t="str">
        <f t="shared" si="12"/>
        <v>--</v>
      </c>
      <c r="Y33" s="719" t="str">
        <f t="shared" si="13"/>
        <v>--</v>
      </c>
      <c r="Z33" s="720">
        <f t="shared" si="14"/>
      </c>
      <c r="AA33" s="55">
        <f t="shared" si="15"/>
      </c>
      <c r="AB33" s="3"/>
    </row>
    <row r="34" spans="1:28" ht="16.5" customHeight="1">
      <c r="A34" s="1"/>
      <c r="B34" s="2"/>
      <c r="C34" s="514"/>
      <c r="D34" s="514"/>
      <c r="E34" s="514"/>
      <c r="F34" s="515"/>
      <c r="G34" s="516"/>
      <c r="H34" s="517"/>
      <c r="I34" s="272">
        <f t="shared" si="0"/>
        <v>17.4305</v>
      </c>
      <c r="J34" s="522"/>
      <c r="K34" s="522"/>
      <c r="L34" s="13">
        <f t="shared" si="1"/>
      </c>
      <c r="M34" s="14">
        <f t="shared" si="2"/>
      </c>
      <c r="N34" s="523"/>
      <c r="O34" s="709">
        <f t="shared" si="3"/>
      </c>
      <c r="P34" s="710" t="str">
        <f t="shared" si="4"/>
        <v>--</v>
      </c>
      <c r="Q34" s="711" t="str">
        <f t="shared" si="5"/>
        <v>--</v>
      </c>
      <c r="R34" s="712" t="str">
        <f t="shared" si="6"/>
        <v>--</v>
      </c>
      <c r="S34" s="713" t="str">
        <f t="shared" si="7"/>
        <v>--</v>
      </c>
      <c r="T34" s="714" t="str">
        <f t="shared" si="8"/>
        <v>--</v>
      </c>
      <c r="U34" s="715" t="str">
        <f t="shared" si="9"/>
        <v>--</v>
      </c>
      <c r="V34" s="716" t="str">
        <f t="shared" si="10"/>
        <v>--</v>
      </c>
      <c r="W34" s="717" t="str">
        <f t="shared" si="11"/>
        <v>--</v>
      </c>
      <c r="X34" s="718" t="str">
        <f t="shared" si="12"/>
        <v>--</v>
      </c>
      <c r="Y34" s="719" t="str">
        <f t="shared" si="13"/>
        <v>--</v>
      </c>
      <c r="Z34" s="720">
        <f t="shared" si="14"/>
      </c>
      <c r="AA34" s="55">
        <f t="shared" si="15"/>
      </c>
      <c r="AB34" s="3"/>
    </row>
    <row r="35" spans="1:28" ht="16.5" customHeight="1">
      <c r="A35" s="1"/>
      <c r="B35" s="2"/>
      <c r="C35" s="514"/>
      <c r="D35" s="514"/>
      <c r="E35" s="514"/>
      <c r="F35" s="515"/>
      <c r="G35" s="516"/>
      <c r="H35" s="517"/>
      <c r="I35" s="272">
        <f t="shared" si="0"/>
        <v>17.4305</v>
      </c>
      <c r="J35" s="522"/>
      <c r="K35" s="522"/>
      <c r="L35" s="13">
        <f t="shared" si="1"/>
      </c>
      <c r="M35" s="14">
        <f t="shared" si="2"/>
      </c>
      <c r="N35" s="523"/>
      <c r="O35" s="709">
        <f t="shared" si="3"/>
      </c>
      <c r="P35" s="710" t="str">
        <f t="shared" si="4"/>
        <v>--</v>
      </c>
      <c r="Q35" s="711" t="str">
        <f t="shared" si="5"/>
        <v>--</v>
      </c>
      <c r="R35" s="712" t="str">
        <f t="shared" si="6"/>
        <v>--</v>
      </c>
      <c r="S35" s="713" t="str">
        <f t="shared" si="7"/>
        <v>--</v>
      </c>
      <c r="T35" s="714" t="str">
        <f t="shared" si="8"/>
        <v>--</v>
      </c>
      <c r="U35" s="715" t="str">
        <f t="shared" si="9"/>
        <v>--</v>
      </c>
      <c r="V35" s="716" t="str">
        <f t="shared" si="10"/>
        <v>--</v>
      </c>
      <c r="W35" s="717" t="str">
        <f t="shared" si="11"/>
        <v>--</v>
      </c>
      <c r="X35" s="718" t="str">
        <f t="shared" si="12"/>
        <v>--</v>
      </c>
      <c r="Y35" s="719" t="str">
        <f t="shared" si="13"/>
        <v>--</v>
      </c>
      <c r="Z35" s="720">
        <f t="shared" si="14"/>
      </c>
      <c r="AA35" s="55">
        <f t="shared" si="15"/>
      </c>
      <c r="AB35" s="3"/>
    </row>
    <row r="36" spans="1:28" ht="16.5" customHeight="1">
      <c r="A36" s="1"/>
      <c r="B36" s="2"/>
      <c r="C36" s="514"/>
      <c r="D36" s="514"/>
      <c r="E36" s="514"/>
      <c r="F36" s="515"/>
      <c r="G36" s="516"/>
      <c r="H36" s="517"/>
      <c r="I36" s="272">
        <f t="shared" si="0"/>
        <v>17.4305</v>
      </c>
      <c r="J36" s="522"/>
      <c r="K36" s="522"/>
      <c r="L36" s="13">
        <f t="shared" si="1"/>
      </c>
      <c r="M36" s="14">
        <f t="shared" si="2"/>
      </c>
      <c r="N36" s="523"/>
      <c r="O36" s="709">
        <f t="shared" si="3"/>
      </c>
      <c r="P36" s="710" t="str">
        <f t="shared" si="4"/>
        <v>--</v>
      </c>
      <c r="Q36" s="711" t="str">
        <f t="shared" si="5"/>
        <v>--</v>
      </c>
      <c r="R36" s="712" t="str">
        <f t="shared" si="6"/>
        <v>--</v>
      </c>
      <c r="S36" s="713" t="str">
        <f t="shared" si="7"/>
        <v>--</v>
      </c>
      <c r="T36" s="714" t="str">
        <f t="shared" si="8"/>
        <v>--</v>
      </c>
      <c r="U36" s="715" t="str">
        <f t="shared" si="9"/>
        <v>--</v>
      </c>
      <c r="V36" s="716" t="str">
        <f t="shared" si="10"/>
        <v>--</v>
      </c>
      <c r="W36" s="717" t="str">
        <f t="shared" si="11"/>
        <v>--</v>
      </c>
      <c r="X36" s="718" t="str">
        <f t="shared" si="12"/>
        <v>--</v>
      </c>
      <c r="Y36" s="719" t="str">
        <f t="shared" si="13"/>
        <v>--</v>
      </c>
      <c r="Z36" s="720">
        <f t="shared" si="14"/>
      </c>
      <c r="AA36" s="55">
        <f t="shared" si="15"/>
      </c>
      <c r="AB36" s="3"/>
    </row>
    <row r="37" spans="1:28" ht="16.5" customHeight="1">
      <c r="A37" s="1"/>
      <c r="B37" s="2"/>
      <c r="C37" s="514"/>
      <c r="D37" s="514"/>
      <c r="E37" s="514"/>
      <c r="F37" s="515"/>
      <c r="G37" s="516"/>
      <c r="H37" s="517"/>
      <c r="I37" s="272">
        <f t="shared" si="0"/>
        <v>17.4305</v>
      </c>
      <c r="J37" s="522"/>
      <c r="K37" s="522"/>
      <c r="L37" s="13">
        <f t="shared" si="1"/>
      </c>
      <c r="M37" s="14">
        <f t="shared" si="2"/>
      </c>
      <c r="N37" s="523"/>
      <c r="O37" s="709">
        <f t="shared" si="3"/>
      </c>
      <c r="P37" s="710" t="str">
        <f t="shared" si="4"/>
        <v>--</v>
      </c>
      <c r="Q37" s="711" t="str">
        <f t="shared" si="5"/>
        <v>--</v>
      </c>
      <c r="R37" s="712" t="str">
        <f t="shared" si="6"/>
        <v>--</v>
      </c>
      <c r="S37" s="713" t="str">
        <f t="shared" si="7"/>
        <v>--</v>
      </c>
      <c r="T37" s="714" t="str">
        <f t="shared" si="8"/>
        <v>--</v>
      </c>
      <c r="U37" s="715" t="str">
        <f t="shared" si="9"/>
        <v>--</v>
      </c>
      <c r="V37" s="716" t="str">
        <f t="shared" si="10"/>
        <v>--</v>
      </c>
      <c r="W37" s="717" t="str">
        <f t="shared" si="11"/>
        <v>--</v>
      </c>
      <c r="X37" s="718" t="str">
        <f t="shared" si="12"/>
        <v>--</v>
      </c>
      <c r="Y37" s="719" t="str">
        <f t="shared" si="13"/>
        <v>--</v>
      </c>
      <c r="Z37" s="720">
        <f t="shared" si="14"/>
      </c>
      <c r="AA37" s="55">
        <f t="shared" si="15"/>
      </c>
      <c r="AB37" s="3"/>
    </row>
    <row r="38" spans="2:28" ht="16.5" customHeight="1">
      <c r="B38" s="56"/>
      <c r="C38" s="514"/>
      <c r="D38" s="514"/>
      <c r="E38" s="514"/>
      <c r="F38" s="515"/>
      <c r="G38" s="516"/>
      <c r="H38" s="517"/>
      <c r="I38" s="272">
        <f t="shared" si="0"/>
        <v>17.4305</v>
      </c>
      <c r="J38" s="522"/>
      <c r="K38" s="522"/>
      <c r="L38" s="13">
        <f t="shared" si="1"/>
      </c>
      <c r="M38" s="14">
        <f t="shared" si="2"/>
      </c>
      <c r="N38" s="523"/>
      <c r="O38" s="709">
        <f t="shared" si="3"/>
      </c>
      <c r="P38" s="710" t="str">
        <f t="shared" si="4"/>
        <v>--</v>
      </c>
      <c r="Q38" s="711" t="str">
        <f t="shared" si="5"/>
        <v>--</v>
      </c>
      <c r="R38" s="712" t="str">
        <f t="shared" si="6"/>
        <v>--</v>
      </c>
      <c r="S38" s="713" t="str">
        <f t="shared" si="7"/>
        <v>--</v>
      </c>
      <c r="T38" s="714" t="str">
        <f t="shared" si="8"/>
        <v>--</v>
      </c>
      <c r="U38" s="715" t="str">
        <f t="shared" si="9"/>
        <v>--</v>
      </c>
      <c r="V38" s="716" t="str">
        <f t="shared" si="10"/>
        <v>--</v>
      </c>
      <c r="W38" s="717" t="str">
        <f t="shared" si="11"/>
        <v>--</v>
      </c>
      <c r="X38" s="718" t="str">
        <f t="shared" si="12"/>
        <v>--</v>
      </c>
      <c r="Y38" s="719" t="str">
        <f t="shared" si="13"/>
        <v>--</v>
      </c>
      <c r="Z38" s="720">
        <f t="shared" si="14"/>
      </c>
      <c r="AA38" s="55">
        <f t="shared" si="15"/>
      </c>
      <c r="AB38" s="3"/>
    </row>
    <row r="39" spans="2:28" ht="16.5" customHeight="1">
      <c r="B39" s="56"/>
      <c r="C39" s="514"/>
      <c r="D39" s="514"/>
      <c r="E39" s="514"/>
      <c r="F39" s="515"/>
      <c r="G39" s="516"/>
      <c r="H39" s="517"/>
      <c r="I39" s="272">
        <f t="shared" si="0"/>
        <v>17.4305</v>
      </c>
      <c r="J39" s="522"/>
      <c r="K39" s="522"/>
      <c r="L39" s="13">
        <f t="shared" si="1"/>
      </c>
      <c r="M39" s="14">
        <f t="shared" si="2"/>
      </c>
      <c r="N39" s="523"/>
      <c r="O39" s="709">
        <f t="shared" si="3"/>
      </c>
      <c r="P39" s="710" t="str">
        <f t="shared" si="4"/>
        <v>--</v>
      </c>
      <c r="Q39" s="711" t="str">
        <f t="shared" si="5"/>
        <v>--</v>
      </c>
      <c r="R39" s="712" t="str">
        <f t="shared" si="6"/>
        <v>--</v>
      </c>
      <c r="S39" s="713" t="str">
        <f t="shared" si="7"/>
        <v>--</v>
      </c>
      <c r="T39" s="714" t="str">
        <f t="shared" si="8"/>
        <v>--</v>
      </c>
      <c r="U39" s="715" t="str">
        <f t="shared" si="9"/>
        <v>--</v>
      </c>
      <c r="V39" s="716" t="str">
        <f t="shared" si="10"/>
        <v>--</v>
      </c>
      <c r="W39" s="717" t="str">
        <f t="shared" si="11"/>
        <v>--</v>
      </c>
      <c r="X39" s="718" t="str">
        <f t="shared" si="12"/>
        <v>--</v>
      </c>
      <c r="Y39" s="719" t="str">
        <f t="shared" si="13"/>
        <v>--</v>
      </c>
      <c r="Z39" s="720">
        <f t="shared" si="14"/>
      </c>
      <c r="AA39" s="55">
        <f t="shared" si="15"/>
      </c>
      <c r="AB39" s="3"/>
    </row>
    <row r="40" spans="2:28" ht="16.5" customHeight="1">
      <c r="B40" s="56"/>
      <c r="C40" s="514"/>
      <c r="D40" s="514"/>
      <c r="E40" s="514"/>
      <c r="F40" s="515"/>
      <c r="G40" s="516"/>
      <c r="H40" s="517"/>
      <c r="I40" s="272">
        <f t="shared" si="0"/>
        <v>17.4305</v>
      </c>
      <c r="J40" s="522"/>
      <c r="K40" s="522"/>
      <c r="L40" s="13">
        <f t="shared" si="1"/>
      </c>
      <c r="M40" s="14">
        <f t="shared" si="2"/>
      </c>
      <c r="N40" s="523"/>
      <c r="O40" s="709">
        <f t="shared" si="3"/>
      </c>
      <c r="P40" s="710" t="str">
        <f t="shared" si="4"/>
        <v>--</v>
      </c>
      <c r="Q40" s="711" t="str">
        <f t="shared" si="5"/>
        <v>--</v>
      </c>
      <c r="R40" s="712" t="str">
        <f t="shared" si="6"/>
        <v>--</v>
      </c>
      <c r="S40" s="713" t="str">
        <f t="shared" si="7"/>
        <v>--</v>
      </c>
      <c r="T40" s="714" t="str">
        <f t="shared" si="8"/>
        <v>--</v>
      </c>
      <c r="U40" s="715" t="str">
        <f t="shared" si="9"/>
        <v>--</v>
      </c>
      <c r="V40" s="716" t="str">
        <f t="shared" si="10"/>
        <v>--</v>
      </c>
      <c r="W40" s="717" t="str">
        <f t="shared" si="11"/>
        <v>--</v>
      </c>
      <c r="X40" s="718" t="str">
        <f t="shared" si="12"/>
        <v>--</v>
      </c>
      <c r="Y40" s="719" t="str">
        <f t="shared" si="13"/>
        <v>--</v>
      </c>
      <c r="Z40" s="720">
        <f t="shared" si="14"/>
      </c>
      <c r="AA40" s="55">
        <f t="shared" si="15"/>
      </c>
      <c r="AB40" s="3"/>
    </row>
    <row r="41" spans="2:28" ht="16.5" customHeight="1">
      <c r="B41" s="56"/>
      <c r="C41" s="514"/>
      <c r="D41" s="514"/>
      <c r="E41" s="514"/>
      <c r="F41" s="515"/>
      <c r="G41" s="516"/>
      <c r="H41" s="517"/>
      <c r="I41" s="272">
        <f t="shared" si="0"/>
        <v>17.4305</v>
      </c>
      <c r="J41" s="522"/>
      <c r="K41" s="522"/>
      <c r="L41" s="13">
        <f t="shared" si="1"/>
      </c>
      <c r="M41" s="14">
        <f t="shared" si="2"/>
      </c>
      <c r="N41" s="523"/>
      <c r="O41" s="709">
        <f t="shared" si="3"/>
      </c>
      <c r="P41" s="710" t="str">
        <f t="shared" si="4"/>
        <v>--</v>
      </c>
      <c r="Q41" s="711" t="str">
        <f t="shared" si="5"/>
        <v>--</v>
      </c>
      <c r="R41" s="712" t="str">
        <f t="shared" si="6"/>
        <v>--</v>
      </c>
      <c r="S41" s="713" t="str">
        <f t="shared" si="7"/>
        <v>--</v>
      </c>
      <c r="T41" s="714" t="str">
        <f t="shared" si="8"/>
        <v>--</v>
      </c>
      <c r="U41" s="715" t="str">
        <f t="shared" si="9"/>
        <v>--</v>
      </c>
      <c r="V41" s="716" t="str">
        <f t="shared" si="10"/>
        <v>--</v>
      </c>
      <c r="W41" s="717" t="str">
        <f t="shared" si="11"/>
        <v>--</v>
      </c>
      <c r="X41" s="718" t="str">
        <f t="shared" si="12"/>
        <v>--</v>
      </c>
      <c r="Y41" s="719" t="str">
        <f t="shared" si="13"/>
        <v>--</v>
      </c>
      <c r="Z41" s="720">
        <f t="shared" si="14"/>
      </c>
      <c r="AA41" s="55">
        <f t="shared" si="15"/>
      </c>
      <c r="AB41" s="3"/>
    </row>
    <row r="42" spans="1:28" ht="16.5" customHeight="1" thickBot="1">
      <c r="A42" s="1"/>
      <c r="B42" s="2"/>
      <c r="C42" s="518"/>
      <c r="D42" s="518"/>
      <c r="E42" s="518"/>
      <c r="F42" s="519"/>
      <c r="G42" s="520"/>
      <c r="H42" s="521"/>
      <c r="I42" s="273"/>
      <c r="J42" s="521"/>
      <c r="K42" s="521"/>
      <c r="L42" s="15"/>
      <c r="M42" s="15"/>
      <c r="N42" s="521"/>
      <c r="O42" s="524"/>
      <c r="P42" s="525"/>
      <c r="Q42" s="526"/>
      <c r="R42" s="527"/>
      <c r="S42" s="528"/>
      <c r="T42" s="529"/>
      <c r="U42" s="530"/>
      <c r="V42" s="531"/>
      <c r="W42" s="532"/>
      <c r="X42" s="533"/>
      <c r="Y42" s="534"/>
      <c r="Z42" s="535"/>
      <c r="AA42" s="57"/>
      <c r="AB42" s="3"/>
    </row>
    <row r="43" spans="1:28" ht="16.5" customHeight="1" thickBot="1" thickTop="1">
      <c r="A43" s="1"/>
      <c r="B43" s="2"/>
      <c r="C43" s="244" t="s">
        <v>70</v>
      </c>
      <c r="D43" s="726" t="s">
        <v>168</v>
      </c>
      <c r="E43" s="704"/>
      <c r="F43" s="245"/>
      <c r="G43" s="16"/>
      <c r="H43" s="17"/>
      <c r="I43" s="58"/>
      <c r="J43" s="58"/>
      <c r="K43" s="58"/>
      <c r="L43" s="58"/>
      <c r="M43" s="58"/>
      <c r="N43" s="58"/>
      <c r="O43" s="59"/>
      <c r="P43" s="331">
        <f aca="true" t="shared" si="16" ref="P43:Y43">ROUND(SUM(P20:P42),2)</f>
        <v>0</v>
      </c>
      <c r="Q43" s="332">
        <f t="shared" si="16"/>
        <v>0</v>
      </c>
      <c r="R43" s="333">
        <f t="shared" si="16"/>
        <v>4340.19</v>
      </c>
      <c r="S43" s="333">
        <f t="shared" si="16"/>
        <v>1736.08</v>
      </c>
      <c r="T43" s="334">
        <f t="shared" si="16"/>
        <v>0</v>
      </c>
      <c r="U43" s="335">
        <f t="shared" si="16"/>
        <v>0</v>
      </c>
      <c r="V43" s="335">
        <f t="shared" si="16"/>
        <v>0</v>
      </c>
      <c r="W43" s="336">
        <f t="shared" si="16"/>
        <v>0</v>
      </c>
      <c r="X43" s="337">
        <f t="shared" si="16"/>
        <v>0</v>
      </c>
      <c r="Y43" s="338">
        <f t="shared" si="16"/>
        <v>0</v>
      </c>
      <c r="Z43" s="60"/>
      <c r="AA43" s="708">
        <f>ROUND(SUM(AA20:AA42),2)</f>
        <v>6076.27</v>
      </c>
      <c r="AB43" s="61"/>
    </row>
    <row r="44" spans="1:28" s="259" customFormat="1" ht="9.75" thickTop="1">
      <c r="A44" s="248"/>
      <c r="B44" s="249"/>
      <c r="C44" s="246"/>
      <c r="D44" s="246"/>
      <c r="E44" s="246"/>
      <c r="F44" s="247"/>
      <c r="G44" s="250"/>
      <c r="H44" s="251"/>
      <c r="I44" s="252"/>
      <c r="J44" s="252"/>
      <c r="K44" s="252"/>
      <c r="L44" s="252"/>
      <c r="M44" s="252"/>
      <c r="N44" s="252"/>
      <c r="O44" s="253"/>
      <c r="P44" s="254"/>
      <c r="Q44" s="254"/>
      <c r="R44" s="255"/>
      <c r="S44" s="255"/>
      <c r="T44" s="256"/>
      <c r="U44" s="256"/>
      <c r="V44" s="256"/>
      <c r="W44" s="256"/>
      <c r="X44" s="256"/>
      <c r="Y44" s="256"/>
      <c r="Z44" s="256"/>
      <c r="AA44" s="257"/>
      <c r="AB44" s="258"/>
    </row>
    <row r="45" spans="1:28" s="10" customFormat="1" ht="16.5" customHeight="1" thickBot="1">
      <c r="A45" s="8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</row>
    <row r="46" spans="1:28" ht="13.5" thickTop="1">
      <c r="A46" s="1"/>
      <c r="B46" s="1"/>
      <c r="AB46" s="1"/>
    </row>
    <row r="91" spans="1:2" ht="12.75">
      <c r="A91" s="1"/>
      <c r="B91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D50"/>
  <sheetViews>
    <sheetView zoomScale="70" zoomScaleNormal="70" workbookViewId="0" topLeftCell="A4">
      <selection activeCell="N55" sqref="N55"/>
    </sheetView>
  </sheetViews>
  <sheetFormatPr defaultColWidth="11.421875" defaultRowHeight="12.75"/>
  <cols>
    <col min="1" max="2" width="4.140625" style="647" customWidth="1"/>
    <col min="3" max="3" width="5.57421875" style="647" customWidth="1"/>
    <col min="4" max="5" width="13.7109375" style="647" customWidth="1"/>
    <col min="6" max="6" width="27.7109375" style="647" customWidth="1"/>
    <col min="7" max="7" width="27.421875" style="647" customWidth="1"/>
    <col min="8" max="8" width="7.7109375" style="647" customWidth="1"/>
    <col min="9" max="9" width="12.7109375" style="647" customWidth="1"/>
    <col min="10" max="10" width="11.8515625" style="647" hidden="1" customWidth="1"/>
    <col min="11" max="12" width="15.7109375" style="647" customWidth="1"/>
    <col min="13" max="15" width="9.7109375" style="647" customWidth="1"/>
    <col min="16" max="16" width="5.8515625" style="647" customWidth="1"/>
    <col min="17" max="18" width="7.00390625" style="647" customWidth="1"/>
    <col min="19" max="19" width="11.7109375" style="647" hidden="1" customWidth="1"/>
    <col min="20" max="21" width="14.00390625" style="647" hidden="1" customWidth="1"/>
    <col min="22" max="22" width="14.28125" style="647" hidden="1" customWidth="1"/>
    <col min="23" max="27" width="14.140625" style="647" hidden="1" customWidth="1"/>
    <col min="28" max="28" width="9.00390625" style="647" customWidth="1"/>
    <col min="29" max="29" width="15.7109375" style="647" customWidth="1"/>
    <col min="30" max="30" width="4.140625" style="647" customWidth="1"/>
    <col min="31" max="16384" width="11.421875" style="647" customWidth="1"/>
  </cols>
  <sheetData>
    <row r="1" spans="1:30" s="553" customFormat="1" ht="26.25">
      <c r="A1" s="109"/>
      <c r="B1" s="109"/>
      <c r="C1" s="109"/>
      <c r="D1" s="109"/>
      <c r="E1" s="109"/>
      <c r="F1" s="109"/>
      <c r="G1" s="109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2"/>
    </row>
    <row r="2" spans="1:30" s="553" customFormat="1" ht="26.25">
      <c r="A2" s="109"/>
      <c r="B2" s="110" t="str">
        <f>+'TOT-0511'!B2</f>
        <v>ANEXO V al Memorandum  D.T.E.E.  N°482  / 2012</v>
      </c>
      <c r="C2" s="111"/>
      <c r="D2" s="111"/>
      <c r="E2" s="111"/>
      <c r="F2" s="111"/>
      <c r="G2" s="111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  <c r="AB2" s="554"/>
      <c r="AC2" s="554"/>
      <c r="AD2" s="554"/>
    </row>
    <row r="3" spans="1:30" s="556" customFormat="1" ht="12.75">
      <c r="A3" s="10"/>
      <c r="B3" s="10"/>
      <c r="C3" s="10"/>
      <c r="D3" s="10"/>
      <c r="E3" s="10"/>
      <c r="F3" s="10"/>
      <c r="G3" s="10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</row>
    <row r="4" spans="1:30" s="558" customFormat="1" ht="11.25">
      <c r="A4" s="707" t="s">
        <v>21</v>
      </c>
      <c r="B4" s="112"/>
      <c r="C4" s="706"/>
      <c r="D4" s="706"/>
      <c r="E4" s="706"/>
      <c r="F4" s="112"/>
      <c r="G4" s="112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</row>
    <row r="5" spans="1:30" s="558" customFormat="1" ht="11.25">
      <c r="A5" s="707" t="s">
        <v>146</v>
      </c>
      <c r="B5" s="112"/>
      <c r="C5" s="706"/>
      <c r="D5" s="706"/>
      <c r="E5" s="706"/>
      <c r="F5" s="112"/>
      <c r="G5" s="112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7"/>
      <c r="X5" s="557"/>
      <c r="Y5" s="557"/>
      <c r="Z5" s="557"/>
      <c r="AA5" s="557"/>
      <c r="AB5" s="557"/>
      <c r="AC5" s="557"/>
      <c r="AD5" s="557"/>
    </row>
    <row r="6" spans="1:30" s="556" customFormat="1" ht="13.5" thickBot="1">
      <c r="A6" s="555"/>
      <c r="B6" s="555"/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</row>
    <row r="7" spans="1:30" s="556" customFormat="1" ht="13.5" thickTop="1">
      <c r="A7" s="555"/>
      <c r="B7" s="559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60"/>
      <c r="Z7" s="560"/>
      <c r="AA7" s="560"/>
      <c r="AB7" s="560"/>
      <c r="AC7" s="560"/>
      <c r="AD7" s="561"/>
    </row>
    <row r="8" spans="1:30" s="565" customFormat="1" ht="20.25">
      <c r="A8" s="562"/>
      <c r="B8" s="563"/>
      <c r="C8" s="192"/>
      <c r="D8" s="192"/>
      <c r="E8" s="192"/>
      <c r="F8" s="564" t="s">
        <v>46</v>
      </c>
      <c r="H8" s="192"/>
      <c r="I8" s="562"/>
      <c r="J8" s="56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566"/>
    </row>
    <row r="9" spans="1:30" s="556" customFormat="1" ht="12.75">
      <c r="A9" s="555"/>
      <c r="B9" s="567"/>
      <c r="C9" s="178"/>
      <c r="D9" s="178"/>
      <c r="E9" s="178"/>
      <c r="F9" s="178"/>
      <c r="G9" s="178"/>
      <c r="H9" s="178"/>
      <c r="I9" s="555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568"/>
    </row>
    <row r="10" spans="1:30" s="565" customFormat="1" ht="20.25">
      <c r="A10" s="562"/>
      <c r="B10" s="563"/>
      <c r="C10" s="192"/>
      <c r="D10" s="192"/>
      <c r="E10" s="192"/>
      <c r="F10" s="564" t="s">
        <v>71</v>
      </c>
      <c r="G10" s="192"/>
      <c r="H10" s="192"/>
      <c r="I10" s="56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566"/>
    </row>
    <row r="11" spans="1:30" s="556" customFormat="1" ht="12.75">
      <c r="A11" s="555"/>
      <c r="B11" s="567"/>
      <c r="C11" s="178"/>
      <c r="D11" s="178"/>
      <c r="E11" s="178"/>
      <c r="F11" s="569"/>
      <c r="G11" s="178"/>
      <c r="H11" s="178"/>
      <c r="I11" s="555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568"/>
    </row>
    <row r="12" spans="1:30" s="565" customFormat="1" ht="20.25">
      <c r="A12" s="562"/>
      <c r="B12" s="563"/>
      <c r="C12" s="192"/>
      <c r="D12" s="192"/>
      <c r="E12" s="192"/>
      <c r="F12" s="564" t="s">
        <v>72</v>
      </c>
      <c r="G12" s="570"/>
      <c r="H12" s="562"/>
      <c r="I12" s="562"/>
      <c r="J12" s="192"/>
      <c r="K12" s="192"/>
      <c r="L12" s="562"/>
      <c r="M12" s="56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566"/>
    </row>
    <row r="13" spans="1:30" s="556" customFormat="1" ht="12.75">
      <c r="A13" s="555"/>
      <c r="B13" s="567"/>
      <c r="C13" s="178"/>
      <c r="D13" s="178"/>
      <c r="E13" s="178"/>
      <c r="F13" s="571"/>
      <c r="G13" s="572"/>
      <c r="H13" s="555"/>
      <c r="I13" s="555"/>
      <c r="J13" s="178"/>
      <c r="K13" s="178"/>
      <c r="L13" s="555"/>
      <c r="M13" s="555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568"/>
    </row>
    <row r="14" spans="1:30" s="565" customFormat="1" ht="20.25">
      <c r="A14" s="562"/>
      <c r="B14" s="563"/>
      <c r="C14" s="192"/>
      <c r="D14" s="192"/>
      <c r="E14" s="192"/>
      <c r="F14" s="564" t="s">
        <v>73</v>
      </c>
      <c r="G14" s="193"/>
      <c r="H14" s="193"/>
      <c r="I14" s="194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566"/>
    </row>
    <row r="15" spans="1:30" s="556" customFormat="1" ht="12.75">
      <c r="A15" s="555"/>
      <c r="B15" s="567"/>
      <c r="C15" s="178"/>
      <c r="D15" s="178"/>
      <c r="E15" s="178"/>
      <c r="F15" s="573"/>
      <c r="G15" s="179"/>
      <c r="H15" s="179"/>
      <c r="I15" s="180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568"/>
    </row>
    <row r="16" spans="1:30" s="579" customFormat="1" ht="19.5">
      <c r="A16" s="574"/>
      <c r="B16" s="87" t="str">
        <f>+'TOT-0511'!B14</f>
        <v>Desde el 01 al 31 de mayo de 2011</v>
      </c>
      <c r="C16" s="575"/>
      <c r="D16" s="575"/>
      <c r="E16" s="575"/>
      <c r="F16" s="575"/>
      <c r="G16" s="575"/>
      <c r="H16" s="575"/>
      <c r="I16" s="576"/>
      <c r="J16" s="575"/>
      <c r="K16" s="577"/>
      <c r="L16" s="577"/>
      <c r="M16" s="575"/>
      <c r="N16" s="575"/>
      <c r="O16" s="575"/>
      <c r="P16" s="575"/>
      <c r="Q16" s="575"/>
      <c r="R16" s="575"/>
      <c r="S16" s="575"/>
      <c r="T16" s="575"/>
      <c r="U16" s="575"/>
      <c r="V16" s="575"/>
      <c r="W16" s="575"/>
      <c r="X16" s="575"/>
      <c r="Y16" s="575"/>
      <c r="Z16" s="575"/>
      <c r="AA16" s="575"/>
      <c r="AB16" s="575"/>
      <c r="AC16" s="575"/>
      <c r="AD16" s="578"/>
    </row>
    <row r="17" spans="1:30" s="556" customFormat="1" ht="14.25" thickBot="1">
      <c r="A17" s="555"/>
      <c r="B17" s="567"/>
      <c r="C17" s="178"/>
      <c r="D17" s="178"/>
      <c r="E17" s="178"/>
      <c r="F17" s="178"/>
      <c r="G17" s="178"/>
      <c r="H17" s="178"/>
      <c r="I17" s="37"/>
      <c r="J17" s="178"/>
      <c r="K17" s="580"/>
      <c r="L17" s="581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568"/>
    </row>
    <row r="18" spans="1:30" s="556" customFormat="1" ht="16.5" customHeight="1" thickBot="1" thickTop="1">
      <c r="A18" s="555"/>
      <c r="B18" s="567"/>
      <c r="C18" s="178"/>
      <c r="D18" s="178"/>
      <c r="E18" s="178"/>
      <c r="F18" s="199" t="s">
        <v>74</v>
      </c>
      <c r="G18" s="200"/>
      <c r="H18" s="582"/>
      <c r="I18" s="583">
        <v>0.243</v>
      </c>
      <c r="J18" s="555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568"/>
    </row>
    <row r="19" spans="1:30" s="556" customFormat="1" ht="16.5" customHeight="1" thickBot="1" thickTop="1">
      <c r="A19" s="555"/>
      <c r="B19" s="567"/>
      <c r="C19" s="178"/>
      <c r="D19" s="178"/>
      <c r="E19" s="178"/>
      <c r="F19" s="203" t="s">
        <v>75</v>
      </c>
      <c r="G19" s="204"/>
      <c r="H19" s="204"/>
      <c r="I19" s="205">
        <v>30</v>
      </c>
      <c r="J19" s="178"/>
      <c r="K19" s="239" t="str">
        <f>IF(I19=30," ",IF(I19=60,"Coeficiente duplicado por tasa de falla &gt;4 Sal. x año/100 km.","REVISAR COEFICIENTE"))</f>
        <v> </v>
      </c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584"/>
      <c r="X19" s="584"/>
      <c r="Y19" s="584"/>
      <c r="Z19" s="584"/>
      <c r="AA19" s="584"/>
      <c r="AB19" s="584"/>
      <c r="AC19" s="584"/>
      <c r="AD19" s="568"/>
    </row>
    <row r="20" spans="1:30" s="737" customFormat="1" ht="16.5" customHeight="1" thickBot="1" thickTop="1">
      <c r="A20" s="733"/>
      <c r="B20" s="734"/>
      <c r="C20" s="735">
        <v>3</v>
      </c>
      <c r="D20" s="735">
        <v>4</v>
      </c>
      <c r="E20" s="735">
        <v>5</v>
      </c>
      <c r="F20" s="735">
        <v>6</v>
      </c>
      <c r="G20" s="735">
        <v>7</v>
      </c>
      <c r="H20" s="735">
        <v>8</v>
      </c>
      <c r="I20" s="735">
        <v>9</v>
      </c>
      <c r="J20" s="735">
        <v>10</v>
      </c>
      <c r="K20" s="735">
        <v>11</v>
      </c>
      <c r="L20" s="735">
        <v>12</v>
      </c>
      <c r="M20" s="735">
        <v>13</v>
      </c>
      <c r="N20" s="735">
        <v>14</v>
      </c>
      <c r="O20" s="735">
        <v>15</v>
      </c>
      <c r="P20" s="735">
        <v>16</v>
      </c>
      <c r="Q20" s="735">
        <v>17</v>
      </c>
      <c r="R20" s="735">
        <v>18</v>
      </c>
      <c r="S20" s="735">
        <v>19</v>
      </c>
      <c r="T20" s="735">
        <v>20</v>
      </c>
      <c r="U20" s="735">
        <v>21</v>
      </c>
      <c r="V20" s="735">
        <v>22</v>
      </c>
      <c r="W20" s="735">
        <v>23</v>
      </c>
      <c r="X20" s="735">
        <v>24</v>
      </c>
      <c r="Y20" s="735">
        <v>25</v>
      </c>
      <c r="Z20" s="735">
        <v>26</v>
      </c>
      <c r="AA20" s="735">
        <v>27</v>
      </c>
      <c r="AB20" s="735">
        <v>28</v>
      </c>
      <c r="AC20" s="735">
        <v>29</v>
      </c>
      <c r="AD20" s="736"/>
    </row>
    <row r="21" spans="1:30" s="594" customFormat="1" ht="33.75" customHeight="1" thickBot="1" thickTop="1">
      <c r="A21" s="585"/>
      <c r="B21" s="586"/>
      <c r="C21" s="215" t="s">
        <v>52</v>
      </c>
      <c r="D21" s="101" t="s">
        <v>145</v>
      </c>
      <c r="E21" s="101" t="s">
        <v>144</v>
      </c>
      <c r="F21" s="214" t="s">
        <v>76</v>
      </c>
      <c r="G21" s="210" t="s">
        <v>19</v>
      </c>
      <c r="H21" s="211" t="s">
        <v>77</v>
      </c>
      <c r="I21" s="214" t="s">
        <v>53</v>
      </c>
      <c r="J21" s="269" t="s">
        <v>55</v>
      </c>
      <c r="K21" s="213" t="s">
        <v>78</v>
      </c>
      <c r="L21" s="213" t="s">
        <v>79</v>
      </c>
      <c r="M21" s="214" t="s">
        <v>80</v>
      </c>
      <c r="N21" s="214" t="s">
        <v>81</v>
      </c>
      <c r="O21" s="105" t="s">
        <v>60</v>
      </c>
      <c r="P21" s="215" t="s">
        <v>82</v>
      </c>
      <c r="Q21" s="214" t="s">
        <v>83</v>
      </c>
      <c r="R21" s="210" t="s">
        <v>84</v>
      </c>
      <c r="S21" s="339" t="s">
        <v>85</v>
      </c>
      <c r="T21" s="587" t="s">
        <v>62</v>
      </c>
      <c r="U21" s="588" t="s">
        <v>63</v>
      </c>
      <c r="V21" s="355" t="s">
        <v>86</v>
      </c>
      <c r="W21" s="589"/>
      <c r="X21" s="364" t="s">
        <v>86</v>
      </c>
      <c r="Y21" s="590"/>
      <c r="Z21" s="591" t="s">
        <v>66</v>
      </c>
      <c r="AA21" s="592" t="s">
        <v>67</v>
      </c>
      <c r="AB21" s="214" t="s">
        <v>68</v>
      </c>
      <c r="AC21" s="214" t="s">
        <v>69</v>
      </c>
      <c r="AD21" s="593"/>
    </row>
    <row r="22" spans="1:30" s="556" customFormat="1" ht="16.5" customHeight="1" thickTop="1">
      <c r="A22" s="555"/>
      <c r="B22" s="567"/>
      <c r="C22" s="595"/>
      <c r="D22" s="595"/>
      <c r="E22" s="595"/>
      <c r="F22" s="596"/>
      <c r="G22" s="597"/>
      <c r="H22" s="597"/>
      <c r="I22" s="597"/>
      <c r="J22" s="598"/>
      <c r="K22" s="596"/>
      <c r="L22" s="597"/>
      <c r="M22" s="596"/>
      <c r="N22" s="596"/>
      <c r="O22" s="597"/>
      <c r="P22" s="597"/>
      <c r="Q22" s="597"/>
      <c r="R22" s="597"/>
      <c r="S22" s="599"/>
      <c r="T22" s="600"/>
      <c r="U22" s="601"/>
      <c r="V22" s="602"/>
      <c r="W22" s="603"/>
      <c r="X22" s="604"/>
      <c r="Y22" s="605"/>
      <c r="Z22" s="606"/>
      <c r="AA22" s="607"/>
      <c r="AB22" s="597"/>
      <c r="AC22" s="608"/>
      <c r="AD22" s="568"/>
    </row>
    <row r="23" spans="1:30" s="556" customFormat="1" ht="16.5" customHeight="1">
      <c r="A23" s="555"/>
      <c r="B23" s="567"/>
      <c r="C23" s="595"/>
      <c r="D23" s="595"/>
      <c r="E23" s="595"/>
      <c r="F23" s="609"/>
      <c r="G23" s="609"/>
      <c r="H23" s="609"/>
      <c r="I23" s="609"/>
      <c r="J23" s="610"/>
      <c r="K23" s="611"/>
      <c r="L23" s="609"/>
      <c r="M23" s="611"/>
      <c r="N23" s="611"/>
      <c r="O23" s="609"/>
      <c r="P23" s="609"/>
      <c r="Q23" s="609"/>
      <c r="R23" s="609"/>
      <c r="S23" s="612"/>
      <c r="T23" s="613"/>
      <c r="U23" s="614"/>
      <c r="V23" s="615"/>
      <c r="W23" s="616"/>
      <c r="X23" s="617"/>
      <c r="Y23" s="618"/>
      <c r="Z23" s="619"/>
      <c r="AA23" s="620"/>
      <c r="AB23" s="609"/>
      <c r="AC23" s="621"/>
      <c r="AD23" s="568"/>
    </row>
    <row r="24" spans="1:30" s="556" customFormat="1" ht="16.5" customHeight="1">
      <c r="A24" s="555"/>
      <c r="B24" s="567"/>
      <c r="C24" s="650">
        <v>4</v>
      </c>
      <c r="D24" s="650">
        <v>234312</v>
      </c>
      <c r="E24" s="650">
        <v>3833</v>
      </c>
      <c r="F24" s="515" t="s">
        <v>156</v>
      </c>
      <c r="G24" s="514" t="s">
        <v>9</v>
      </c>
      <c r="H24" s="651">
        <v>30</v>
      </c>
      <c r="I24" s="701" t="s">
        <v>157</v>
      </c>
      <c r="J24" s="272">
        <f aca="true" t="shared" si="0" ref="J24:J45">H24*$I$18</f>
        <v>7.29</v>
      </c>
      <c r="K24" s="654">
        <v>40671.36041666667</v>
      </c>
      <c r="L24" s="654">
        <v>40671.49375</v>
      </c>
      <c r="M24" s="26">
        <f aca="true" t="shared" si="1" ref="M24:M45">IF(F24="","",(L24-K24)*24)</f>
        <v>3.199999999953434</v>
      </c>
      <c r="N24" s="27">
        <f aca="true" t="shared" si="2" ref="N24:N45">IF(F24="","",ROUND((L24-K24)*24*60,0))</f>
        <v>192</v>
      </c>
      <c r="O24" s="655" t="s">
        <v>152</v>
      </c>
      <c r="P24" s="25" t="str">
        <f aca="true" t="shared" si="3" ref="P24:P45">IF(F24="","",IF(OR(O24="P",O24="RP"),"--","NO"))</f>
        <v>--</v>
      </c>
      <c r="Q24" s="721" t="str">
        <f aca="true" t="shared" si="4" ref="Q24:Q45">IF(F24="","","--")</f>
        <v>--</v>
      </c>
      <c r="R24" s="25" t="s">
        <v>153</v>
      </c>
      <c r="S24" s="342">
        <f aca="true" t="shared" si="5" ref="S24:S45">$I$19*IF(OR(O24="P",O24="RP"),0.1,1)*IF(R24="SI",1,0.1)</f>
        <v>3</v>
      </c>
      <c r="T24" s="722">
        <f aca="true" t="shared" si="6" ref="T24:T45">IF(O24="P",J24*S24*ROUND(N24/60,2),"--")</f>
        <v>69.98400000000001</v>
      </c>
      <c r="U24" s="723" t="str">
        <f aca="true" t="shared" si="7" ref="U24:U45">IF(O24="RP",J24*S24*ROUND(N24/60,2)*Q24/100,"--")</f>
        <v>--</v>
      </c>
      <c r="V24" s="361" t="str">
        <f aca="true" t="shared" si="8" ref="V24:V45">IF(AND(O24="F",P24="NO"),J24*S24,"--")</f>
        <v>--</v>
      </c>
      <c r="W24" s="362" t="str">
        <f aca="true" t="shared" si="9" ref="W24:W45">IF(O24="F",J24*S24*ROUND(N24/60,2),"--")</f>
        <v>--</v>
      </c>
      <c r="X24" s="370" t="str">
        <f aca="true" t="shared" si="10" ref="X24:X45">IF(AND(O24="R",P24="NO"),J24*S24*Q24/100,"--")</f>
        <v>--</v>
      </c>
      <c r="Y24" s="371" t="str">
        <f aca="true" t="shared" si="11" ref="Y24:Y45">IF(O24="R",J24*S24*ROUND(N24/60,2)*Q24/100,"--")</f>
        <v>--</v>
      </c>
      <c r="Z24" s="376" t="str">
        <f aca="true" t="shared" si="12" ref="Z24:Z45">IF(O24="RF",J24*S24*ROUND(N24/60,2),"--")</f>
        <v>--</v>
      </c>
      <c r="AA24" s="382" t="str">
        <f aca="true" t="shared" si="13" ref="AA24:AA45">IF(O24="RR",J24*S24*ROUND(N24/60,2)*Q24/100,"--")</f>
        <v>--</v>
      </c>
      <c r="AB24" s="25" t="s">
        <v>153</v>
      </c>
      <c r="AC24" s="622">
        <f aca="true" t="shared" si="14" ref="AC24:AC45">IF(F24="","",SUM(T24:AA24)*IF(AB24="SI",1,2))</f>
        <v>69.98400000000001</v>
      </c>
      <c r="AD24" s="623"/>
    </row>
    <row r="25" spans="1:30" s="556" customFormat="1" ht="16.5" customHeight="1">
      <c r="A25" s="555"/>
      <c r="B25" s="567"/>
      <c r="C25" s="650">
        <v>5</v>
      </c>
      <c r="D25" s="650">
        <v>234313</v>
      </c>
      <c r="E25" s="650">
        <v>1782</v>
      </c>
      <c r="F25" s="515" t="s">
        <v>156</v>
      </c>
      <c r="G25" s="514" t="s">
        <v>158</v>
      </c>
      <c r="H25" s="651">
        <v>15</v>
      </c>
      <c r="I25" s="701" t="s">
        <v>157</v>
      </c>
      <c r="J25" s="272">
        <f t="shared" si="0"/>
        <v>3.645</v>
      </c>
      <c r="K25" s="654">
        <v>40671.36041666667</v>
      </c>
      <c r="L25" s="654">
        <v>40671.49375</v>
      </c>
      <c r="M25" s="26">
        <f t="shared" si="1"/>
        <v>3.199999999953434</v>
      </c>
      <c r="N25" s="27">
        <f t="shared" si="2"/>
        <v>192</v>
      </c>
      <c r="O25" s="655" t="s">
        <v>152</v>
      </c>
      <c r="P25" s="25" t="str">
        <f t="shared" si="3"/>
        <v>--</v>
      </c>
      <c r="Q25" s="721" t="str">
        <f t="shared" si="4"/>
        <v>--</v>
      </c>
      <c r="R25" s="25" t="s">
        <v>153</v>
      </c>
      <c r="S25" s="342">
        <f t="shared" si="5"/>
        <v>3</v>
      </c>
      <c r="T25" s="722">
        <f t="shared" si="6"/>
        <v>34.992000000000004</v>
      </c>
      <c r="U25" s="723" t="str">
        <f t="shared" si="7"/>
        <v>--</v>
      </c>
      <c r="V25" s="361" t="str">
        <f t="shared" si="8"/>
        <v>--</v>
      </c>
      <c r="W25" s="362" t="str">
        <f t="shared" si="9"/>
        <v>--</v>
      </c>
      <c r="X25" s="370" t="str">
        <f t="shared" si="10"/>
        <v>--</v>
      </c>
      <c r="Y25" s="371" t="str">
        <f t="shared" si="11"/>
        <v>--</v>
      </c>
      <c r="Z25" s="376" t="str">
        <f t="shared" si="12"/>
        <v>--</v>
      </c>
      <c r="AA25" s="382" t="str">
        <f t="shared" si="13"/>
        <v>--</v>
      </c>
      <c r="AB25" s="25" t="s">
        <v>153</v>
      </c>
      <c r="AC25" s="622">
        <f t="shared" si="14"/>
        <v>34.992000000000004</v>
      </c>
      <c r="AD25" s="623"/>
    </row>
    <row r="26" spans="1:30" s="556" customFormat="1" ht="16.5" customHeight="1">
      <c r="A26" s="555"/>
      <c r="B26" s="567"/>
      <c r="C26" s="650" t="s">
        <v>196</v>
      </c>
      <c r="D26" s="650">
        <v>234313</v>
      </c>
      <c r="E26" s="650">
        <v>1782</v>
      </c>
      <c r="F26" s="515" t="s">
        <v>156</v>
      </c>
      <c r="G26" s="514" t="s">
        <v>158</v>
      </c>
      <c r="H26" s="651">
        <v>15</v>
      </c>
      <c r="I26" s="701" t="s">
        <v>157</v>
      </c>
      <c r="J26" s="272">
        <f>H26*$I$18</f>
        <v>3.645</v>
      </c>
      <c r="K26" s="654">
        <v>40671.49375</v>
      </c>
      <c r="L26" s="654">
        <v>40671.66805555556</v>
      </c>
      <c r="M26" s="26">
        <f>IF(F26="","",(L26-K26)*24)</f>
        <v>4.183333333348855</v>
      </c>
      <c r="N26" s="27">
        <f>IF(F26="","",ROUND((L26-K26)*24*60,0))</f>
        <v>251</v>
      </c>
      <c r="O26" s="655" t="s">
        <v>152</v>
      </c>
      <c r="P26" s="25" t="str">
        <f>IF(F26="","",IF(OR(O26="P",O26="RP"),"--","NO"))</f>
        <v>--</v>
      </c>
      <c r="Q26" s="721" t="str">
        <f>IF(F26="","","--")</f>
        <v>--</v>
      </c>
      <c r="R26" s="25" t="s">
        <v>197</v>
      </c>
      <c r="S26" s="342">
        <f>$I$19*IF(OR(O26="P",O26="RP"),0.1,1)*IF(R26="SI",1,0.1)</f>
        <v>0.30000000000000004</v>
      </c>
      <c r="T26" s="722">
        <f>IF(O26="P",J26*S26*ROUND(N26/60,2),"--")</f>
        <v>4.57083</v>
      </c>
      <c r="U26" s="723" t="str">
        <f>IF(O26="RP",J26*S26*ROUND(N26/60,2)*Q26/100,"--")</f>
        <v>--</v>
      </c>
      <c r="V26" s="361" t="str">
        <f>IF(AND(O26="F",P26="NO"),J26*S26,"--")</f>
        <v>--</v>
      </c>
      <c r="W26" s="362" t="str">
        <f>IF(O26="F",J26*S26*ROUND(N26/60,2),"--")</f>
        <v>--</v>
      </c>
      <c r="X26" s="370" t="str">
        <f>IF(AND(O26="R",P26="NO"),J26*S26*Q26/100,"--")</f>
        <v>--</v>
      </c>
      <c r="Y26" s="371" t="str">
        <f>IF(O26="R",J26*S26*ROUND(N26/60,2)*Q26/100,"--")</f>
        <v>--</v>
      </c>
      <c r="Z26" s="376" t="str">
        <f>IF(O26="RF",J26*S26*ROUND(N26/60,2),"--")</f>
        <v>--</v>
      </c>
      <c r="AA26" s="382" t="str">
        <f>IF(O26="RR",J26*S26*ROUND(N26/60,2)*Q26/100,"--")</f>
        <v>--</v>
      </c>
      <c r="AB26" s="25" t="s">
        <v>153</v>
      </c>
      <c r="AC26" s="622">
        <f>IF(F26="","",SUM(T26:AA26)*IF(AB26="SI",1,2))</f>
        <v>4.57083</v>
      </c>
      <c r="AD26" s="623"/>
    </row>
    <row r="27" spans="1:30" s="556" customFormat="1" ht="16.5" customHeight="1">
      <c r="A27" s="555"/>
      <c r="B27" s="567"/>
      <c r="C27" s="650">
        <v>6</v>
      </c>
      <c r="D27" s="650">
        <v>234497</v>
      </c>
      <c r="E27" s="650">
        <v>1801</v>
      </c>
      <c r="F27" s="515" t="s">
        <v>159</v>
      </c>
      <c r="G27" s="514" t="s">
        <v>160</v>
      </c>
      <c r="H27" s="651">
        <v>60</v>
      </c>
      <c r="I27" s="701" t="s">
        <v>161</v>
      </c>
      <c r="J27" s="272">
        <f t="shared" si="0"/>
        <v>14.58</v>
      </c>
      <c r="K27" s="654">
        <v>40674.34305555555</v>
      </c>
      <c r="L27" s="654">
        <v>40674.629166666666</v>
      </c>
      <c r="M27" s="26">
        <f t="shared" si="1"/>
        <v>6.866666666697711</v>
      </c>
      <c r="N27" s="27">
        <f t="shared" si="2"/>
        <v>412</v>
      </c>
      <c r="O27" s="655" t="s">
        <v>152</v>
      </c>
      <c r="P27" s="25" t="str">
        <f t="shared" si="3"/>
        <v>--</v>
      </c>
      <c r="Q27" s="721" t="str">
        <f t="shared" si="4"/>
        <v>--</v>
      </c>
      <c r="R27" s="25" t="str">
        <f aca="true" t="shared" si="15" ref="R27:R45">IF(F27="","","NO")</f>
        <v>NO</v>
      </c>
      <c r="S27" s="342">
        <f t="shared" si="5"/>
        <v>0.30000000000000004</v>
      </c>
      <c r="T27" s="722">
        <f t="shared" si="6"/>
        <v>30.049380000000003</v>
      </c>
      <c r="U27" s="723" t="str">
        <f t="shared" si="7"/>
        <v>--</v>
      </c>
      <c r="V27" s="361" t="str">
        <f t="shared" si="8"/>
        <v>--</v>
      </c>
      <c r="W27" s="362" t="str">
        <f t="shared" si="9"/>
        <v>--</v>
      </c>
      <c r="X27" s="370" t="str">
        <f t="shared" si="10"/>
        <v>--</v>
      </c>
      <c r="Y27" s="371" t="str">
        <f t="shared" si="11"/>
        <v>--</v>
      </c>
      <c r="Z27" s="376" t="str">
        <f t="shared" si="12"/>
        <v>--</v>
      </c>
      <c r="AA27" s="382" t="str">
        <f t="shared" si="13"/>
        <v>--</v>
      </c>
      <c r="AB27" s="25" t="s">
        <v>153</v>
      </c>
      <c r="AC27" s="622">
        <f t="shared" si="14"/>
        <v>30.049380000000003</v>
      </c>
      <c r="AD27" s="623"/>
    </row>
    <row r="28" spans="1:30" s="556" customFormat="1" ht="16.5" customHeight="1">
      <c r="A28" s="555"/>
      <c r="B28" s="567"/>
      <c r="C28" s="650">
        <v>7</v>
      </c>
      <c r="D28" s="650">
        <v>234514</v>
      </c>
      <c r="E28" s="650">
        <v>1801</v>
      </c>
      <c r="F28" s="515" t="s">
        <v>159</v>
      </c>
      <c r="G28" s="514" t="s">
        <v>160</v>
      </c>
      <c r="H28" s="651">
        <v>60</v>
      </c>
      <c r="I28" s="701" t="s">
        <v>161</v>
      </c>
      <c r="J28" s="272">
        <f t="shared" si="0"/>
        <v>14.58</v>
      </c>
      <c r="K28" s="654">
        <v>40676.342361111114</v>
      </c>
      <c r="L28" s="654">
        <v>40676.618055555555</v>
      </c>
      <c r="M28" s="26">
        <f t="shared" si="1"/>
        <v>6.616666666581295</v>
      </c>
      <c r="N28" s="27">
        <f t="shared" si="2"/>
        <v>397</v>
      </c>
      <c r="O28" s="655" t="s">
        <v>152</v>
      </c>
      <c r="P28" s="25" t="str">
        <f t="shared" si="3"/>
        <v>--</v>
      </c>
      <c r="Q28" s="721" t="str">
        <f t="shared" si="4"/>
        <v>--</v>
      </c>
      <c r="R28" s="25" t="str">
        <f t="shared" si="15"/>
        <v>NO</v>
      </c>
      <c r="S28" s="342">
        <f t="shared" si="5"/>
        <v>0.30000000000000004</v>
      </c>
      <c r="T28" s="722">
        <f t="shared" si="6"/>
        <v>28.955880000000004</v>
      </c>
      <c r="U28" s="723" t="str">
        <f t="shared" si="7"/>
        <v>--</v>
      </c>
      <c r="V28" s="361" t="str">
        <f t="shared" si="8"/>
        <v>--</v>
      </c>
      <c r="W28" s="362" t="str">
        <f t="shared" si="9"/>
        <v>--</v>
      </c>
      <c r="X28" s="370" t="str">
        <f t="shared" si="10"/>
        <v>--</v>
      </c>
      <c r="Y28" s="371" t="str">
        <f t="shared" si="11"/>
        <v>--</v>
      </c>
      <c r="Z28" s="376" t="str">
        <f t="shared" si="12"/>
        <v>--</v>
      </c>
      <c r="AA28" s="382" t="str">
        <f t="shared" si="13"/>
        <v>--</v>
      </c>
      <c r="AB28" s="25" t="s">
        <v>153</v>
      </c>
      <c r="AC28" s="622">
        <f t="shared" si="14"/>
        <v>28.955880000000004</v>
      </c>
      <c r="AD28" s="623"/>
    </row>
    <row r="29" spans="1:30" s="556" customFormat="1" ht="16.5" customHeight="1">
      <c r="A29" s="555"/>
      <c r="B29" s="567"/>
      <c r="C29" s="650">
        <v>8</v>
      </c>
      <c r="D29" s="650">
        <v>234802</v>
      </c>
      <c r="E29" s="650">
        <v>3824</v>
      </c>
      <c r="F29" s="515" t="s">
        <v>159</v>
      </c>
      <c r="G29" s="514" t="s">
        <v>162</v>
      </c>
      <c r="H29" s="651">
        <v>60</v>
      </c>
      <c r="I29" s="701" t="s">
        <v>161</v>
      </c>
      <c r="J29" s="272">
        <f t="shared" si="0"/>
        <v>14.58</v>
      </c>
      <c r="K29" s="654">
        <v>40683.34375</v>
      </c>
      <c r="L29" s="654">
        <v>40683.6375</v>
      </c>
      <c r="M29" s="26">
        <f t="shared" si="1"/>
        <v>7.049999999930151</v>
      </c>
      <c r="N29" s="27">
        <f t="shared" si="2"/>
        <v>423</v>
      </c>
      <c r="O29" s="655" t="s">
        <v>152</v>
      </c>
      <c r="P29" s="25" t="str">
        <f t="shared" si="3"/>
        <v>--</v>
      </c>
      <c r="Q29" s="721" t="str">
        <f t="shared" si="4"/>
        <v>--</v>
      </c>
      <c r="R29" s="25" t="str">
        <f t="shared" si="15"/>
        <v>NO</v>
      </c>
      <c r="S29" s="342">
        <f t="shared" si="5"/>
        <v>0.30000000000000004</v>
      </c>
      <c r="T29" s="722">
        <f t="shared" si="6"/>
        <v>30.836700000000004</v>
      </c>
      <c r="U29" s="723" t="str">
        <f t="shared" si="7"/>
        <v>--</v>
      </c>
      <c r="V29" s="361" t="str">
        <f t="shared" si="8"/>
        <v>--</v>
      </c>
      <c r="W29" s="362" t="str">
        <f t="shared" si="9"/>
        <v>--</v>
      </c>
      <c r="X29" s="370" t="str">
        <f t="shared" si="10"/>
        <v>--</v>
      </c>
      <c r="Y29" s="371" t="str">
        <f t="shared" si="11"/>
        <v>--</v>
      </c>
      <c r="Z29" s="376" t="str">
        <f t="shared" si="12"/>
        <v>--</v>
      </c>
      <c r="AA29" s="382" t="str">
        <f t="shared" si="13"/>
        <v>--</v>
      </c>
      <c r="AB29" s="25" t="s">
        <v>153</v>
      </c>
      <c r="AC29" s="622">
        <f t="shared" si="14"/>
        <v>30.836700000000004</v>
      </c>
      <c r="AD29" s="623"/>
    </row>
    <row r="30" spans="1:30" s="556" customFormat="1" ht="16.5" customHeight="1">
      <c r="A30" s="555"/>
      <c r="B30" s="567"/>
      <c r="C30" s="650">
        <v>9</v>
      </c>
      <c r="D30" s="650">
        <v>235034</v>
      </c>
      <c r="E30" s="650">
        <v>1816</v>
      </c>
      <c r="F30" s="515" t="s">
        <v>163</v>
      </c>
      <c r="G30" s="514" t="s">
        <v>164</v>
      </c>
      <c r="H30" s="651">
        <v>30</v>
      </c>
      <c r="I30" s="701" t="s">
        <v>157</v>
      </c>
      <c r="J30" s="272">
        <f t="shared" si="0"/>
        <v>7.29</v>
      </c>
      <c r="K30" s="654">
        <v>40686.52638888889</v>
      </c>
      <c r="L30" s="654">
        <v>40686.53680555556</v>
      </c>
      <c r="M30" s="26">
        <f t="shared" si="1"/>
        <v>0.2500000001164153</v>
      </c>
      <c r="N30" s="27">
        <f t="shared" si="2"/>
        <v>15</v>
      </c>
      <c r="O30" s="655" t="s">
        <v>165</v>
      </c>
      <c r="P30" s="25" t="str">
        <f t="shared" si="3"/>
        <v>NO</v>
      </c>
      <c r="Q30" s="721">
        <v>40</v>
      </c>
      <c r="R30" s="25" t="s">
        <v>153</v>
      </c>
      <c r="S30" s="342">
        <f t="shared" si="5"/>
        <v>30</v>
      </c>
      <c r="T30" s="722" t="str">
        <f t="shared" si="6"/>
        <v>--</v>
      </c>
      <c r="U30" s="723" t="str">
        <f t="shared" si="7"/>
        <v>--</v>
      </c>
      <c r="V30" s="361" t="str">
        <f t="shared" si="8"/>
        <v>--</v>
      </c>
      <c r="W30" s="362" t="str">
        <f t="shared" si="9"/>
        <v>--</v>
      </c>
      <c r="X30" s="370">
        <f t="shared" si="10"/>
        <v>87.48</v>
      </c>
      <c r="Y30" s="371">
        <f t="shared" si="11"/>
        <v>21.87</v>
      </c>
      <c r="Z30" s="376" t="str">
        <f t="shared" si="12"/>
        <v>--</v>
      </c>
      <c r="AA30" s="382" t="str">
        <f t="shared" si="13"/>
        <v>--</v>
      </c>
      <c r="AB30" s="25" t="s">
        <v>153</v>
      </c>
      <c r="AC30" s="622">
        <f t="shared" si="14"/>
        <v>109.35000000000001</v>
      </c>
      <c r="AD30" s="623"/>
    </row>
    <row r="31" spans="1:30" s="556" customFormat="1" ht="16.5" customHeight="1">
      <c r="A31" s="555"/>
      <c r="B31" s="567"/>
      <c r="C31" s="650">
        <v>10</v>
      </c>
      <c r="D31" s="650">
        <v>235041</v>
      </c>
      <c r="E31" s="650">
        <v>1810</v>
      </c>
      <c r="F31" s="515" t="s">
        <v>166</v>
      </c>
      <c r="G31" s="514" t="s">
        <v>158</v>
      </c>
      <c r="H31" s="651">
        <v>30</v>
      </c>
      <c r="I31" s="701" t="s">
        <v>157</v>
      </c>
      <c r="J31" s="272">
        <f t="shared" si="0"/>
        <v>7.29</v>
      </c>
      <c r="K31" s="654">
        <v>40687.87777777778</v>
      </c>
      <c r="L31" s="654">
        <v>40687.89513888889</v>
      </c>
      <c r="M31" s="26">
        <f t="shared" si="1"/>
        <v>0.41666666662786156</v>
      </c>
      <c r="N31" s="27">
        <f t="shared" si="2"/>
        <v>25</v>
      </c>
      <c r="O31" s="655" t="s">
        <v>155</v>
      </c>
      <c r="P31" s="25" t="str">
        <f t="shared" si="3"/>
        <v>NO</v>
      </c>
      <c r="Q31" s="721" t="str">
        <f t="shared" si="4"/>
        <v>--</v>
      </c>
      <c r="R31" s="25" t="s">
        <v>153</v>
      </c>
      <c r="S31" s="342">
        <f t="shared" si="5"/>
        <v>30</v>
      </c>
      <c r="T31" s="722" t="str">
        <f t="shared" si="6"/>
        <v>--</v>
      </c>
      <c r="U31" s="723" t="str">
        <f t="shared" si="7"/>
        <v>--</v>
      </c>
      <c r="V31" s="361">
        <f t="shared" si="8"/>
        <v>218.7</v>
      </c>
      <c r="W31" s="362">
        <f t="shared" si="9"/>
        <v>91.85399999999998</v>
      </c>
      <c r="X31" s="370" t="str">
        <f t="shared" si="10"/>
        <v>--</v>
      </c>
      <c r="Y31" s="371" t="str">
        <f t="shared" si="11"/>
        <v>--</v>
      </c>
      <c r="Z31" s="376" t="str">
        <f t="shared" si="12"/>
        <v>--</v>
      </c>
      <c r="AA31" s="382" t="str">
        <f t="shared" si="13"/>
        <v>--</v>
      </c>
      <c r="AB31" s="25" t="s">
        <v>153</v>
      </c>
      <c r="AC31" s="622">
        <f t="shared" si="14"/>
        <v>310.554</v>
      </c>
      <c r="AD31" s="623"/>
    </row>
    <row r="32" spans="1:30" s="556" customFormat="1" ht="16.5" customHeight="1">
      <c r="A32" s="555"/>
      <c r="B32" s="567"/>
      <c r="C32" s="650" t="s">
        <v>198</v>
      </c>
      <c r="D32" s="650">
        <v>235041</v>
      </c>
      <c r="E32" s="650">
        <v>1810</v>
      </c>
      <c r="F32" s="515" t="s">
        <v>166</v>
      </c>
      <c r="G32" s="514" t="s">
        <v>158</v>
      </c>
      <c r="H32" s="651">
        <v>30</v>
      </c>
      <c r="I32" s="701" t="s">
        <v>157</v>
      </c>
      <c r="J32" s="272">
        <f>H32*$I$18</f>
        <v>7.29</v>
      </c>
      <c r="K32" s="654">
        <v>40687.89513888889</v>
      </c>
      <c r="L32" s="654">
        <v>40688.42361111111</v>
      </c>
      <c r="M32" s="26">
        <f>IF(F32="","",(L32-K32)*24)</f>
        <v>12.683333333290648</v>
      </c>
      <c r="N32" s="27">
        <f>IF(F32="","",ROUND((L32-K32)*24*60,0))</f>
        <v>761</v>
      </c>
      <c r="O32" s="655" t="s">
        <v>199</v>
      </c>
      <c r="P32" s="25" t="str">
        <f>IF(F32="","",IF(OR(O32="P",O32="RP"),"--","NO"))</f>
        <v>NO</v>
      </c>
      <c r="Q32" s="721" t="str">
        <f>IF(F32="","","--")</f>
        <v>--</v>
      </c>
      <c r="R32" s="25" t="s">
        <v>197</v>
      </c>
      <c r="S32" s="342">
        <f>$I$19*IF(OR(O32="P",O32="RP"),0.1,1)*IF(R32="SI",1,0.1)</f>
        <v>3</v>
      </c>
      <c r="T32" s="722" t="str">
        <f>IF(O32="P",J32*S32*ROUND(N32/60,2),"--")</f>
        <v>--</v>
      </c>
      <c r="U32" s="723" t="str">
        <f>IF(O32="RP",J32*S32*ROUND(N32/60,2)*Q32/100,"--")</f>
        <v>--</v>
      </c>
      <c r="V32" s="361" t="str">
        <f>IF(AND(O32="F",P32="NO"),J32*S32,"--")</f>
        <v>--</v>
      </c>
      <c r="W32" s="362" t="str">
        <f>IF(O32="F",J32*S32*ROUND(N32/60,2),"--")</f>
        <v>--</v>
      </c>
      <c r="X32" s="370" t="str">
        <f>IF(AND(O32="R",P32="NO"),J32*S32*Q32/100,"--")</f>
        <v>--</v>
      </c>
      <c r="Y32" s="371" t="str">
        <f>IF(O32="R",J32*S32*ROUND(N32/60,2)*Q32/100,"--")</f>
        <v>--</v>
      </c>
      <c r="Z32" s="376">
        <f>IF(O32="RF",J32*S32*ROUND(N32/60,2),"--")</f>
        <v>277.3116</v>
      </c>
      <c r="AA32" s="382" t="str">
        <f>IF(O32="RR",J32*S32*ROUND(N32/60,2)*Q32/100,"--")</f>
        <v>--</v>
      </c>
      <c r="AB32" s="25" t="s">
        <v>153</v>
      </c>
      <c r="AC32" s="622">
        <f>IF(F32="","",SUM(T32:AA32)*IF(AB32="SI",1,2))</f>
        <v>277.3116</v>
      </c>
      <c r="AD32" s="623"/>
    </row>
    <row r="33" spans="1:30" s="556" customFormat="1" ht="16.5" customHeight="1">
      <c r="A33" s="555"/>
      <c r="B33" s="567"/>
      <c r="C33" s="650">
        <v>11</v>
      </c>
      <c r="D33" s="650">
        <v>235044</v>
      </c>
      <c r="E33" s="650">
        <v>1810</v>
      </c>
      <c r="F33" s="515" t="s">
        <v>166</v>
      </c>
      <c r="G33" s="514" t="s">
        <v>158</v>
      </c>
      <c r="H33" s="651">
        <v>30</v>
      </c>
      <c r="I33" s="701" t="s">
        <v>157</v>
      </c>
      <c r="J33" s="272">
        <f t="shared" si="0"/>
        <v>7.29</v>
      </c>
      <c r="K33" s="654">
        <v>40694.379166666666</v>
      </c>
      <c r="L33" s="654">
        <v>40694.566666666666</v>
      </c>
      <c r="M33" s="26">
        <f t="shared" si="1"/>
        <v>4.5</v>
      </c>
      <c r="N33" s="27">
        <f t="shared" si="2"/>
        <v>270</v>
      </c>
      <c r="O33" s="655" t="s">
        <v>152</v>
      </c>
      <c r="P33" s="25" t="str">
        <f t="shared" si="3"/>
        <v>--</v>
      </c>
      <c r="Q33" s="721" t="str">
        <f t="shared" si="4"/>
        <v>--</v>
      </c>
      <c r="R33" s="25" t="str">
        <f t="shared" si="15"/>
        <v>NO</v>
      </c>
      <c r="S33" s="342">
        <f t="shared" si="5"/>
        <v>0.30000000000000004</v>
      </c>
      <c r="T33" s="722">
        <f t="shared" si="6"/>
        <v>9.841500000000002</v>
      </c>
      <c r="U33" s="723" t="str">
        <f t="shared" si="7"/>
        <v>--</v>
      </c>
      <c r="V33" s="361" t="str">
        <f t="shared" si="8"/>
        <v>--</v>
      </c>
      <c r="W33" s="362" t="str">
        <f t="shared" si="9"/>
        <v>--</v>
      </c>
      <c r="X33" s="370" t="str">
        <f t="shared" si="10"/>
        <v>--</v>
      </c>
      <c r="Y33" s="371" t="str">
        <f t="shared" si="11"/>
        <v>--</v>
      </c>
      <c r="Z33" s="376" t="str">
        <f t="shared" si="12"/>
        <v>--</v>
      </c>
      <c r="AA33" s="382" t="str">
        <f t="shared" si="13"/>
        <v>--</v>
      </c>
      <c r="AB33" s="25" t="str">
        <f aca="true" t="shared" si="16" ref="AB33:AB45">IF(F33="","","SI")</f>
        <v>SI</v>
      </c>
      <c r="AC33" s="622">
        <f t="shared" si="14"/>
        <v>9.841500000000002</v>
      </c>
      <c r="AD33" s="623"/>
    </row>
    <row r="34" spans="1:30" s="556" customFormat="1" ht="16.5" customHeight="1">
      <c r="A34" s="555"/>
      <c r="B34" s="567"/>
      <c r="C34" s="650"/>
      <c r="D34" s="650"/>
      <c r="E34" s="650"/>
      <c r="F34" s="515"/>
      <c r="G34" s="514"/>
      <c r="H34" s="651"/>
      <c r="I34" s="652"/>
      <c r="J34" s="272">
        <f t="shared" si="0"/>
        <v>0</v>
      </c>
      <c r="K34" s="654"/>
      <c r="L34" s="654"/>
      <c r="M34" s="26">
        <f t="shared" si="1"/>
      </c>
      <c r="N34" s="27">
        <f t="shared" si="2"/>
      </c>
      <c r="O34" s="655"/>
      <c r="P34" s="25">
        <f t="shared" si="3"/>
      </c>
      <c r="Q34" s="721">
        <f t="shared" si="4"/>
      </c>
      <c r="R34" s="25">
        <f t="shared" si="15"/>
      </c>
      <c r="S34" s="342">
        <f t="shared" si="5"/>
        <v>3</v>
      </c>
      <c r="T34" s="722" t="str">
        <f t="shared" si="6"/>
        <v>--</v>
      </c>
      <c r="U34" s="723" t="str">
        <f t="shared" si="7"/>
        <v>--</v>
      </c>
      <c r="V34" s="361" t="str">
        <f t="shared" si="8"/>
        <v>--</v>
      </c>
      <c r="W34" s="362" t="str">
        <f t="shared" si="9"/>
        <v>--</v>
      </c>
      <c r="X34" s="370" t="str">
        <f t="shared" si="10"/>
        <v>--</v>
      </c>
      <c r="Y34" s="371" t="str">
        <f t="shared" si="11"/>
        <v>--</v>
      </c>
      <c r="Z34" s="376" t="str">
        <f t="shared" si="12"/>
        <v>--</v>
      </c>
      <c r="AA34" s="382" t="str">
        <f t="shared" si="13"/>
        <v>--</v>
      </c>
      <c r="AB34" s="25">
        <f t="shared" si="16"/>
      </c>
      <c r="AC34" s="622">
        <f t="shared" si="14"/>
      </c>
      <c r="AD34" s="568"/>
    </row>
    <row r="35" spans="1:30" s="556" customFormat="1" ht="16.5" customHeight="1">
      <c r="A35" s="555"/>
      <c r="B35" s="567"/>
      <c r="C35" s="650"/>
      <c r="D35" s="650"/>
      <c r="E35" s="650"/>
      <c r="F35" s="515"/>
      <c r="G35" s="514"/>
      <c r="H35" s="651"/>
      <c r="I35" s="652"/>
      <c r="J35" s="272">
        <f t="shared" si="0"/>
        <v>0</v>
      </c>
      <c r="K35" s="654"/>
      <c r="L35" s="654"/>
      <c r="M35" s="26">
        <f t="shared" si="1"/>
      </c>
      <c r="N35" s="27">
        <f t="shared" si="2"/>
      </c>
      <c r="O35" s="655"/>
      <c r="P35" s="25">
        <f t="shared" si="3"/>
      </c>
      <c r="Q35" s="721">
        <f t="shared" si="4"/>
      </c>
      <c r="R35" s="25">
        <f t="shared" si="15"/>
      </c>
      <c r="S35" s="342">
        <f t="shared" si="5"/>
        <v>3</v>
      </c>
      <c r="T35" s="722" t="str">
        <f t="shared" si="6"/>
        <v>--</v>
      </c>
      <c r="U35" s="723" t="str">
        <f t="shared" si="7"/>
        <v>--</v>
      </c>
      <c r="V35" s="361" t="str">
        <f t="shared" si="8"/>
        <v>--</v>
      </c>
      <c r="W35" s="362" t="str">
        <f t="shared" si="9"/>
        <v>--</v>
      </c>
      <c r="X35" s="370" t="str">
        <f t="shared" si="10"/>
        <v>--</v>
      </c>
      <c r="Y35" s="371" t="str">
        <f t="shared" si="11"/>
        <v>--</v>
      </c>
      <c r="Z35" s="376" t="str">
        <f t="shared" si="12"/>
        <v>--</v>
      </c>
      <c r="AA35" s="382" t="str">
        <f t="shared" si="13"/>
        <v>--</v>
      </c>
      <c r="AB35" s="25">
        <f t="shared" si="16"/>
      </c>
      <c r="AC35" s="622">
        <f t="shared" si="14"/>
      </c>
      <c r="AD35" s="568"/>
    </row>
    <row r="36" spans="1:30" s="556" customFormat="1" ht="16.5" customHeight="1">
      <c r="A36" s="555"/>
      <c r="B36" s="567"/>
      <c r="C36" s="650"/>
      <c r="D36" s="650"/>
      <c r="E36" s="650"/>
      <c r="F36" s="515"/>
      <c r="G36" s="514"/>
      <c r="H36" s="651"/>
      <c r="I36" s="652"/>
      <c r="J36" s="272">
        <f t="shared" si="0"/>
        <v>0</v>
      </c>
      <c r="K36" s="654"/>
      <c r="L36" s="654"/>
      <c r="M36" s="26">
        <f t="shared" si="1"/>
      </c>
      <c r="N36" s="27">
        <f t="shared" si="2"/>
      </c>
      <c r="O36" s="655"/>
      <c r="P36" s="25">
        <f t="shared" si="3"/>
      </c>
      <c r="Q36" s="721">
        <f t="shared" si="4"/>
      </c>
      <c r="R36" s="25">
        <f t="shared" si="15"/>
      </c>
      <c r="S36" s="342">
        <f t="shared" si="5"/>
        <v>3</v>
      </c>
      <c r="T36" s="722" t="str">
        <f t="shared" si="6"/>
        <v>--</v>
      </c>
      <c r="U36" s="723" t="str">
        <f t="shared" si="7"/>
        <v>--</v>
      </c>
      <c r="V36" s="361" t="str">
        <f t="shared" si="8"/>
        <v>--</v>
      </c>
      <c r="W36" s="362" t="str">
        <f t="shared" si="9"/>
        <v>--</v>
      </c>
      <c r="X36" s="370" t="str">
        <f t="shared" si="10"/>
        <v>--</v>
      </c>
      <c r="Y36" s="371" t="str">
        <f t="shared" si="11"/>
        <v>--</v>
      </c>
      <c r="Z36" s="376" t="str">
        <f t="shared" si="12"/>
        <v>--</v>
      </c>
      <c r="AA36" s="382" t="str">
        <f t="shared" si="13"/>
        <v>--</v>
      </c>
      <c r="AB36" s="25">
        <f t="shared" si="16"/>
      </c>
      <c r="AC36" s="622">
        <f t="shared" si="14"/>
      </c>
      <c r="AD36" s="568"/>
    </row>
    <row r="37" spans="1:30" s="556" customFormat="1" ht="16.5" customHeight="1">
      <c r="A37" s="555"/>
      <c r="B37" s="567"/>
      <c r="C37" s="650"/>
      <c r="D37" s="650"/>
      <c r="E37" s="650"/>
      <c r="F37" s="515"/>
      <c r="G37" s="514"/>
      <c r="H37" s="651"/>
      <c r="I37" s="652"/>
      <c r="J37" s="272">
        <f t="shared" si="0"/>
        <v>0</v>
      </c>
      <c r="K37" s="654"/>
      <c r="L37" s="654"/>
      <c r="M37" s="26">
        <f t="shared" si="1"/>
      </c>
      <c r="N37" s="27">
        <f t="shared" si="2"/>
      </c>
      <c r="O37" s="655"/>
      <c r="P37" s="25">
        <f t="shared" si="3"/>
      </c>
      <c r="Q37" s="721">
        <f t="shared" si="4"/>
      </c>
      <c r="R37" s="25">
        <f t="shared" si="15"/>
      </c>
      <c r="S37" s="342">
        <f t="shared" si="5"/>
        <v>3</v>
      </c>
      <c r="T37" s="722" t="str">
        <f t="shared" si="6"/>
        <v>--</v>
      </c>
      <c r="U37" s="723" t="str">
        <f t="shared" si="7"/>
        <v>--</v>
      </c>
      <c r="V37" s="361" t="str">
        <f t="shared" si="8"/>
        <v>--</v>
      </c>
      <c r="W37" s="362" t="str">
        <f t="shared" si="9"/>
        <v>--</v>
      </c>
      <c r="X37" s="370" t="str">
        <f t="shared" si="10"/>
        <v>--</v>
      </c>
      <c r="Y37" s="371" t="str">
        <f t="shared" si="11"/>
        <v>--</v>
      </c>
      <c r="Z37" s="376" t="str">
        <f t="shared" si="12"/>
        <v>--</v>
      </c>
      <c r="AA37" s="382" t="str">
        <f t="shared" si="13"/>
        <v>--</v>
      </c>
      <c r="AB37" s="25">
        <f t="shared" si="16"/>
      </c>
      <c r="AC37" s="622">
        <f t="shared" si="14"/>
      </c>
      <c r="AD37" s="568"/>
    </row>
    <row r="38" spans="1:30" s="556" customFormat="1" ht="16.5" customHeight="1">
      <c r="A38" s="555"/>
      <c r="B38" s="567"/>
      <c r="C38" s="650"/>
      <c r="D38" s="650"/>
      <c r="E38" s="650"/>
      <c r="F38" s="515"/>
      <c r="G38" s="514"/>
      <c r="H38" s="651"/>
      <c r="I38" s="652"/>
      <c r="J38" s="272">
        <f t="shared" si="0"/>
        <v>0</v>
      </c>
      <c r="K38" s="654"/>
      <c r="L38" s="654"/>
      <c r="M38" s="26">
        <f t="shared" si="1"/>
      </c>
      <c r="N38" s="27">
        <f t="shared" si="2"/>
      </c>
      <c r="O38" s="655"/>
      <c r="P38" s="25">
        <f t="shared" si="3"/>
      </c>
      <c r="Q38" s="721">
        <f t="shared" si="4"/>
      </c>
      <c r="R38" s="25">
        <f t="shared" si="15"/>
      </c>
      <c r="S38" s="342">
        <f t="shared" si="5"/>
        <v>3</v>
      </c>
      <c r="T38" s="722" t="str">
        <f t="shared" si="6"/>
        <v>--</v>
      </c>
      <c r="U38" s="723" t="str">
        <f t="shared" si="7"/>
        <v>--</v>
      </c>
      <c r="V38" s="361" t="str">
        <f t="shared" si="8"/>
        <v>--</v>
      </c>
      <c r="W38" s="362" t="str">
        <f t="shared" si="9"/>
        <v>--</v>
      </c>
      <c r="X38" s="370" t="str">
        <f t="shared" si="10"/>
        <v>--</v>
      </c>
      <c r="Y38" s="371" t="str">
        <f t="shared" si="11"/>
        <v>--</v>
      </c>
      <c r="Z38" s="376" t="str">
        <f t="shared" si="12"/>
        <v>--</v>
      </c>
      <c r="AA38" s="382" t="str">
        <f t="shared" si="13"/>
        <v>--</v>
      </c>
      <c r="AB38" s="25">
        <f t="shared" si="16"/>
      </c>
      <c r="AC38" s="622">
        <f t="shared" si="14"/>
      </c>
      <c r="AD38" s="568"/>
    </row>
    <row r="39" spans="1:30" s="556" customFormat="1" ht="16.5" customHeight="1">
      <c r="A39" s="555"/>
      <c r="B39" s="567"/>
      <c r="C39" s="650"/>
      <c r="D39" s="650"/>
      <c r="E39" s="650"/>
      <c r="F39" s="515"/>
      <c r="G39" s="514"/>
      <c r="H39" s="651"/>
      <c r="I39" s="652"/>
      <c r="J39" s="272">
        <f t="shared" si="0"/>
        <v>0</v>
      </c>
      <c r="K39" s="654"/>
      <c r="L39" s="654"/>
      <c r="M39" s="26">
        <f t="shared" si="1"/>
      </c>
      <c r="N39" s="27">
        <f t="shared" si="2"/>
      </c>
      <c r="O39" s="655"/>
      <c r="P39" s="25">
        <f t="shared" si="3"/>
      </c>
      <c r="Q39" s="721">
        <f t="shared" si="4"/>
      </c>
      <c r="R39" s="25">
        <f t="shared" si="15"/>
      </c>
      <c r="S39" s="342">
        <f t="shared" si="5"/>
        <v>3</v>
      </c>
      <c r="T39" s="722" t="str">
        <f t="shared" si="6"/>
        <v>--</v>
      </c>
      <c r="U39" s="723" t="str">
        <f t="shared" si="7"/>
        <v>--</v>
      </c>
      <c r="V39" s="361" t="str">
        <f t="shared" si="8"/>
        <v>--</v>
      </c>
      <c r="W39" s="362" t="str">
        <f t="shared" si="9"/>
        <v>--</v>
      </c>
      <c r="X39" s="370" t="str">
        <f t="shared" si="10"/>
        <v>--</v>
      </c>
      <c r="Y39" s="371" t="str">
        <f t="shared" si="11"/>
        <v>--</v>
      </c>
      <c r="Z39" s="376" t="str">
        <f t="shared" si="12"/>
        <v>--</v>
      </c>
      <c r="AA39" s="382" t="str">
        <f t="shared" si="13"/>
        <v>--</v>
      </c>
      <c r="AB39" s="25">
        <f t="shared" si="16"/>
      </c>
      <c r="AC39" s="622">
        <f t="shared" si="14"/>
      </c>
      <c r="AD39" s="568"/>
    </row>
    <row r="40" spans="1:30" s="556" customFormat="1" ht="16.5" customHeight="1">
      <c r="A40" s="555"/>
      <c r="B40" s="567"/>
      <c r="C40" s="650"/>
      <c r="D40" s="650"/>
      <c r="E40" s="650"/>
      <c r="F40" s="515"/>
      <c r="G40" s="514"/>
      <c r="H40" s="651"/>
      <c r="I40" s="652"/>
      <c r="J40" s="272">
        <f t="shared" si="0"/>
        <v>0</v>
      </c>
      <c r="K40" s="654"/>
      <c r="L40" s="654"/>
      <c r="M40" s="26">
        <f t="shared" si="1"/>
      </c>
      <c r="N40" s="27">
        <f t="shared" si="2"/>
      </c>
      <c r="O40" s="655"/>
      <c r="P40" s="25">
        <f t="shared" si="3"/>
      </c>
      <c r="Q40" s="721">
        <f t="shared" si="4"/>
      </c>
      <c r="R40" s="25">
        <f t="shared" si="15"/>
      </c>
      <c r="S40" s="342">
        <f t="shared" si="5"/>
        <v>3</v>
      </c>
      <c r="T40" s="722" t="str">
        <f t="shared" si="6"/>
        <v>--</v>
      </c>
      <c r="U40" s="723" t="str">
        <f t="shared" si="7"/>
        <v>--</v>
      </c>
      <c r="V40" s="361" t="str">
        <f t="shared" si="8"/>
        <v>--</v>
      </c>
      <c r="W40" s="362" t="str">
        <f t="shared" si="9"/>
        <v>--</v>
      </c>
      <c r="X40" s="370" t="str">
        <f t="shared" si="10"/>
        <v>--</v>
      </c>
      <c r="Y40" s="371" t="str">
        <f t="shared" si="11"/>
        <v>--</v>
      </c>
      <c r="Z40" s="376" t="str">
        <f t="shared" si="12"/>
        <v>--</v>
      </c>
      <c r="AA40" s="382" t="str">
        <f t="shared" si="13"/>
        <v>--</v>
      </c>
      <c r="AB40" s="25">
        <f t="shared" si="16"/>
      </c>
      <c r="AC40" s="622">
        <f t="shared" si="14"/>
      </c>
      <c r="AD40" s="568"/>
    </row>
    <row r="41" spans="1:30" s="556" customFormat="1" ht="16.5" customHeight="1">
      <c r="A41" s="555"/>
      <c r="B41" s="567"/>
      <c r="C41" s="650"/>
      <c r="D41" s="650"/>
      <c r="E41" s="650"/>
      <c r="F41" s="515"/>
      <c r="G41" s="514"/>
      <c r="H41" s="651"/>
      <c r="I41" s="652"/>
      <c r="J41" s="272">
        <f t="shared" si="0"/>
        <v>0</v>
      </c>
      <c r="K41" s="654"/>
      <c r="L41" s="654"/>
      <c r="M41" s="26">
        <f t="shared" si="1"/>
      </c>
      <c r="N41" s="27">
        <f t="shared" si="2"/>
      </c>
      <c r="O41" s="655"/>
      <c r="P41" s="25">
        <f t="shared" si="3"/>
      </c>
      <c r="Q41" s="721">
        <f t="shared" si="4"/>
      </c>
      <c r="R41" s="25">
        <f t="shared" si="15"/>
      </c>
      <c r="S41" s="342">
        <f t="shared" si="5"/>
        <v>3</v>
      </c>
      <c r="T41" s="722" t="str">
        <f t="shared" si="6"/>
        <v>--</v>
      </c>
      <c r="U41" s="723" t="str">
        <f t="shared" si="7"/>
        <v>--</v>
      </c>
      <c r="V41" s="361" t="str">
        <f t="shared" si="8"/>
        <v>--</v>
      </c>
      <c r="W41" s="362" t="str">
        <f t="shared" si="9"/>
        <v>--</v>
      </c>
      <c r="X41" s="370" t="str">
        <f t="shared" si="10"/>
        <v>--</v>
      </c>
      <c r="Y41" s="371" t="str">
        <f t="shared" si="11"/>
        <v>--</v>
      </c>
      <c r="Z41" s="376" t="str">
        <f t="shared" si="12"/>
        <v>--</v>
      </c>
      <c r="AA41" s="382" t="str">
        <f t="shared" si="13"/>
        <v>--</v>
      </c>
      <c r="AB41" s="25">
        <f t="shared" si="16"/>
      </c>
      <c r="AC41" s="622">
        <f t="shared" si="14"/>
      </c>
      <c r="AD41" s="568"/>
    </row>
    <row r="42" spans="1:30" s="556" customFormat="1" ht="16.5" customHeight="1">
      <c r="A42" s="555"/>
      <c r="B42" s="567"/>
      <c r="C42" s="650"/>
      <c r="D42" s="650"/>
      <c r="E42" s="650"/>
      <c r="F42" s="515"/>
      <c r="G42" s="514"/>
      <c r="H42" s="651"/>
      <c r="I42" s="652"/>
      <c r="J42" s="272">
        <f t="shared" si="0"/>
        <v>0</v>
      </c>
      <c r="K42" s="654"/>
      <c r="L42" s="654"/>
      <c r="M42" s="26">
        <f t="shared" si="1"/>
      </c>
      <c r="N42" s="27">
        <f t="shared" si="2"/>
      </c>
      <c r="O42" s="655"/>
      <c r="P42" s="25">
        <f t="shared" si="3"/>
      </c>
      <c r="Q42" s="721">
        <f t="shared" si="4"/>
      </c>
      <c r="R42" s="25">
        <f t="shared" si="15"/>
      </c>
      <c r="S42" s="342">
        <f t="shared" si="5"/>
        <v>3</v>
      </c>
      <c r="T42" s="722" t="str">
        <f t="shared" si="6"/>
        <v>--</v>
      </c>
      <c r="U42" s="723" t="str">
        <f t="shared" si="7"/>
        <v>--</v>
      </c>
      <c r="V42" s="361" t="str">
        <f t="shared" si="8"/>
        <v>--</v>
      </c>
      <c r="W42" s="362" t="str">
        <f t="shared" si="9"/>
        <v>--</v>
      </c>
      <c r="X42" s="370" t="str">
        <f t="shared" si="10"/>
        <v>--</v>
      </c>
      <c r="Y42" s="371" t="str">
        <f t="shared" si="11"/>
        <v>--</v>
      </c>
      <c r="Z42" s="376" t="str">
        <f t="shared" si="12"/>
        <v>--</v>
      </c>
      <c r="AA42" s="382" t="str">
        <f t="shared" si="13"/>
        <v>--</v>
      </c>
      <c r="AB42" s="25">
        <f t="shared" si="16"/>
      </c>
      <c r="AC42" s="622">
        <f t="shared" si="14"/>
      </c>
      <c r="AD42" s="568"/>
    </row>
    <row r="43" spans="1:30" s="556" customFormat="1" ht="16.5" customHeight="1">
      <c r="A43" s="555"/>
      <c r="B43" s="567"/>
      <c r="C43" s="650"/>
      <c r="D43" s="650"/>
      <c r="E43" s="650"/>
      <c r="F43" s="515"/>
      <c r="G43" s="514"/>
      <c r="H43" s="651"/>
      <c r="I43" s="652"/>
      <c r="J43" s="272">
        <f t="shared" si="0"/>
        <v>0</v>
      </c>
      <c r="K43" s="654"/>
      <c r="L43" s="654"/>
      <c r="M43" s="26">
        <f t="shared" si="1"/>
      </c>
      <c r="N43" s="27">
        <f t="shared" si="2"/>
      </c>
      <c r="O43" s="655"/>
      <c r="P43" s="25">
        <f t="shared" si="3"/>
      </c>
      <c r="Q43" s="721">
        <f t="shared" si="4"/>
      </c>
      <c r="R43" s="25">
        <f t="shared" si="15"/>
      </c>
      <c r="S43" s="342">
        <f t="shared" si="5"/>
        <v>3</v>
      </c>
      <c r="T43" s="722" t="str">
        <f t="shared" si="6"/>
        <v>--</v>
      </c>
      <c r="U43" s="723" t="str">
        <f t="shared" si="7"/>
        <v>--</v>
      </c>
      <c r="V43" s="361" t="str">
        <f t="shared" si="8"/>
        <v>--</v>
      </c>
      <c r="W43" s="362" t="str">
        <f t="shared" si="9"/>
        <v>--</v>
      </c>
      <c r="X43" s="370" t="str">
        <f t="shared" si="10"/>
        <v>--</v>
      </c>
      <c r="Y43" s="371" t="str">
        <f t="shared" si="11"/>
        <v>--</v>
      </c>
      <c r="Z43" s="376" t="str">
        <f t="shared" si="12"/>
        <v>--</v>
      </c>
      <c r="AA43" s="382" t="str">
        <f t="shared" si="13"/>
        <v>--</v>
      </c>
      <c r="AB43" s="25">
        <f t="shared" si="16"/>
      </c>
      <c r="AC43" s="622">
        <f t="shared" si="14"/>
      </c>
      <c r="AD43" s="568"/>
    </row>
    <row r="44" spans="1:30" s="556" customFormat="1" ht="16.5" customHeight="1">
      <c r="A44" s="555"/>
      <c r="B44" s="567"/>
      <c r="C44" s="650"/>
      <c r="D44" s="650"/>
      <c r="E44" s="650"/>
      <c r="F44" s="515"/>
      <c r="G44" s="514"/>
      <c r="H44" s="651"/>
      <c r="I44" s="652"/>
      <c r="J44" s="272">
        <f t="shared" si="0"/>
        <v>0</v>
      </c>
      <c r="K44" s="654"/>
      <c r="L44" s="654"/>
      <c r="M44" s="26">
        <f t="shared" si="1"/>
      </c>
      <c r="N44" s="27">
        <f t="shared" si="2"/>
      </c>
      <c r="O44" s="655"/>
      <c r="P44" s="25">
        <f t="shared" si="3"/>
      </c>
      <c r="Q44" s="721">
        <f t="shared" si="4"/>
      </c>
      <c r="R44" s="25">
        <f t="shared" si="15"/>
      </c>
      <c r="S44" s="342">
        <f t="shared" si="5"/>
        <v>3</v>
      </c>
      <c r="T44" s="722" t="str">
        <f t="shared" si="6"/>
        <v>--</v>
      </c>
      <c r="U44" s="723" t="str">
        <f t="shared" si="7"/>
        <v>--</v>
      </c>
      <c r="V44" s="361" t="str">
        <f t="shared" si="8"/>
        <v>--</v>
      </c>
      <c r="W44" s="362" t="str">
        <f t="shared" si="9"/>
        <v>--</v>
      </c>
      <c r="X44" s="370" t="str">
        <f t="shared" si="10"/>
        <v>--</v>
      </c>
      <c r="Y44" s="371" t="str">
        <f t="shared" si="11"/>
        <v>--</v>
      </c>
      <c r="Z44" s="376" t="str">
        <f t="shared" si="12"/>
        <v>--</v>
      </c>
      <c r="AA44" s="382" t="str">
        <f t="shared" si="13"/>
        <v>--</v>
      </c>
      <c r="AB44" s="25">
        <f t="shared" si="16"/>
      </c>
      <c r="AC44" s="622">
        <f t="shared" si="14"/>
      </c>
      <c r="AD44" s="568"/>
    </row>
    <row r="45" spans="1:30" s="556" customFormat="1" ht="16.5" customHeight="1">
      <c r="A45" s="555"/>
      <c r="B45" s="567"/>
      <c r="C45" s="650"/>
      <c r="D45" s="650"/>
      <c r="E45" s="650"/>
      <c r="F45" s="515"/>
      <c r="G45" s="514"/>
      <c r="H45" s="651"/>
      <c r="I45" s="652"/>
      <c r="J45" s="272">
        <f t="shared" si="0"/>
        <v>0</v>
      </c>
      <c r="K45" s="654"/>
      <c r="L45" s="654"/>
      <c r="M45" s="26">
        <f t="shared" si="1"/>
      </c>
      <c r="N45" s="27">
        <f t="shared" si="2"/>
      </c>
      <c r="O45" s="655"/>
      <c r="P45" s="25">
        <f t="shared" si="3"/>
      </c>
      <c r="Q45" s="721">
        <f t="shared" si="4"/>
      </c>
      <c r="R45" s="25">
        <f t="shared" si="15"/>
      </c>
      <c r="S45" s="342">
        <f t="shared" si="5"/>
        <v>3</v>
      </c>
      <c r="T45" s="722" t="str">
        <f t="shared" si="6"/>
        <v>--</v>
      </c>
      <c r="U45" s="723" t="str">
        <f t="shared" si="7"/>
        <v>--</v>
      </c>
      <c r="V45" s="361" t="str">
        <f t="shared" si="8"/>
        <v>--</v>
      </c>
      <c r="W45" s="362" t="str">
        <f t="shared" si="9"/>
        <v>--</v>
      </c>
      <c r="X45" s="370" t="str">
        <f t="shared" si="10"/>
        <v>--</v>
      </c>
      <c r="Y45" s="371" t="str">
        <f t="shared" si="11"/>
        <v>--</v>
      </c>
      <c r="Z45" s="376" t="str">
        <f t="shared" si="12"/>
        <v>--</v>
      </c>
      <c r="AA45" s="382" t="str">
        <f t="shared" si="13"/>
        <v>--</v>
      </c>
      <c r="AB45" s="25">
        <f t="shared" si="16"/>
      </c>
      <c r="AC45" s="622">
        <f t="shared" si="14"/>
      </c>
      <c r="AD45" s="568"/>
    </row>
    <row r="46" spans="1:30" s="556" customFormat="1" ht="16.5" customHeight="1" thickBot="1">
      <c r="A46" s="555"/>
      <c r="B46" s="567"/>
      <c r="C46" s="653"/>
      <c r="D46" s="653"/>
      <c r="E46" s="653"/>
      <c r="F46" s="653"/>
      <c r="G46" s="653"/>
      <c r="H46" s="653"/>
      <c r="I46" s="653"/>
      <c r="J46" s="625"/>
      <c r="K46" s="653"/>
      <c r="L46" s="653"/>
      <c r="M46" s="624"/>
      <c r="N46" s="624"/>
      <c r="O46" s="653"/>
      <c r="P46" s="653"/>
      <c r="Q46" s="653"/>
      <c r="R46" s="653"/>
      <c r="S46" s="656"/>
      <c r="T46" s="657"/>
      <c r="U46" s="658"/>
      <c r="V46" s="659"/>
      <c r="W46" s="660"/>
      <c r="X46" s="661"/>
      <c r="Y46" s="662"/>
      <c r="Z46" s="663"/>
      <c r="AA46" s="664"/>
      <c r="AB46" s="653"/>
      <c r="AC46" s="626"/>
      <c r="AD46" s="568"/>
    </row>
    <row r="47" spans="1:30" s="556" customFormat="1" ht="16.5" customHeight="1" thickBot="1" thickTop="1">
      <c r="A47" s="555"/>
      <c r="B47" s="567"/>
      <c r="C47" s="627" t="s">
        <v>70</v>
      </c>
      <c r="D47" s="727" t="s">
        <v>177</v>
      </c>
      <c r="E47" s="250"/>
      <c r="F47" s="245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628">
        <f aca="true" t="shared" si="17" ref="T47:AA47">SUM(T22:T46)</f>
        <v>209.23029000000002</v>
      </c>
      <c r="U47" s="629">
        <f t="shared" si="17"/>
        <v>0</v>
      </c>
      <c r="V47" s="630">
        <f t="shared" si="17"/>
        <v>218.7</v>
      </c>
      <c r="W47" s="630">
        <f t="shared" si="17"/>
        <v>91.85399999999998</v>
      </c>
      <c r="X47" s="631">
        <f t="shared" si="17"/>
        <v>87.48</v>
      </c>
      <c r="Y47" s="631">
        <f t="shared" si="17"/>
        <v>21.87</v>
      </c>
      <c r="Z47" s="632">
        <f t="shared" si="17"/>
        <v>277.3116</v>
      </c>
      <c r="AA47" s="633">
        <f t="shared" si="17"/>
        <v>0</v>
      </c>
      <c r="AB47" s="634"/>
      <c r="AC47" s="635">
        <f>ROUND(SUM(AC22:AC46),2)</f>
        <v>906.45</v>
      </c>
      <c r="AD47" s="568"/>
    </row>
    <row r="48" spans="1:30" s="643" customFormat="1" ht="9.75" thickTop="1">
      <c r="A48" s="636"/>
      <c r="B48" s="637"/>
      <c r="C48" s="638"/>
      <c r="D48" s="638"/>
      <c r="E48" s="638"/>
      <c r="F48" s="247"/>
      <c r="G48" s="639"/>
      <c r="H48" s="639"/>
      <c r="I48" s="639"/>
      <c r="J48" s="639"/>
      <c r="K48" s="639"/>
      <c r="L48" s="639"/>
      <c r="M48" s="639"/>
      <c r="N48" s="639"/>
      <c r="O48" s="639"/>
      <c r="P48" s="639"/>
      <c r="Q48" s="639"/>
      <c r="R48" s="639"/>
      <c r="S48" s="639"/>
      <c r="T48" s="640"/>
      <c r="U48" s="640"/>
      <c r="V48" s="640"/>
      <c r="W48" s="640"/>
      <c r="X48" s="640"/>
      <c r="Y48" s="640"/>
      <c r="Z48" s="640"/>
      <c r="AA48" s="640"/>
      <c r="AB48" s="639"/>
      <c r="AC48" s="641"/>
      <c r="AD48" s="642"/>
    </row>
    <row r="49" spans="1:30" s="556" customFormat="1" ht="16.5" customHeight="1" thickBot="1">
      <c r="A49" s="555"/>
      <c r="B49" s="644"/>
      <c r="C49" s="645"/>
      <c r="D49" s="645"/>
      <c r="E49" s="645"/>
      <c r="F49" s="645"/>
      <c r="G49" s="645"/>
      <c r="H49" s="645"/>
      <c r="I49" s="645"/>
      <c r="J49" s="645"/>
      <c r="K49" s="645"/>
      <c r="L49" s="645"/>
      <c r="M49" s="645"/>
      <c r="N49" s="645"/>
      <c r="O49" s="645"/>
      <c r="P49" s="645"/>
      <c r="Q49" s="645"/>
      <c r="R49" s="645"/>
      <c r="S49" s="645"/>
      <c r="T49" s="645"/>
      <c r="U49" s="645"/>
      <c r="V49" s="645"/>
      <c r="W49" s="645"/>
      <c r="X49" s="645"/>
      <c r="Y49" s="645"/>
      <c r="Z49" s="645"/>
      <c r="AA49" s="645"/>
      <c r="AB49" s="645"/>
      <c r="AC49" s="645"/>
      <c r="AD49" s="646"/>
    </row>
    <row r="50" spans="2:30" ht="16.5" customHeight="1" thickTop="1">
      <c r="B50" s="648"/>
      <c r="C50" s="648"/>
      <c r="D50" s="648"/>
      <c r="E50" s="648"/>
      <c r="F50" s="648"/>
      <c r="G50" s="648"/>
      <c r="H50" s="648"/>
      <c r="I50" s="648"/>
      <c r="J50" s="648"/>
      <c r="K50" s="648"/>
      <c r="L50" s="648"/>
      <c r="M50" s="648"/>
      <c r="N50" s="648"/>
      <c r="O50" s="648"/>
      <c r="P50" s="648"/>
      <c r="Q50" s="648"/>
      <c r="R50" s="648"/>
      <c r="S50" s="648"/>
      <c r="T50" s="648"/>
      <c r="U50" s="648"/>
      <c r="V50" s="648"/>
      <c r="W50" s="648"/>
      <c r="X50" s="648"/>
      <c r="Y50" s="648"/>
      <c r="Z50" s="648"/>
      <c r="AA50" s="648"/>
      <c r="AB50" s="648"/>
      <c r="AC50" s="648"/>
      <c r="AD50" s="64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8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AD48"/>
  <sheetViews>
    <sheetView zoomScale="70" zoomScaleNormal="70" workbookViewId="0" topLeftCell="A7">
      <selection activeCell="B3" sqref="B3"/>
    </sheetView>
  </sheetViews>
  <sheetFormatPr defaultColWidth="11.421875" defaultRowHeight="12.75"/>
  <cols>
    <col min="1" max="2" width="4.00390625" style="0" customWidth="1"/>
    <col min="3" max="3" width="4.140625" style="0" customWidth="1"/>
    <col min="4" max="5" width="13.8515625" style="0" customWidth="1"/>
    <col min="6" max="6" width="23.57421875" style="0" customWidth="1"/>
    <col min="7" max="7" width="22.7109375" style="0" customWidth="1"/>
    <col min="8" max="8" width="7.7109375" style="0" customWidth="1"/>
    <col min="9" max="9" width="12.7109375" style="0" customWidth="1"/>
    <col min="10" max="10" width="11.851562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8" width="7.00390625" style="0" customWidth="1"/>
    <col min="19" max="19" width="11.7109375" style="0" hidden="1" customWidth="1"/>
    <col min="20" max="21" width="14.00390625" style="0" hidden="1" customWidth="1"/>
    <col min="22" max="22" width="14.28125" style="0" hidden="1" customWidth="1"/>
    <col min="23" max="27" width="14.140625" style="0" hidden="1" customWidth="1"/>
    <col min="28" max="28" width="9.00390625" style="0" customWidth="1"/>
    <col min="29" max="29" width="15.7109375" style="0" customWidth="1"/>
    <col min="30" max="30" width="4.00390625" style="0" customWidth="1"/>
  </cols>
  <sheetData>
    <row r="1" spans="5:30" s="109" customFormat="1" ht="26.25"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509"/>
    </row>
    <row r="2" spans="2:30" s="109" customFormat="1" ht="26.25">
      <c r="B2" s="110" t="str">
        <f>+'TOT-0511'!B2</f>
        <v>ANEXO V al Memorandum  D.T.E.E.  N°482  / 2012</v>
      </c>
      <c r="C2" s="111"/>
      <c r="D2" s="111"/>
      <c r="E2" s="171"/>
      <c r="F2" s="171"/>
      <c r="G2" s="110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</row>
    <row r="3" spans="5:30" s="10" customFormat="1" ht="12.75"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</row>
    <row r="4" spans="1:30" s="112" customFormat="1" ht="11.25">
      <c r="A4" s="707" t="s">
        <v>21</v>
      </c>
      <c r="C4" s="706"/>
      <c r="D4" s="706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</row>
    <row r="5" spans="1:30" s="112" customFormat="1" ht="11.25">
      <c r="A5" s="707" t="s">
        <v>146</v>
      </c>
      <c r="C5" s="706"/>
      <c r="D5" s="706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</row>
    <row r="6" spans="1:30" s="10" customFormat="1" ht="13.5" thickBo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</row>
    <row r="7" spans="1:30" s="10" customFormat="1" ht="13.5" thickTop="1">
      <c r="A7" s="169"/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4"/>
    </row>
    <row r="8" spans="1:30" s="114" customFormat="1" ht="20.25">
      <c r="A8" s="189"/>
      <c r="B8" s="190"/>
      <c r="C8" s="177"/>
      <c r="D8" s="177"/>
      <c r="E8" s="177"/>
      <c r="F8" s="21" t="s">
        <v>46</v>
      </c>
      <c r="H8" s="177"/>
      <c r="I8" s="189"/>
      <c r="J8" s="189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91"/>
    </row>
    <row r="9" spans="1:30" s="114" customFormat="1" ht="7.5" customHeight="1">
      <c r="A9" s="189"/>
      <c r="B9" s="190"/>
      <c r="C9" s="177"/>
      <c r="D9" s="177"/>
      <c r="E9" s="177"/>
      <c r="F9" s="21"/>
      <c r="H9" s="177"/>
      <c r="I9" s="189"/>
      <c r="J9" s="189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91"/>
    </row>
    <row r="10" spans="1:30" s="10" customFormat="1" ht="7.5" customHeight="1">
      <c r="A10" s="169"/>
      <c r="B10" s="175"/>
      <c r="C10" s="30"/>
      <c r="D10" s="30"/>
      <c r="E10" s="30"/>
      <c r="F10" s="30"/>
      <c r="G10" s="30"/>
      <c r="H10" s="30"/>
      <c r="I10" s="169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8"/>
    </row>
    <row r="11" spans="1:30" s="114" customFormat="1" ht="20.25">
      <c r="A11" s="189"/>
      <c r="B11" s="190"/>
      <c r="C11" s="177"/>
      <c r="D11" s="177"/>
      <c r="E11" s="177"/>
      <c r="F11" s="219" t="s">
        <v>87</v>
      </c>
      <c r="G11" s="177"/>
      <c r="H11" s="177"/>
      <c r="I11" s="189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91"/>
    </row>
    <row r="12" spans="1:30" s="114" customFormat="1" ht="8.25" customHeight="1">
      <c r="A12" s="189"/>
      <c r="B12" s="190"/>
      <c r="C12" s="177"/>
      <c r="D12" s="177"/>
      <c r="E12" s="177"/>
      <c r="F12" s="219"/>
      <c r="G12" s="177"/>
      <c r="H12" s="177"/>
      <c r="I12" s="189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91"/>
    </row>
    <row r="13" spans="1:30" s="10" customFormat="1" ht="8.25" customHeight="1">
      <c r="A13" s="169"/>
      <c r="B13" s="175"/>
      <c r="C13" s="30"/>
      <c r="D13" s="30"/>
      <c r="E13" s="30"/>
      <c r="F13" s="123"/>
      <c r="G13" s="179"/>
      <c r="H13" s="179"/>
      <c r="I13" s="180"/>
      <c r="J13" s="178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8"/>
    </row>
    <row r="14" spans="1:30" s="121" customFormat="1" ht="19.5">
      <c r="A14" s="195"/>
      <c r="B14" s="87" t="str">
        <f>+'TOT-0511'!B14</f>
        <v>Desde el 01 al 31 de mayo de 2011</v>
      </c>
      <c r="C14" s="196"/>
      <c r="D14" s="196"/>
      <c r="E14" s="196"/>
      <c r="F14" s="196"/>
      <c r="G14" s="196"/>
      <c r="H14" s="196"/>
      <c r="I14" s="197"/>
      <c r="J14" s="196"/>
      <c r="K14" s="118"/>
      <c r="L14" s="118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8"/>
    </row>
    <row r="15" spans="1:30" s="95" customFormat="1" ht="8.25" customHeight="1">
      <c r="A15" s="91"/>
      <c r="B15" s="92"/>
      <c r="C15" s="91"/>
      <c r="D15" s="91"/>
      <c r="E15" s="91"/>
      <c r="F15" s="696"/>
      <c r="G15" s="697"/>
      <c r="H15" s="698"/>
      <c r="I15" s="91"/>
      <c r="K15" s="97"/>
      <c r="L15" s="98"/>
      <c r="M15" s="239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4"/>
    </row>
    <row r="16" spans="1:30" s="10" customFormat="1" ht="8.25" customHeight="1" thickBot="1">
      <c r="A16" s="169"/>
      <c r="B16" s="175"/>
      <c r="C16" s="30"/>
      <c r="D16" s="30"/>
      <c r="E16" s="30"/>
      <c r="F16" s="30"/>
      <c r="G16" s="30"/>
      <c r="H16" s="30"/>
      <c r="I16" s="74"/>
      <c r="J16" s="30"/>
      <c r="K16" s="186"/>
      <c r="L16" s="187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8"/>
    </row>
    <row r="17" spans="1:30" s="10" customFormat="1" ht="16.5" customHeight="1" thickBot="1" thickTop="1">
      <c r="A17" s="169"/>
      <c r="B17" s="175"/>
      <c r="C17" s="30"/>
      <c r="D17" s="30"/>
      <c r="E17" s="30"/>
      <c r="F17" s="199" t="s">
        <v>74</v>
      </c>
      <c r="G17" s="200"/>
      <c r="H17" s="201"/>
      <c r="I17" s="202">
        <v>0.243</v>
      </c>
      <c r="J17" s="169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8"/>
    </row>
    <row r="18" spans="1:30" s="10" customFormat="1" ht="16.5" customHeight="1" thickBot="1" thickTop="1">
      <c r="A18" s="169"/>
      <c r="B18" s="175"/>
      <c r="C18" s="30"/>
      <c r="D18" s="30"/>
      <c r="E18" s="30"/>
      <c r="F18" s="203" t="s">
        <v>75</v>
      </c>
      <c r="G18" s="204"/>
      <c r="H18" s="204"/>
      <c r="I18" s="205">
        <f>30*'TOT-0511'!B13</f>
        <v>30</v>
      </c>
      <c r="J18" s="30"/>
      <c r="K18" s="239" t="str">
        <f>IF(I18=30," ",IF(I18=60,"Coeficiente duplicado por tasa de falla &gt;4 Sal. x año/100 km.","REVISAR COEFICIENTE"))</f>
        <v> 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181"/>
      <c r="X18" s="181"/>
      <c r="Y18" s="181"/>
      <c r="Z18" s="181"/>
      <c r="AA18" s="181"/>
      <c r="AB18" s="181"/>
      <c r="AC18" s="181"/>
      <c r="AD18" s="38"/>
    </row>
    <row r="19" spans="1:30" s="95" customFormat="1" ht="8.25" customHeight="1" thickTop="1">
      <c r="A19" s="91"/>
      <c r="B19" s="92"/>
      <c r="C19" s="91"/>
      <c r="D19" s="91"/>
      <c r="E19" s="91"/>
      <c r="F19" s="696"/>
      <c r="G19" s="697"/>
      <c r="H19" s="698"/>
      <c r="I19" s="91"/>
      <c r="K19" s="97"/>
      <c r="L19" s="98"/>
      <c r="M19" s="239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4"/>
    </row>
    <row r="20" spans="1:30" s="732" customFormat="1" ht="15" customHeight="1" thickBot="1">
      <c r="A20" s="738"/>
      <c r="B20" s="739"/>
      <c r="C20" s="740">
        <v>3</v>
      </c>
      <c r="D20" s="740">
        <v>4</v>
      </c>
      <c r="E20" s="740">
        <v>5</v>
      </c>
      <c r="F20" s="740">
        <v>6</v>
      </c>
      <c r="G20" s="740">
        <v>7</v>
      </c>
      <c r="H20" s="740">
        <v>8</v>
      </c>
      <c r="I20" s="740">
        <v>9</v>
      </c>
      <c r="J20" s="740">
        <v>10</v>
      </c>
      <c r="K20" s="740">
        <v>11</v>
      </c>
      <c r="L20" s="740">
        <v>12</v>
      </c>
      <c r="M20" s="740">
        <v>13</v>
      </c>
      <c r="N20" s="740">
        <v>14</v>
      </c>
      <c r="O20" s="740">
        <v>15</v>
      </c>
      <c r="P20" s="740">
        <v>16</v>
      </c>
      <c r="Q20" s="740">
        <v>17</v>
      </c>
      <c r="R20" s="740">
        <v>18</v>
      </c>
      <c r="S20" s="740">
        <v>19</v>
      </c>
      <c r="T20" s="740">
        <v>20</v>
      </c>
      <c r="U20" s="740">
        <v>21</v>
      </c>
      <c r="V20" s="740">
        <v>22</v>
      </c>
      <c r="W20" s="740">
        <v>23</v>
      </c>
      <c r="X20" s="740">
        <v>24</v>
      </c>
      <c r="Y20" s="740">
        <v>25</v>
      </c>
      <c r="Z20" s="740">
        <v>26</v>
      </c>
      <c r="AA20" s="740">
        <v>27</v>
      </c>
      <c r="AB20" s="740">
        <v>28</v>
      </c>
      <c r="AC20" s="740">
        <v>29</v>
      </c>
      <c r="AD20" s="741"/>
    </row>
    <row r="21" spans="1:30" s="108" customFormat="1" ht="33.75" customHeight="1" thickBot="1" thickTop="1">
      <c r="A21" s="206"/>
      <c r="B21" s="207"/>
      <c r="C21" s="209" t="s">
        <v>52</v>
      </c>
      <c r="D21" s="101" t="s">
        <v>145</v>
      </c>
      <c r="E21" s="101" t="s">
        <v>144</v>
      </c>
      <c r="F21" s="214" t="s">
        <v>76</v>
      </c>
      <c r="G21" s="210" t="s">
        <v>19</v>
      </c>
      <c r="H21" s="211" t="s">
        <v>77</v>
      </c>
      <c r="I21" s="212" t="s">
        <v>53</v>
      </c>
      <c r="J21" s="269" t="s">
        <v>55</v>
      </c>
      <c r="K21" s="213" t="s">
        <v>78</v>
      </c>
      <c r="L21" s="213" t="s">
        <v>79</v>
      </c>
      <c r="M21" s="214" t="s">
        <v>80</v>
      </c>
      <c r="N21" s="214" t="s">
        <v>81</v>
      </c>
      <c r="O21" s="105" t="s">
        <v>60</v>
      </c>
      <c r="P21" s="215" t="s">
        <v>82</v>
      </c>
      <c r="Q21" s="214" t="s">
        <v>83</v>
      </c>
      <c r="R21" s="210" t="s">
        <v>84</v>
      </c>
      <c r="S21" s="339" t="s">
        <v>85</v>
      </c>
      <c r="T21" s="325" t="s">
        <v>62</v>
      </c>
      <c r="U21" s="349" t="s">
        <v>63</v>
      </c>
      <c r="V21" s="355" t="s">
        <v>86</v>
      </c>
      <c r="W21" s="356"/>
      <c r="X21" s="364" t="s">
        <v>86</v>
      </c>
      <c r="Y21" s="365"/>
      <c r="Z21" s="373" t="s">
        <v>66</v>
      </c>
      <c r="AA21" s="379" t="s">
        <v>67</v>
      </c>
      <c r="AB21" s="212" t="s">
        <v>68</v>
      </c>
      <c r="AC21" s="212" t="s">
        <v>69</v>
      </c>
      <c r="AD21" s="208"/>
    </row>
    <row r="22" spans="1:30" s="10" customFormat="1" ht="16.5" customHeight="1" thickTop="1">
      <c r="A22" s="169"/>
      <c r="B22" s="175"/>
      <c r="C22" s="18"/>
      <c r="D22" s="18"/>
      <c r="E22" s="18"/>
      <c r="F22" s="23"/>
      <c r="G22" s="23"/>
      <c r="H22" s="23"/>
      <c r="I22" s="23"/>
      <c r="J22" s="274"/>
      <c r="K22" s="24"/>
      <c r="L22" s="23"/>
      <c r="M22" s="24"/>
      <c r="N22" s="24"/>
      <c r="O22" s="23"/>
      <c r="P22" s="23"/>
      <c r="Q22" s="23"/>
      <c r="R22" s="23"/>
      <c r="S22" s="340"/>
      <c r="T22" s="344"/>
      <c r="U22" s="350"/>
      <c r="V22" s="357"/>
      <c r="W22" s="358"/>
      <c r="X22" s="366"/>
      <c r="Y22" s="367"/>
      <c r="Z22" s="374"/>
      <c r="AA22" s="380"/>
      <c r="AB22" s="23"/>
      <c r="AC22" s="62"/>
      <c r="AD22" s="38"/>
    </row>
    <row r="23" spans="1:30" s="10" customFormat="1" ht="16.5" customHeight="1">
      <c r="A23" s="169"/>
      <c r="B23" s="175"/>
      <c r="C23" s="18"/>
      <c r="D23" s="18"/>
      <c r="E23" s="18"/>
      <c r="F23" s="19"/>
      <c r="G23" s="19"/>
      <c r="H23" s="19"/>
      <c r="I23" s="19"/>
      <c r="J23" s="275"/>
      <c r="K23" s="20"/>
      <c r="L23" s="19"/>
      <c r="M23" s="20"/>
      <c r="N23" s="20"/>
      <c r="O23" s="19"/>
      <c r="P23" s="19"/>
      <c r="Q23" s="19"/>
      <c r="R23" s="19"/>
      <c r="S23" s="341"/>
      <c r="T23" s="345"/>
      <c r="U23" s="351"/>
      <c r="V23" s="359"/>
      <c r="W23" s="360"/>
      <c r="X23" s="368"/>
      <c r="Y23" s="369"/>
      <c r="Z23" s="375"/>
      <c r="AA23" s="381"/>
      <c r="AB23" s="19"/>
      <c r="AC23" s="217"/>
      <c r="AD23" s="38"/>
    </row>
    <row r="24" spans="1:30" s="10" customFormat="1" ht="16.5" customHeight="1">
      <c r="A24" s="169"/>
      <c r="B24" s="175"/>
      <c r="C24" s="650">
        <v>12</v>
      </c>
      <c r="D24" s="650">
        <v>234311</v>
      </c>
      <c r="E24" s="650">
        <v>1805</v>
      </c>
      <c r="F24" s="515" t="s">
        <v>173</v>
      </c>
      <c r="G24" s="514" t="s">
        <v>9</v>
      </c>
      <c r="H24" s="742">
        <v>15</v>
      </c>
      <c r="I24" s="701" t="s">
        <v>157</v>
      </c>
      <c r="J24" s="272">
        <f aca="true" t="shared" si="0" ref="J24:J43">H24*$I$17</f>
        <v>3.645</v>
      </c>
      <c r="K24" s="654">
        <v>40668.375</v>
      </c>
      <c r="L24" s="654">
        <v>40668.54791666667</v>
      </c>
      <c r="M24" s="26">
        <f aca="true" t="shared" si="1" ref="M24:M43">IF(F24="","",(L24-K24)*24)</f>
        <v>4.150000000081491</v>
      </c>
      <c r="N24" s="27">
        <f aca="true" t="shared" si="2" ref="N24:N43">IF(F24="","",ROUND((L24-K24)*24*60,0))</f>
        <v>249</v>
      </c>
      <c r="O24" s="655" t="s">
        <v>152</v>
      </c>
      <c r="P24" s="25" t="str">
        <f aca="true" t="shared" si="3" ref="P24:P43">IF(F24="","",IF(OR(O24="P",O24="RP"),"--","NO"))</f>
        <v>--</v>
      </c>
      <c r="Q24" s="721" t="str">
        <f aca="true" t="shared" si="4" ref="Q24:Q43">IF(F24="","","--")</f>
        <v>--</v>
      </c>
      <c r="R24" s="25" t="str">
        <f aca="true" t="shared" si="5" ref="R24:R43">IF(F24="","","NO")</f>
        <v>NO</v>
      </c>
      <c r="S24" s="342">
        <f aca="true" t="shared" si="6" ref="S24:S43">$I$18*IF(OR(O24="P",O24="RP"),0.1,1)*IF(R24="SI",1,0.1)</f>
        <v>0.30000000000000004</v>
      </c>
      <c r="T24" s="346">
        <f aca="true" t="shared" si="7" ref="T24:T43">IF(O24="P",J24*S24*ROUND(N24/60,2),"--")</f>
        <v>4.538025000000001</v>
      </c>
      <c r="U24" s="352" t="str">
        <f aca="true" t="shared" si="8" ref="U24:U43">IF(O24="RP",J24*S24*ROUND(N24/60,2)*Q24/100,"--")</f>
        <v>--</v>
      </c>
      <c r="V24" s="361" t="str">
        <f aca="true" t="shared" si="9" ref="V24:V43">IF(AND(O24="F",P24="NO"),J24*S24,"--")</f>
        <v>--</v>
      </c>
      <c r="W24" s="362" t="str">
        <f aca="true" t="shared" si="10" ref="W24:W43">IF(O24="F",J24*S24*ROUND(N24/60,2),"--")</f>
        <v>--</v>
      </c>
      <c r="X24" s="370" t="str">
        <f aca="true" t="shared" si="11" ref="X24:X43">IF(AND(O24="R",P24="NO"),J24*S24*Q24/100,"--")</f>
        <v>--</v>
      </c>
      <c r="Y24" s="371" t="str">
        <f aca="true" t="shared" si="12" ref="Y24:Y43">IF(O24="R",J24*S24*ROUND(N24/60,2)*Q24/100,"--")</f>
        <v>--</v>
      </c>
      <c r="Z24" s="376" t="str">
        <f aca="true" t="shared" si="13" ref="Z24:Z43">IF(O24="RF",J24*S24*ROUND(N24/60,2),"--")</f>
        <v>--</v>
      </c>
      <c r="AA24" s="382" t="str">
        <f aca="true" t="shared" si="14" ref="AA24:AA43">IF(O24="RR",J24*S24*ROUND(N24/60,2)*Q24/100,"--")</f>
        <v>--</v>
      </c>
      <c r="AB24" s="25" t="s">
        <v>153</v>
      </c>
      <c r="AC24" s="63">
        <f aca="true" t="shared" si="15" ref="AC24:AC43">IF(F24="","",SUM(T24:AA24)*IF(AB24="SI",1,2))</f>
        <v>4.538025000000001</v>
      </c>
      <c r="AD24" s="409"/>
    </row>
    <row r="25" spans="1:30" s="10" customFormat="1" ht="16.5" customHeight="1">
      <c r="A25" s="169"/>
      <c r="B25" s="175"/>
      <c r="C25" s="650">
        <v>13</v>
      </c>
      <c r="D25" s="650">
        <v>234801</v>
      </c>
      <c r="E25" s="650">
        <v>4970</v>
      </c>
      <c r="F25" s="515" t="s">
        <v>173</v>
      </c>
      <c r="G25" s="514" t="s">
        <v>10</v>
      </c>
      <c r="H25" s="742">
        <v>15</v>
      </c>
      <c r="I25" s="701" t="s">
        <v>157</v>
      </c>
      <c r="J25" s="272">
        <f>H25*$I$17</f>
        <v>3.645</v>
      </c>
      <c r="K25" s="654">
        <v>40682.38125</v>
      </c>
      <c r="L25" s="654">
        <v>40682.57916666667</v>
      </c>
      <c r="M25" s="26">
        <f>IF(F25="","",(L25-K25)*24)</f>
        <v>4.750000000116415</v>
      </c>
      <c r="N25" s="27">
        <f>IF(F25="","",ROUND((L25-K25)*24*60,0))</f>
        <v>285</v>
      </c>
      <c r="O25" s="655" t="s">
        <v>152</v>
      </c>
      <c r="P25" s="25" t="str">
        <f>IF(F25="","",IF(OR(O25="P",O25="RP"),"--","NO"))</f>
        <v>--</v>
      </c>
      <c r="Q25" s="721" t="str">
        <f>IF(F25="","","--")</f>
        <v>--</v>
      </c>
      <c r="R25" s="25" t="str">
        <f>IF(F25="","","NO")</f>
        <v>NO</v>
      </c>
      <c r="S25" s="342">
        <f>$I$18*IF(OR(O25="P",O25="RP"),0.1,1)*IF(R25="SI",1,0.1)</f>
        <v>0.30000000000000004</v>
      </c>
      <c r="T25" s="346">
        <f>IF(O25="P",J25*S25*ROUND(N25/60,2),"--")</f>
        <v>5.1941250000000005</v>
      </c>
      <c r="U25" s="352" t="str">
        <f>IF(O25="RP",J25*S25*ROUND(N25/60,2)*Q25/100,"--")</f>
        <v>--</v>
      </c>
      <c r="V25" s="361" t="str">
        <f>IF(AND(O25="F",P25="NO"),J25*S25,"--")</f>
        <v>--</v>
      </c>
      <c r="W25" s="362" t="str">
        <f>IF(O25="F",J25*S25*ROUND(N25/60,2),"--")</f>
        <v>--</v>
      </c>
      <c r="X25" s="370" t="str">
        <f>IF(AND(O25="R",P25="NO"),J25*S25*Q25/100,"--")</f>
        <v>--</v>
      </c>
      <c r="Y25" s="371" t="str">
        <f>IF(O25="R",J25*S25*ROUND(N25/60,2)*Q25/100,"--")</f>
        <v>--</v>
      </c>
      <c r="Z25" s="376" t="str">
        <f>IF(O25="RF",J25*S25*ROUND(N25/60,2),"--")</f>
        <v>--</v>
      </c>
      <c r="AA25" s="382" t="str">
        <f>IF(O25="RR",J25*S25*ROUND(N25/60,2)*Q25/100,"--")</f>
        <v>--</v>
      </c>
      <c r="AB25" s="25" t="s">
        <v>153</v>
      </c>
      <c r="AC25" s="63">
        <f>IF(F25="","",SUM(T25:AA25)*IF(AB25="SI",1,2))</f>
        <v>5.1941250000000005</v>
      </c>
      <c r="AD25" s="409"/>
    </row>
    <row r="26" spans="1:30" s="10" customFormat="1" ht="16.5" customHeight="1">
      <c r="A26" s="169"/>
      <c r="B26" s="175"/>
      <c r="C26" s="650"/>
      <c r="D26" s="650"/>
      <c r="E26" s="650"/>
      <c r="F26" s="515"/>
      <c r="G26" s="514"/>
      <c r="H26" s="651"/>
      <c r="I26" s="652"/>
      <c r="J26" s="272">
        <f t="shared" si="0"/>
        <v>0</v>
      </c>
      <c r="K26" s="654"/>
      <c r="L26" s="654"/>
      <c r="M26" s="26">
        <f t="shared" si="1"/>
      </c>
      <c r="N26" s="27">
        <f t="shared" si="2"/>
      </c>
      <c r="O26" s="655"/>
      <c r="P26" s="25">
        <f t="shared" si="3"/>
      </c>
      <c r="Q26" s="721">
        <f t="shared" si="4"/>
      </c>
      <c r="R26" s="25">
        <f t="shared" si="5"/>
      </c>
      <c r="S26" s="342">
        <f t="shared" si="6"/>
        <v>3</v>
      </c>
      <c r="T26" s="346" t="str">
        <f t="shared" si="7"/>
        <v>--</v>
      </c>
      <c r="U26" s="352" t="str">
        <f t="shared" si="8"/>
        <v>--</v>
      </c>
      <c r="V26" s="361" t="str">
        <f t="shared" si="9"/>
        <v>--</v>
      </c>
      <c r="W26" s="362" t="str">
        <f t="shared" si="10"/>
        <v>--</v>
      </c>
      <c r="X26" s="370" t="str">
        <f t="shared" si="11"/>
        <v>--</v>
      </c>
      <c r="Y26" s="371" t="str">
        <f t="shared" si="12"/>
        <v>--</v>
      </c>
      <c r="Z26" s="376" t="str">
        <f t="shared" si="13"/>
        <v>--</v>
      </c>
      <c r="AA26" s="382" t="str">
        <f t="shared" si="14"/>
        <v>--</v>
      </c>
      <c r="AB26" s="25">
        <f aca="true" t="shared" si="16" ref="AB26:AB43">IF(F26="","","SI")</f>
      </c>
      <c r="AC26" s="63">
        <f t="shared" si="15"/>
      </c>
      <c r="AD26" s="409"/>
    </row>
    <row r="27" spans="1:30" s="10" customFormat="1" ht="16.5" customHeight="1">
      <c r="A27" s="169"/>
      <c r="B27" s="175"/>
      <c r="C27" s="650"/>
      <c r="D27" s="650"/>
      <c r="E27" s="650"/>
      <c r="F27" s="515"/>
      <c r="G27" s="514"/>
      <c r="H27" s="651"/>
      <c r="I27" s="652"/>
      <c r="J27" s="272">
        <f t="shared" si="0"/>
        <v>0</v>
      </c>
      <c r="K27" s="654"/>
      <c r="L27" s="654"/>
      <c r="M27" s="26">
        <f t="shared" si="1"/>
      </c>
      <c r="N27" s="27">
        <f t="shared" si="2"/>
      </c>
      <c r="O27" s="655"/>
      <c r="P27" s="25">
        <f t="shared" si="3"/>
      </c>
      <c r="Q27" s="721">
        <f t="shared" si="4"/>
      </c>
      <c r="R27" s="25">
        <f t="shared" si="5"/>
      </c>
      <c r="S27" s="342">
        <f t="shared" si="6"/>
        <v>3</v>
      </c>
      <c r="T27" s="346" t="str">
        <f t="shared" si="7"/>
        <v>--</v>
      </c>
      <c r="U27" s="352" t="str">
        <f t="shared" si="8"/>
        <v>--</v>
      </c>
      <c r="V27" s="361" t="str">
        <f t="shared" si="9"/>
        <v>--</v>
      </c>
      <c r="W27" s="362" t="str">
        <f t="shared" si="10"/>
        <v>--</v>
      </c>
      <c r="X27" s="370" t="str">
        <f t="shared" si="11"/>
        <v>--</v>
      </c>
      <c r="Y27" s="371" t="str">
        <f t="shared" si="12"/>
        <v>--</v>
      </c>
      <c r="Z27" s="376" t="str">
        <f t="shared" si="13"/>
        <v>--</v>
      </c>
      <c r="AA27" s="382" t="str">
        <f t="shared" si="14"/>
        <v>--</v>
      </c>
      <c r="AB27" s="25">
        <f t="shared" si="16"/>
      </c>
      <c r="AC27" s="63">
        <f t="shared" si="15"/>
      </c>
      <c r="AD27" s="409"/>
    </row>
    <row r="28" spans="1:30" s="10" customFormat="1" ht="16.5" customHeight="1">
      <c r="A28" s="169"/>
      <c r="B28" s="175"/>
      <c r="C28" s="650"/>
      <c r="D28" s="650"/>
      <c r="E28" s="650"/>
      <c r="F28" s="515"/>
      <c r="G28" s="514"/>
      <c r="H28" s="651"/>
      <c r="I28" s="652"/>
      <c r="J28" s="272">
        <f t="shared" si="0"/>
        <v>0</v>
      </c>
      <c r="K28" s="654"/>
      <c r="L28" s="654"/>
      <c r="M28" s="26">
        <f t="shared" si="1"/>
      </c>
      <c r="N28" s="27">
        <f t="shared" si="2"/>
      </c>
      <c r="O28" s="655"/>
      <c r="P28" s="25">
        <f t="shared" si="3"/>
      </c>
      <c r="Q28" s="721">
        <f t="shared" si="4"/>
      </c>
      <c r="R28" s="25">
        <f t="shared" si="5"/>
      </c>
      <c r="S28" s="342">
        <f t="shared" si="6"/>
        <v>3</v>
      </c>
      <c r="T28" s="346" t="str">
        <f t="shared" si="7"/>
        <v>--</v>
      </c>
      <c r="U28" s="352" t="str">
        <f t="shared" si="8"/>
        <v>--</v>
      </c>
      <c r="V28" s="361" t="str">
        <f t="shared" si="9"/>
        <v>--</v>
      </c>
      <c r="W28" s="362" t="str">
        <f t="shared" si="10"/>
        <v>--</v>
      </c>
      <c r="X28" s="370" t="str">
        <f t="shared" si="11"/>
        <v>--</v>
      </c>
      <c r="Y28" s="371" t="str">
        <f t="shared" si="12"/>
        <v>--</v>
      </c>
      <c r="Z28" s="376" t="str">
        <f t="shared" si="13"/>
        <v>--</v>
      </c>
      <c r="AA28" s="382" t="str">
        <f t="shared" si="14"/>
        <v>--</v>
      </c>
      <c r="AB28" s="25">
        <f t="shared" si="16"/>
      </c>
      <c r="AC28" s="63">
        <f t="shared" si="15"/>
      </c>
      <c r="AD28" s="409"/>
    </row>
    <row r="29" spans="1:30" s="10" customFormat="1" ht="16.5" customHeight="1">
      <c r="A29" s="169"/>
      <c r="B29" s="175"/>
      <c r="C29" s="650"/>
      <c r="D29" s="650"/>
      <c r="E29" s="650"/>
      <c r="F29" s="515"/>
      <c r="G29" s="514"/>
      <c r="H29" s="651"/>
      <c r="I29" s="652"/>
      <c r="J29" s="272">
        <f t="shared" si="0"/>
        <v>0</v>
      </c>
      <c r="K29" s="654"/>
      <c r="L29" s="654"/>
      <c r="M29" s="26">
        <f t="shared" si="1"/>
      </c>
      <c r="N29" s="27">
        <f t="shared" si="2"/>
      </c>
      <c r="O29" s="655"/>
      <c r="P29" s="25">
        <f t="shared" si="3"/>
      </c>
      <c r="Q29" s="721">
        <f t="shared" si="4"/>
      </c>
      <c r="R29" s="25">
        <f t="shared" si="5"/>
      </c>
      <c r="S29" s="342">
        <f t="shared" si="6"/>
        <v>3</v>
      </c>
      <c r="T29" s="346" t="str">
        <f t="shared" si="7"/>
        <v>--</v>
      </c>
      <c r="U29" s="352" t="str">
        <f t="shared" si="8"/>
        <v>--</v>
      </c>
      <c r="V29" s="361" t="str">
        <f t="shared" si="9"/>
        <v>--</v>
      </c>
      <c r="W29" s="362" t="str">
        <f t="shared" si="10"/>
        <v>--</v>
      </c>
      <c r="X29" s="370" t="str">
        <f t="shared" si="11"/>
        <v>--</v>
      </c>
      <c r="Y29" s="371" t="str">
        <f t="shared" si="12"/>
        <v>--</v>
      </c>
      <c r="Z29" s="376" t="str">
        <f t="shared" si="13"/>
        <v>--</v>
      </c>
      <c r="AA29" s="382" t="str">
        <f t="shared" si="14"/>
        <v>--</v>
      </c>
      <c r="AB29" s="25">
        <f t="shared" si="16"/>
      </c>
      <c r="AC29" s="63">
        <f t="shared" si="15"/>
      </c>
      <c r="AD29" s="409"/>
    </row>
    <row r="30" spans="1:30" s="10" customFormat="1" ht="16.5" customHeight="1">
      <c r="A30" s="169"/>
      <c r="B30" s="175"/>
      <c r="C30" s="650"/>
      <c r="D30" s="650"/>
      <c r="E30" s="650"/>
      <c r="F30" s="515"/>
      <c r="G30" s="514"/>
      <c r="H30" s="651"/>
      <c r="I30" s="652"/>
      <c r="J30" s="272">
        <f t="shared" si="0"/>
        <v>0</v>
      </c>
      <c r="K30" s="654"/>
      <c r="L30" s="654"/>
      <c r="M30" s="26">
        <f t="shared" si="1"/>
      </c>
      <c r="N30" s="27">
        <f t="shared" si="2"/>
      </c>
      <c r="O30" s="655"/>
      <c r="P30" s="25">
        <f t="shared" si="3"/>
      </c>
      <c r="Q30" s="721">
        <f t="shared" si="4"/>
      </c>
      <c r="R30" s="25">
        <f t="shared" si="5"/>
      </c>
      <c r="S30" s="342">
        <f t="shared" si="6"/>
        <v>3</v>
      </c>
      <c r="T30" s="346" t="str">
        <f t="shared" si="7"/>
        <v>--</v>
      </c>
      <c r="U30" s="352" t="str">
        <f t="shared" si="8"/>
        <v>--</v>
      </c>
      <c r="V30" s="361" t="str">
        <f t="shared" si="9"/>
        <v>--</v>
      </c>
      <c r="W30" s="362" t="str">
        <f t="shared" si="10"/>
        <v>--</v>
      </c>
      <c r="X30" s="370" t="str">
        <f t="shared" si="11"/>
        <v>--</v>
      </c>
      <c r="Y30" s="371" t="str">
        <f t="shared" si="12"/>
        <v>--</v>
      </c>
      <c r="Z30" s="376" t="str">
        <f t="shared" si="13"/>
        <v>--</v>
      </c>
      <c r="AA30" s="382" t="str">
        <f t="shared" si="14"/>
        <v>--</v>
      </c>
      <c r="AB30" s="25">
        <f t="shared" si="16"/>
      </c>
      <c r="AC30" s="63">
        <f t="shared" si="15"/>
      </c>
      <c r="AD30" s="38"/>
    </row>
    <row r="31" spans="1:30" s="10" customFormat="1" ht="16.5" customHeight="1">
      <c r="A31" s="169"/>
      <c r="B31" s="175"/>
      <c r="C31" s="650"/>
      <c r="D31" s="650"/>
      <c r="E31" s="650"/>
      <c r="F31" s="515"/>
      <c r="G31" s="514"/>
      <c r="H31" s="651"/>
      <c r="I31" s="652"/>
      <c r="J31" s="272">
        <f t="shared" si="0"/>
        <v>0</v>
      </c>
      <c r="K31" s="654"/>
      <c r="L31" s="654"/>
      <c r="M31" s="26">
        <f t="shared" si="1"/>
      </c>
      <c r="N31" s="27">
        <f t="shared" si="2"/>
      </c>
      <c r="O31" s="655"/>
      <c r="P31" s="25">
        <f t="shared" si="3"/>
      </c>
      <c r="Q31" s="721">
        <f t="shared" si="4"/>
      </c>
      <c r="R31" s="25">
        <f t="shared" si="5"/>
      </c>
      <c r="S31" s="342">
        <f t="shared" si="6"/>
        <v>3</v>
      </c>
      <c r="T31" s="346" t="str">
        <f t="shared" si="7"/>
        <v>--</v>
      </c>
      <c r="U31" s="352" t="str">
        <f t="shared" si="8"/>
        <v>--</v>
      </c>
      <c r="V31" s="361" t="str">
        <f t="shared" si="9"/>
        <v>--</v>
      </c>
      <c r="W31" s="362" t="str">
        <f t="shared" si="10"/>
        <v>--</v>
      </c>
      <c r="X31" s="370" t="str">
        <f t="shared" si="11"/>
        <v>--</v>
      </c>
      <c r="Y31" s="371" t="str">
        <f t="shared" si="12"/>
        <v>--</v>
      </c>
      <c r="Z31" s="376" t="str">
        <f t="shared" si="13"/>
        <v>--</v>
      </c>
      <c r="AA31" s="382" t="str">
        <f t="shared" si="14"/>
        <v>--</v>
      </c>
      <c r="AB31" s="25">
        <f t="shared" si="16"/>
      </c>
      <c r="AC31" s="63">
        <f t="shared" si="15"/>
      </c>
      <c r="AD31" s="38"/>
    </row>
    <row r="32" spans="1:30" s="10" customFormat="1" ht="16.5" customHeight="1">
      <c r="A32" s="169"/>
      <c r="B32" s="175"/>
      <c r="C32" s="650"/>
      <c r="D32" s="650"/>
      <c r="E32" s="650"/>
      <c r="F32" s="515"/>
      <c r="G32" s="514"/>
      <c r="H32" s="651"/>
      <c r="I32" s="652"/>
      <c r="J32" s="272">
        <f t="shared" si="0"/>
        <v>0</v>
      </c>
      <c r="K32" s="654"/>
      <c r="L32" s="654"/>
      <c r="M32" s="26">
        <f t="shared" si="1"/>
      </c>
      <c r="N32" s="27">
        <f t="shared" si="2"/>
      </c>
      <c r="O32" s="655"/>
      <c r="P32" s="25">
        <f t="shared" si="3"/>
      </c>
      <c r="Q32" s="721">
        <f t="shared" si="4"/>
      </c>
      <c r="R32" s="25">
        <f t="shared" si="5"/>
      </c>
      <c r="S32" s="342">
        <f t="shared" si="6"/>
        <v>3</v>
      </c>
      <c r="T32" s="346" t="str">
        <f t="shared" si="7"/>
        <v>--</v>
      </c>
      <c r="U32" s="352" t="str">
        <f t="shared" si="8"/>
        <v>--</v>
      </c>
      <c r="V32" s="361" t="str">
        <f t="shared" si="9"/>
        <v>--</v>
      </c>
      <c r="W32" s="362" t="str">
        <f t="shared" si="10"/>
        <v>--</v>
      </c>
      <c r="X32" s="370" t="str">
        <f t="shared" si="11"/>
        <v>--</v>
      </c>
      <c r="Y32" s="371" t="str">
        <f t="shared" si="12"/>
        <v>--</v>
      </c>
      <c r="Z32" s="376" t="str">
        <f t="shared" si="13"/>
        <v>--</v>
      </c>
      <c r="AA32" s="382" t="str">
        <f t="shared" si="14"/>
        <v>--</v>
      </c>
      <c r="AB32" s="25">
        <f t="shared" si="16"/>
      </c>
      <c r="AC32" s="63">
        <f t="shared" si="15"/>
      </c>
      <c r="AD32" s="38"/>
    </row>
    <row r="33" spans="1:30" s="10" customFormat="1" ht="16.5" customHeight="1">
      <c r="A33" s="169"/>
      <c r="B33" s="175"/>
      <c r="C33" s="650"/>
      <c r="D33" s="650"/>
      <c r="E33" s="650"/>
      <c r="F33" s="515"/>
      <c r="G33" s="514"/>
      <c r="H33" s="651"/>
      <c r="I33" s="652"/>
      <c r="J33" s="272">
        <f t="shared" si="0"/>
        <v>0</v>
      </c>
      <c r="K33" s="654"/>
      <c r="L33" s="654"/>
      <c r="M33" s="26">
        <f t="shared" si="1"/>
      </c>
      <c r="N33" s="27">
        <f t="shared" si="2"/>
      </c>
      <c r="O33" s="655"/>
      <c r="P33" s="25">
        <f t="shared" si="3"/>
      </c>
      <c r="Q33" s="721">
        <f t="shared" si="4"/>
      </c>
      <c r="R33" s="25">
        <f t="shared" si="5"/>
      </c>
      <c r="S33" s="342">
        <f t="shared" si="6"/>
        <v>3</v>
      </c>
      <c r="T33" s="346" t="str">
        <f t="shared" si="7"/>
        <v>--</v>
      </c>
      <c r="U33" s="352" t="str">
        <f t="shared" si="8"/>
        <v>--</v>
      </c>
      <c r="V33" s="361" t="str">
        <f t="shared" si="9"/>
        <v>--</v>
      </c>
      <c r="W33" s="362" t="str">
        <f t="shared" si="10"/>
        <v>--</v>
      </c>
      <c r="X33" s="370" t="str">
        <f t="shared" si="11"/>
        <v>--</v>
      </c>
      <c r="Y33" s="371" t="str">
        <f t="shared" si="12"/>
        <v>--</v>
      </c>
      <c r="Z33" s="376" t="str">
        <f t="shared" si="13"/>
        <v>--</v>
      </c>
      <c r="AA33" s="382" t="str">
        <f t="shared" si="14"/>
        <v>--</v>
      </c>
      <c r="AB33" s="25">
        <f t="shared" si="16"/>
      </c>
      <c r="AC33" s="63">
        <f t="shared" si="15"/>
      </c>
      <c r="AD33" s="38"/>
    </row>
    <row r="34" spans="1:30" s="10" customFormat="1" ht="16.5" customHeight="1">
      <c r="A34" s="169"/>
      <c r="B34" s="175"/>
      <c r="C34" s="650"/>
      <c r="D34" s="650"/>
      <c r="E34" s="650"/>
      <c r="F34" s="515"/>
      <c r="G34" s="514"/>
      <c r="H34" s="651"/>
      <c r="I34" s="652"/>
      <c r="J34" s="272">
        <f t="shared" si="0"/>
        <v>0</v>
      </c>
      <c r="K34" s="654"/>
      <c r="L34" s="654"/>
      <c r="M34" s="26">
        <f t="shared" si="1"/>
      </c>
      <c r="N34" s="27">
        <f t="shared" si="2"/>
      </c>
      <c r="O34" s="655"/>
      <c r="P34" s="25">
        <f t="shared" si="3"/>
      </c>
      <c r="Q34" s="721">
        <f t="shared" si="4"/>
      </c>
      <c r="R34" s="25">
        <f t="shared" si="5"/>
      </c>
      <c r="S34" s="342">
        <f t="shared" si="6"/>
        <v>3</v>
      </c>
      <c r="T34" s="346" t="str">
        <f t="shared" si="7"/>
        <v>--</v>
      </c>
      <c r="U34" s="352" t="str">
        <f t="shared" si="8"/>
        <v>--</v>
      </c>
      <c r="V34" s="361" t="str">
        <f t="shared" si="9"/>
        <v>--</v>
      </c>
      <c r="W34" s="362" t="str">
        <f t="shared" si="10"/>
        <v>--</v>
      </c>
      <c r="X34" s="370" t="str">
        <f t="shared" si="11"/>
        <v>--</v>
      </c>
      <c r="Y34" s="371" t="str">
        <f t="shared" si="12"/>
        <v>--</v>
      </c>
      <c r="Z34" s="376" t="str">
        <f t="shared" si="13"/>
        <v>--</v>
      </c>
      <c r="AA34" s="382" t="str">
        <f t="shared" si="14"/>
        <v>--</v>
      </c>
      <c r="AB34" s="25">
        <f t="shared" si="16"/>
      </c>
      <c r="AC34" s="63">
        <f t="shared" si="15"/>
      </c>
      <c r="AD34" s="38"/>
    </row>
    <row r="35" spans="1:30" s="10" customFormat="1" ht="16.5" customHeight="1">
      <c r="A35" s="169"/>
      <c r="B35" s="175"/>
      <c r="C35" s="650"/>
      <c r="D35" s="650"/>
      <c r="E35" s="650"/>
      <c r="F35" s="515"/>
      <c r="G35" s="514"/>
      <c r="H35" s="651"/>
      <c r="I35" s="652"/>
      <c r="J35" s="272">
        <f t="shared" si="0"/>
        <v>0</v>
      </c>
      <c r="K35" s="654"/>
      <c r="L35" s="654"/>
      <c r="M35" s="26">
        <f t="shared" si="1"/>
      </c>
      <c r="N35" s="27">
        <f t="shared" si="2"/>
      </c>
      <c r="O35" s="655"/>
      <c r="P35" s="25">
        <f t="shared" si="3"/>
      </c>
      <c r="Q35" s="721">
        <f t="shared" si="4"/>
      </c>
      <c r="R35" s="25">
        <f t="shared" si="5"/>
      </c>
      <c r="S35" s="342">
        <f t="shared" si="6"/>
        <v>3</v>
      </c>
      <c r="T35" s="346" t="str">
        <f t="shared" si="7"/>
        <v>--</v>
      </c>
      <c r="U35" s="352" t="str">
        <f t="shared" si="8"/>
        <v>--</v>
      </c>
      <c r="V35" s="361" t="str">
        <f t="shared" si="9"/>
        <v>--</v>
      </c>
      <c r="W35" s="362" t="str">
        <f t="shared" si="10"/>
        <v>--</v>
      </c>
      <c r="X35" s="370" t="str">
        <f t="shared" si="11"/>
        <v>--</v>
      </c>
      <c r="Y35" s="371" t="str">
        <f t="shared" si="12"/>
        <v>--</v>
      </c>
      <c r="Z35" s="376" t="str">
        <f t="shared" si="13"/>
        <v>--</v>
      </c>
      <c r="AA35" s="382" t="str">
        <f t="shared" si="14"/>
        <v>--</v>
      </c>
      <c r="AB35" s="25">
        <f t="shared" si="16"/>
      </c>
      <c r="AC35" s="63">
        <f t="shared" si="15"/>
      </c>
      <c r="AD35" s="38"/>
    </row>
    <row r="36" spans="1:30" s="10" customFormat="1" ht="16.5" customHeight="1">
      <c r="A36" s="169"/>
      <c r="B36" s="175"/>
      <c r="C36" s="650"/>
      <c r="D36" s="650"/>
      <c r="E36" s="650"/>
      <c r="F36" s="515"/>
      <c r="G36" s="514"/>
      <c r="H36" s="651"/>
      <c r="I36" s="652"/>
      <c r="J36" s="272">
        <f t="shared" si="0"/>
        <v>0</v>
      </c>
      <c r="K36" s="654"/>
      <c r="L36" s="654"/>
      <c r="M36" s="26">
        <f t="shared" si="1"/>
      </c>
      <c r="N36" s="27">
        <f t="shared" si="2"/>
      </c>
      <c r="O36" s="655"/>
      <c r="P36" s="25">
        <f t="shared" si="3"/>
      </c>
      <c r="Q36" s="721">
        <f t="shared" si="4"/>
      </c>
      <c r="R36" s="25">
        <f t="shared" si="5"/>
      </c>
      <c r="S36" s="342">
        <f t="shared" si="6"/>
        <v>3</v>
      </c>
      <c r="T36" s="346" t="str">
        <f t="shared" si="7"/>
        <v>--</v>
      </c>
      <c r="U36" s="352" t="str">
        <f t="shared" si="8"/>
        <v>--</v>
      </c>
      <c r="V36" s="361" t="str">
        <f t="shared" si="9"/>
        <v>--</v>
      </c>
      <c r="W36" s="362" t="str">
        <f t="shared" si="10"/>
        <v>--</v>
      </c>
      <c r="X36" s="370" t="str">
        <f t="shared" si="11"/>
        <v>--</v>
      </c>
      <c r="Y36" s="371" t="str">
        <f t="shared" si="12"/>
        <v>--</v>
      </c>
      <c r="Z36" s="376" t="str">
        <f t="shared" si="13"/>
        <v>--</v>
      </c>
      <c r="AA36" s="382" t="str">
        <f t="shared" si="14"/>
        <v>--</v>
      </c>
      <c r="AB36" s="25">
        <f t="shared" si="16"/>
      </c>
      <c r="AC36" s="63">
        <f t="shared" si="15"/>
      </c>
      <c r="AD36" s="38"/>
    </row>
    <row r="37" spans="1:30" s="10" customFormat="1" ht="16.5" customHeight="1">
      <c r="A37" s="169"/>
      <c r="B37" s="175"/>
      <c r="C37" s="650"/>
      <c r="D37" s="650"/>
      <c r="E37" s="650"/>
      <c r="F37" s="515"/>
      <c r="G37" s="514"/>
      <c r="H37" s="651"/>
      <c r="I37" s="652"/>
      <c r="J37" s="272">
        <f t="shared" si="0"/>
        <v>0</v>
      </c>
      <c r="K37" s="654"/>
      <c r="L37" s="654"/>
      <c r="M37" s="26">
        <f t="shared" si="1"/>
      </c>
      <c r="N37" s="27">
        <f t="shared" si="2"/>
      </c>
      <c r="O37" s="655"/>
      <c r="P37" s="25">
        <f t="shared" si="3"/>
      </c>
      <c r="Q37" s="721">
        <f t="shared" si="4"/>
      </c>
      <c r="R37" s="25">
        <f t="shared" si="5"/>
      </c>
      <c r="S37" s="342">
        <f t="shared" si="6"/>
        <v>3</v>
      </c>
      <c r="T37" s="346" t="str">
        <f t="shared" si="7"/>
        <v>--</v>
      </c>
      <c r="U37" s="352" t="str">
        <f t="shared" si="8"/>
        <v>--</v>
      </c>
      <c r="V37" s="361" t="str">
        <f t="shared" si="9"/>
        <v>--</v>
      </c>
      <c r="W37" s="362" t="str">
        <f t="shared" si="10"/>
        <v>--</v>
      </c>
      <c r="X37" s="370" t="str">
        <f t="shared" si="11"/>
        <v>--</v>
      </c>
      <c r="Y37" s="371" t="str">
        <f t="shared" si="12"/>
        <v>--</v>
      </c>
      <c r="Z37" s="376" t="str">
        <f t="shared" si="13"/>
        <v>--</v>
      </c>
      <c r="AA37" s="382" t="str">
        <f t="shared" si="14"/>
        <v>--</v>
      </c>
      <c r="AB37" s="25">
        <f t="shared" si="16"/>
      </c>
      <c r="AC37" s="63">
        <f t="shared" si="15"/>
      </c>
      <c r="AD37" s="38"/>
    </row>
    <row r="38" spans="1:30" s="10" customFormat="1" ht="16.5" customHeight="1">
      <c r="A38" s="169"/>
      <c r="B38" s="175"/>
      <c r="C38" s="650"/>
      <c r="D38" s="650"/>
      <c r="E38" s="650"/>
      <c r="F38" s="515"/>
      <c r="G38" s="514"/>
      <c r="H38" s="651"/>
      <c r="I38" s="652"/>
      <c r="J38" s="272">
        <f t="shared" si="0"/>
        <v>0</v>
      </c>
      <c r="K38" s="654"/>
      <c r="L38" s="654"/>
      <c r="M38" s="26">
        <f t="shared" si="1"/>
      </c>
      <c r="N38" s="27">
        <f t="shared" si="2"/>
      </c>
      <c r="O38" s="655"/>
      <c r="P38" s="25">
        <f t="shared" si="3"/>
      </c>
      <c r="Q38" s="721">
        <f t="shared" si="4"/>
      </c>
      <c r="R38" s="25">
        <f t="shared" si="5"/>
      </c>
      <c r="S38" s="342">
        <f t="shared" si="6"/>
        <v>3</v>
      </c>
      <c r="T38" s="346" t="str">
        <f t="shared" si="7"/>
        <v>--</v>
      </c>
      <c r="U38" s="352" t="str">
        <f t="shared" si="8"/>
        <v>--</v>
      </c>
      <c r="V38" s="361" t="str">
        <f t="shared" si="9"/>
        <v>--</v>
      </c>
      <c r="W38" s="362" t="str">
        <f t="shared" si="10"/>
        <v>--</v>
      </c>
      <c r="X38" s="370" t="str">
        <f t="shared" si="11"/>
        <v>--</v>
      </c>
      <c r="Y38" s="371" t="str">
        <f t="shared" si="12"/>
        <v>--</v>
      </c>
      <c r="Z38" s="376" t="str">
        <f t="shared" si="13"/>
        <v>--</v>
      </c>
      <c r="AA38" s="382" t="str">
        <f t="shared" si="14"/>
        <v>--</v>
      </c>
      <c r="AB38" s="25">
        <f t="shared" si="16"/>
      </c>
      <c r="AC38" s="63">
        <f t="shared" si="15"/>
      </c>
      <c r="AD38" s="38"/>
    </row>
    <row r="39" spans="1:30" s="10" customFormat="1" ht="16.5" customHeight="1">
      <c r="A39" s="169"/>
      <c r="B39" s="175"/>
      <c r="C39" s="650"/>
      <c r="D39" s="650"/>
      <c r="E39" s="650"/>
      <c r="F39" s="515"/>
      <c r="G39" s="514"/>
      <c r="H39" s="651"/>
      <c r="I39" s="652"/>
      <c r="J39" s="272">
        <f t="shared" si="0"/>
        <v>0</v>
      </c>
      <c r="K39" s="654"/>
      <c r="L39" s="654"/>
      <c r="M39" s="26">
        <f t="shared" si="1"/>
      </c>
      <c r="N39" s="27">
        <f t="shared" si="2"/>
      </c>
      <c r="O39" s="655"/>
      <c r="P39" s="25">
        <f t="shared" si="3"/>
      </c>
      <c r="Q39" s="721">
        <f t="shared" si="4"/>
      </c>
      <c r="R39" s="25">
        <f t="shared" si="5"/>
      </c>
      <c r="S39" s="342">
        <f t="shared" si="6"/>
        <v>3</v>
      </c>
      <c r="T39" s="346" t="str">
        <f t="shared" si="7"/>
        <v>--</v>
      </c>
      <c r="U39" s="352" t="str">
        <f t="shared" si="8"/>
        <v>--</v>
      </c>
      <c r="V39" s="361" t="str">
        <f t="shared" si="9"/>
        <v>--</v>
      </c>
      <c r="W39" s="362" t="str">
        <f t="shared" si="10"/>
        <v>--</v>
      </c>
      <c r="X39" s="370" t="str">
        <f t="shared" si="11"/>
        <v>--</v>
      </c>
      <c r="Y39" s="371" t="str">
        <f t="shared" si="12"/>
        <v>--</v>
      </c>
      <c r="Z39" s="376" t="str">
        <f t="shared" si="13"/>
        <v>--</v>
      </c>
      <c r="AA39" s="382" t="str">
        <f t="shared" si="14"/>
        <v>--</v>
      </c>
      <c r="AB39" s="25">
        <f t="shared" si="16"/>
      </c>
      <c r="AC39" s="63">
        <f t="shared" si="15"/>
      </c>
      <c r="AD39" s="38"/>
    </row>
    <row r="40" spans="1:30" s="10" customFormat="1" ht="16.5" customHeight="1">
      <c r="A40" s="169"/>
      <c r="B40" s="175"/>
      <c r="C40" s="650"/>
      <c r="D40" s="650"/>
      <c r="E40" s="650"/>
      <c r="F40" s="515"/>
      <c r="G40" s="514"/>
      <c r="H40" s="651"/>
      <c r="I40" s="652"/>
      <c r="J40" s="272">
        <f t="shared" si="0"/>
        <v>0</v>
      </c>
      <c r="K40" s="654"/>
      <c r="L40" s="654"/>
      <c r="M40" s="26">
        <f t="shared" si="1"/>
      </c>
      <c r="N40" s="27">
        <f t="shared" si="2"/>
      </c>
      <c r="O40" s="655"/>
      <c r="P40" s="25">
        <f t="shared" si="3"/>
      </c>
      <c r="Q40" s="721">
        <f t="shared" si="4"/>
      </c>
      <c r="R40" s="25">
        <f t="shared" si="5"/>
      </c>
      <c r="S40" s="342">
        <f t="shared" si="6"/>
        <v>3</v>
      </c>
      <c r="T40" s="346" t="str">
        <f t="shared" si="7"/>
        <v>--</v>
      </c>
      <c r="U40" s="352" t="str">
        <f t="shared" si="8"/>
        <v>--</v>
      </c>
      <c r="V40" s="361" t="str">
        <f t="shared" si="9"/>
        <v>--</v>
      </c>
      <c r="W40" s="362" t="str">
        <f t="shared" si="10"/>
        <v>--</v>
      </c>
      <c r="X40" s="370" t="str">
        <f t="shared" si="11"/>
        <v>--</v>
      </c>
      <c r="Y40" s="371" t="str">
        <f t="shared" si="12"/>
        <v>--</v>
      </c>
      <c r="Z40" s="376" t="str">
        <f t="shared" si="13"/>
        <v>--</v>
      </c>
      <c r="AA40" s="382" t="str">
        <f t="shared" si="14"/>
        <v>--</v>
      </c>
      <c r="AB40" s="25">
        <f t="shared" si="16"/>
      </c>
      <c r="AC40" s="63">
        <f t="shared" si="15"/>
      </c>
      <c r="AD40" s="38"/>
    </row>
    <row r="41" spans="1:30" s="10" customFormat="1" ht="16.5" customHeight="1">
      <c r="A41" s="169"/>
      <c r="B41" s="175"/>
      <c r="C41" s="650"/>
      <c r="D41" s="650"/>
      <c r="E41" s="650"/>
      <c r="F41" s="515"/>
      <c r="G41" s="514"/>
      <c r="H41" s="651"/>
      <c r="I41" s="652"/>
      <c r="J41" s="272">
        <f t="shared" si="0"/>
        <v>0</v>
      </c>
      <c r="K41" s="654"/>
      <c r="L41" s="654"/>
      <c r="M41" s="26">
        <f t="shared" si="1"/>
      </c>
      <c r="N41" s="27">
        <f t="shared" si="2"/>
      </c>
      <c r="O41" s="655"/>
      <c r="P41" s="25">
        <f t="shared" si="3"/>
      </c>
      <c r="Q41" s="721">
        <f t="shared" si="4"/>
      </c>
      <c r="R41" s="25">
        <f t="shared" si="5"/>
      </c>
      <c r="S41" s="342">
        <f t="shared" si="6"/>
        <v>3</v>
      </c>
      <c r="T41" s="346" t="str">
        <f t="shared" si="7"/>
        <v>--</v>
      </c>
      <c r="U41" s="352" t="str">
        <f t="shared" si="8"/>
        <v>--</v>
      </c>
      <c r="V41" s="361" t="str">
        <f t="shared" si="9"/>
        <v>--</v>
      </c>
      <c r="W41" s="362" t="str">
        <f t="shared" si="10"/>
        <v>--</v>
      </c>
      <c r="X41" s="370" t="str">
        <f t="shared" si="11"/>
        <v>--</v>
      </c>
      <c r="Y41" s="371" t="str">
        <f t="shared" si="12"/>
        <v>--</v>
      </c>
      <c r="Z41" s="376" t="str">
        <f t="shared" si="13"/>
        <v>--</v>
      </c>
      <c r="AA41" s="382" t="str">
        <f t="shared" si="14"/>
        <v>--</v>
      </c>
      <c r="AB41" s="25">
        <f t="shared" si="16"/>
      </c>
      <c r="AC41" s="63">
        <f t="shared" si="15"/>
      </c>
      <c r="AD41" s="38"/>
    </row>
    <row r="42" spans="1:30" s="10" customFormat="1" ht="16.5" customHeight="1">
      <c r="A42" s="169"/>
      <c r="B42" s="175"/>
      <c r="C42" s="650"/>
      <c r="D42" s="650"/>
      <c r="E42" s="650"/>
      <c r="F42" s="515"/>
      <c r="G42" s="514"/>
      <c r="H42" s="651"/>
      <c r="I42" s="652"/>
      <c r="J42" s="272">
        <f t="shared" si="0"/>
        <v>0</v>
      </c>
      <c r="K42" s="654"/>
      <c r="L42" s="654"/>
      <c r="M42" s="26">
        <f t="shared" si="1"/>
      </c>
      <c r="N42" s="27">
        <f t="shared" si="2"/>
      </c>
      <c r="O42" s="655"/>
      <c r="P42" s="25">
        <f t="shared" si="3"/>
      </c>
      <c r="Q42" s="721">
        <f t="shared" si="4"/>
      </c>
      <c r="R42" s="25">
        <f t="shared" si="5"/>
      </c>
      <c r="S42" s="342">
        <f t="shared" si="6"/>
        <v>3</v>
      </c>
      <c r="T42" s="346" t="str">
        <f t="shared" si="7"/>
        <v>--</v>
      </c>
      <c r="U42" s="352" t="str">
        <f t="shared" si="8"/>
        <v>--</v>
      </c>
      <c r="V42" s="361" t="str">
        <f t="shared" si="9"/>
        <v>--</v>
      </c>
      <c r="W42" s="362" t="str">
        <f t="shared" si="10"/>
        <v>--</v>
      </c>
      <c r="X42" s="370" t="str">
        <f t="shared" si="11"/>
        <v>--</v>
      </c>
      <c r="Y42" s="371" t="str">
        <f t="shared" si="12"/>
        <v>--</v>
      </c>
      <c r="Z42" s="376" t="str">
        <f t="shared" si="13"/>
        <v>--</v>
      </c>
      <c r="AA42" s="382" t="str">
        <f t="shared" si="14"/>
        <v>--</v>
      </c>
      <c r="AB42" s="25">
        <f t="shared" si="16"/>
      </c>
      <c r="AC42" s="63">
        <f t="shared" si="15"/>
      </c>
      <c r="AD42" s="38"/>
    </row>
    <row r="43" spans="1:30" s="10" customFormat="1" ht="16.5" customHeight="1">
      <c r="A43" s="169"/>
      <c r="B43" s="175"/>
      <c r="C43" s="650"/>
      <c r="D43" s="650"/>
      <c r="E43" s="650"/>
      <c r="F43" s="515"/>
      <c r="G43" s="514"/>
      <c r="H43" s="651"/>
      <c r="I43" s="652"/>
      <c r="J43" s="272">
        <f t="shared" si="0"/>
        <v>0</v>
      </c>
      <c r="K43" s="654"/>
      <c r="L43" s="654"/>
      <c r="M43" s="26">
        <f t="shared" si="1"/>
      </c>
      <c r="N43" s="27">
        <f t="shared" si="2"/>
      </c>
      <c r="O43" s="655"/>
      <c r="P43" s="25">
        <f t="shared" si="3"/>
      </c>
      <c r="Q43" s="721">
        <f t="shared" si="4"/>
      </c>
      <c r="R43" s="25">
        <f t="shared" si="5"/>
      </c>
      <c r="S43" s="342">
        <f t="shared" si="6"/>
        <v>3</v>
      </c>
      <c r="T43" s="346" t="str">
        <f t="shared" si="7"/>
        <v>--</v>
      </c>
      <c r="U43" s="352" t="str">
        <f t="shared" si="8"/>
        <v>--</v>
      </c>
      <c r="V43" s="361" t="str">
        <f t="shared" si="9"/>
        <v>--</v>
      </c>
      <c r="W43" s="362" t="str">
        <f t="shared" si="10"/>
        <v>--</v>
      </c>
      <c r="X43" s="370" t="str">
        <f t="shared" si="11"/>
        <v>--</v>
      </c>
      <c r="Y43" s="371" t="str">
        <f t="shared" si="12"/>
        <v>--</v>
      </c>
      <c r="Z43" s="376" t="str">
        <f t="shared" si="13"/>
        <v>--</v>
      </c>
      <c r="AA43" s="382" t="str">
        <f t="shared" si="14"/>
        <v>--</v>
      </c>
      <c r="AB43" s="25">
        <f t="shared" si="16"/>
      </c>
      <c r="AC43" s="63">
        <f t="shared" si="15"/>
      </c>
      <c r="AD43" s="38"/>
    </row>
    <row r="44" spans="1:30" s="10" customFormat="1" ht="16.5" customHeight="1" thickBot="1">
      <c r="A44" s="169"/>
      <c r="B44" s="175"/>
      <c r="C44" s="653"/>
      <c r="D44" s="653"/>
      <c r="E44" s="653"/>
      <c r="F44" s="653"/>
      <c r="G44" s="653"/>
      <c r="H44" s="653"/>
      <c r="I44" s="653"/>
      <c r="J44" s="276"/>
      <c r="K44" s="653"/>
      <c r="L44" s="653"/>
      <c r="M44" s="29"/>
      <c r="N44" s="29"/>
      <c r="O44" s="653"/>
      <c r="P44" s="653"/>
      <c r="Q44" s="653"/>
      <c r="R44" s="653"/>
      <c r="S44" s="343"/>
      <c r="T44" s="347"/>
      <c r="U44" s="353"/>
      <c r="V44" s="385"/>
      <c r="W44" s="386"/>
      <c r="X44" s="387"/>
      <c r="Y44" s="388"/>
      <c r="Z44" s="377"/>
      <c r="AA44" s="383"/>
      <c r="AB44" s="29"/>
      <c r="AC44" s="218"/>
      <c r="AD44" s="38"/>
    </row>
    <row r="45" spans="1:30" s="10" customFormat="1" ht="16.5" customHeight="1" thickBot="1" thickTop="1">
      <c r="A45" s="169"/>
      <c r="B45" s="175"/>
      <c r="C45" s="244" t="s">
        <v>70</v>
      </c>
      <c r="D45" s="726" t="s">
        <v>169</v>
      </c>
      <c r="E45" s="704"/>
      <c r="F45" s="245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48">
        <f aca="true" t="shared" si="17" ref="T45:AA45">SUM(T22:T44)</f>
        <v>9.73215</v>
      </c>
      <c r="U45" s="354">
        <f t="shared" si="17"/>
        <v>0</v>
      </c>
      <c r="V45" s="363">
        <f t="shared" si="17"/>
        <v>0</v>
      </c>
      <c r="W45" s="363">
        <f t="shared" si="17"/>
        <v>0</v>
      </c>
      <c r="X45" s="372">
        <f t="shared" si="17"/>
        <v>0</v>
      </c>
      <c r="Y45" s="372">
        <f t="shared" si="17"/>
        <v>0</v>
      </c>
      <c r="Z45" s="378">
        <f t="shared" si="17"/>
        <v>0</v>
      </c>
      <c r="AA45" s="384">
        <f t="shared" si="17"/>
        <v>0</v>
      </c>
      <c r="AB45" s="31"/>
      <c r="AC45" s="260">
        <f>ROUND(SUM(AC22:AC44),2)</f>
        <v>9.73</v>
      </c>
      <c r="AD45" s="38"/>
    </row>
    <row r="46" spans="1:30" s="262" customFormat="1" ht="9.75" thickTop="1">
      <c r="A46" s="263"/>
      <c r="B46" s="264"/>
      <c r="C46" s="246"/>
      <c r="D46" s="246"/>
      <c r="E46" s="246"/>
      <c r="F46" s="247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6"/>
      <c r="U46" s="266"/>
      <c r="V46" s="266"/>
      <c r="W46" s="266"/>
      <c r="X46" s="266"/>
      <c r="Y46" s="266"/>
      <c r="Z46" s="266"/>
      <c r="AA46" s="266"/>
      <c r="AB46" s="265"/>
      <c r="AC46" s="267"/>
      <c r="AD46" s="268"/>
    </row>
    <row r="47" spans="1:30" s="10" customFormat="1" ht="16.5" customHeight="1" thickBot="1">
      <c r="A47" s="169"/>
      <c r="B47" s="182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4"/>
    </row>
    <row r="48" spans="2:30" ht="16.5" customHeight="1" thickTop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4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W49"/>
  <sheetViews>
    <sheetView zoomScale="70" zoomScaleNormal="70" workbookViewId="0" topLeftCell="B10">
      <selection activeCell="B3" sqref="B3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7109375" style="0" customWidth="1"/>
    <col min="6" max="6" width="42.5742187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09" customFormat="1" ht="26.25">
      <c r="W1" s="416"/>
    </row>
    <row r="2" spans="2:23" s="109" customFormat="1" ht="26.25">
      <c r="B2" s="110" t="str">
        <f>+'TOT-0511'!B2</f>
        <v>ANEXO V al Memorandum  D.T.E.E.  N°482  / 2012</v>
      </c>
      <c r="C2" s="111"/>
      <c r="D2" s="111"/>
      <c r="E2" s="111"/>
      <c r="F2" s="111"/>
      <c r="G2" s="110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="10" customFormat="1" ht="12.75"/>
    <row r="4" spans="1:4" s="112" customFormat="1" ht="11.25">
      <c r="A4" s="707" t="s">
        <v>21</v>
      </c>
      <c r="C4" s="706"/>
      <c r="D4" s="706"/>
    </row>
    <row r="5" spans="1:4" s="112" customFormat="1" ht="11.25">
      <c r="A5" s="707" t="s">
        <v>146</v>
      </c>
      <c r="C5" s="706"/>
      <c r="D5" s="706"/>
    </row>
    <row r="6" s="10" customFormat="1" ht="13.5" thickBot="1"/>
    <row r="7" spans="2:23" s="10" customFormat="1" ht="13.5" thickTop="1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3"/>
    </row>
    <row r="8" spans="2:23" s="114" customFormat="1" ht="20.25">
      <c r="B8" s="113"/>
      <c r="C8" s="45"/>
      <c r="D8" s="45"/>
      <c r="E8" s="45"/>
      <c r="F8" s="21" t="s">
        <v>46</v>
      </c>
      <c r="P8" s="45"/>
      <c r="Q8" s="45"/>
      <c r="R8" s="45"/>
      <c r="S8" s="45"/>
      <c r="T8" s="45"/>
      <c r="U8" s="45"/>
      <c r="V8" s="45"/>
      <c r="W8" s="115"/>
    </row>
    <row r="9" spans="2:23" s="10" customFormat="1" ht="12.75">
      <c r="B9" s="44"/>
      <c r="C9" s="8"/>
      <c r="D9" s="8"/>
      <c r="E9" s="8"/>
      <c r="F9" s="8"/>
      <c r="G9" s="8"/>
      <c r="H9" s="8"/>
      <c r="I9" s="123"/>
      <c r="J9" s="123"/>
      <c r="K9" s="123"/>
      <c r="L9" s="123"/>
      <c r="M9" s="123"/>
      <c r="P9" s="8"/>
      <c r="Q9" s="8"/>
      <c r="R9" s="8"/>
      <c r="S9" s="8"/>
      <c r="T9" s="8"/>
      <c r="U9" s="8"/>
      <c r="V9" s="8"/>
      <c r="W9" s="11"/>
    </row>
    <row r="10" spans="2:23" s="114" customFormat="1" ht="20.25">
      <c r="B10" s="113"/>
      <c r="C10" s="45"/>
      <c r="D10" s="45"/>
      <c r="E10" s="45"/>
      <c r="F10" s="21" t="s">
        <v>88</v>
      </c>
      <c r="G10" s="21"/>
      <c r="H10" s="45"/>
      <c r="I10" s="21"/>
      <c r="J10" s="21"/>
      <c r="K10" s="21"/>
      <c r="L10" s="21"/>
      <c r="M10" s="21"/>
      <c r="P10" s="45"/>
      <c r="Q10" s="45"/>
      <c r="R10" s="45"/>
      <c r="S10" s="45"/>
      <c r="T10" s="45"/>
      <c r="U10" s="45"/>
      <c r="V10" s="45"/>
      <c r="W10" s="115"/>
    </row>
    <row r="11" spans="2:23" s="10" customFormat="1" ht="12.75">
      <c r="B11" s="44"/>
      <c r="C11" s="8"/>
      <c r="D11" s="8"/>
      <c r="E11" s="8"/>
      <c r="F11" s="185"/>
      <c r="G11" s="123"/>
      <c r="H11" s="8"/>
      <c r="I11" s="123"/>
      <c r="J11" s="123"/>
      <c r="K11" s="123"/>
      <c r="L11" s="123"/>
      <c r="M11" s="123"/>
      <c r="P11" s="8"/>
      <c r="Q11" s="8"/>
      <c r="R11" s="8"/>
      <c r="S11" s="8"/>
      <c r="T11" s="8"/>
      <c r="U11" s="8"/>
      <c r="V11" s="8"/>
      <c r="W11" s="11"/>
    </row>
    <row r="12" spans="2:23" s="114" customFormat="1" ht="20.25">
      <c r="B12" s="113"/>
      <c r="C12" s="45"/>
      <c r="D12" s="45"/>
      <c r="E12" s="45"/>
      <c r="F12" s="21" t="s">
        <v>89</v>
      </c>
      <c r="G12" s="21"/>
      <c r="H12" s="45"/>
      <c r="I12" s="21"/>
      <c r="J12" s="21"/>
      <c r="K12" s="21"/>
      <c r="L12" s="21"/>
      <c r="M12" s="21"/>
      <c r="P12" s="45"/>
      <c r="Q12" s="45"/>
      <c r="R12" s="45"/>
      <c r="S12" s="45"/>
      <c r="T12" s="45"/>
      <c r="U12" s="45"/>
      <c r="V12" s="45"/>
      <c r="W12" s="115"/>
    </row>
    <row r="13" spans="2:23" s="10" customFormat="1" ht="12.75">
      <c r="B13" s="44"/>
      <c r="C13" s="8"/>
      <c r="D13" s="8"/>
      <c r="E13" s="8"/>
      <c r="F13" s="125"/>
      <c r="G13" s="123"/>
      <c r="H13" s="8"/>
      <c r="I13" s="123"/>
      <c r="J13" s="123"/>
      <c r="K13" s="123"/>
      <c r="L13" s="123"/>
      <c r="M13" s="123"/>
      <c r="P13" s="8"/>
      <c r="Q13" s="8"/>
      <c r="R13" s="8"/>
      <c r="S13" s="8"/>
      <c r="T13" s="8"/>
      <c r="U13" s="8"/>
      <c r="V13" s="8"/>
      <c r="W13" s="11"/>
    </row>
    <row r="14" spans="2:23" s="121" customFormat="1" ht="19.5">
      <c r="B14" s="87" t="str">
        <f>+'TOT-0511'!B14</f>
        <v>Desde el 01 al 31 de mayo de 2011</v>
      </c>
      <c r="C14" s="117"/>
      <c r="D14" s="117"/>
      <c r="E14" s="117"/>
      <c r="F14" s="117"/>
      <c r="G14" s="117"/>
      <c r="H14" s="86"/>
      <c r="I14" s="117"/>
      <c r="J14" s="118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20"/>
    </row>
    <row r="15" spans="2:23" s="10" customFormat="1" ht="16.5" customHeight="1" thickBot="1">
      <c r="B15" s="44"/>
      <c r="C15" s="8"/>
      <c r="D15" s="8"/>
      <c r="E15" s="8"/>
      <c r="I15" s="122"/>
      <c r="K15" s="8"/>
      <c r="L15" s="8"/>
      <c r="M15" s="8"/>
      <c r="N15" s="122"/>
      <c r="O15" s="122"/>
      <c r="P15" s="122"/>
      <c r="Q15" s="8"/>
      <c r="R15" s="8"/>
      <c r="S15" s="8"/>
      <c r="T15" s="8"/>
      <c r="U15" s="8"/>
      <c r="V15" s="8"/>
      <c r="W15" s="11"/>
    </row>
    <row r="16" spans="2:23" s="10" customFormat="1" ht="16.5" customHeight="1" thickBot="1" thickTop="1">
      <c r="B16" s="44"/>
      <c r="C16" s="8"/>
      <c r="D16" s="8"/>
      <c r="E16" s="8"/>
      <c r="F16" s="223" t="s">
        <v>90</v>
      </c>
      <c r="G16" s="224">
        <v>8.106</v>
      </c>
      <c r="H16" s="93">
        <v>60</v>
      </c>
      <c r="I16" s="122"/>
      <c r="J16" s="239" t="str">
        <f>IF(H16=60," ",IF(H16=120,"Coeficiente duplicado por tasa de falla &gt;4 Sal. x año/100 km.","REVISAR COEFICIENTE"))</f>
        <v> </v>
      </c>
      <c r="K16" s="8"/>
      <c r="L16" s="8"/>
      <c r="M16" s="8"/>
      <c r="N16" s="122"/>
      <c r="O16" s="122"/>
      <c r="P16" s="122"/>
      <c r="Q16" s="8"/>
      <c r="R16" s="8"/>
      <c r="S16" s="8"/>
      <c r="T16" s="8"/>
      <c r="U16" s="8"/>
      <c r="V16" s="8"/>
      <c r="W16" s="11"/>
    </row>
    <row r="17" spans="2:23" s="10" customFormat="1" ht="16.5" customHeight="1" thickBot="1" thickTop="1">
      <c r="B17" s="44"/>
      <c r="C17" s="8"/>
      <c r="D17" s="8"/>
      <c r="E17" s="8"/>
      <c r="F17" s="223" t="s">
        <v>91</v>
      </c>
      <c r="G17" s="224">
        <v>3.243</v>
      </c>
      <c r="H17" s="93">
        <v>50</v>
      </c>
      <c r="J17" s="239" t="str">
        <f>IF(H17=50," ",IF(H17=100,"Coeficiente duplicado por tasa de falla &gt;4 Sal. x año/100 km.","REVISAR COEFICIENTE"))</f>
        <v> </v>
      </c>
      <c r="Q17" s="278"/>
      <c r="S17" s="8"/>
      <c r="T17" s="8"/>
      <c r="U17" s="8"/>
      <c r="V17" s="220"/>
      <c r="W17" s="11"/>
    </row>
    <row r="18" spans="2:23" s="10" customFormat="1" ht="16.5" customHeight="1" thickBot="1" thickTop="1">
      <c r="B18" s="44"/>
      <c r="C18" s="8"/>
      <c r="D18" s="8"/>
      <c r="E18" s="8"/>
      <c r="F18" s="225" t="s">
        <v>92</v>
      </c>
      <c r="G18" s="226">
        <v>2.433</v>
      </c>
      <c r="H18" s="227">
        <v>25</v>
      </c>
      <c r="J18" s="239" t="str">
        <f>IF(H18=25," ",IF(H18=50,"Coeficiente duplicado por tasa de falla &gt;4 Sal. x año/100 km.","REVISAR COEFICIENTE"))</f>
        <v> </v>
      </c>
      <c r="K18" s="167"/>
      <c r="L18" s="167"/>
      <c r="M18" s="8"/>
      <c r="P18" s="221"/>
      <c r="Q18" s="222"/>
      <c r="R18" s="36"/>
      <c r="S18" s="8"/>
      <c r="T18" s="8"/>
      <c r="U18" s="8"/>
      <c r="V18" s="220"/>
      <c r="W18" s="11"/>
    </row>
    <row r="19" spans="2:23" s="10" customFormat="1" ht="16.5" customHeight="1" thickBot="1" thickTop="1">
      <c r="B19" s="44"/>
      <c r="C19" s="8"/>
      <c r="D19" s="8"/>
      <c r="E19" s="8"/>
      <c r="F19" s="228" t="s">
        <v>93</v>
      </c>
      <c r="G19" s="226">
        <v>2.433</v>
      </c>
      <c r="H19" s="229">
        <v>20</v>
      </c>
      <c r="J19" s="239" t="str">
        <f>IF(H19=20," ",IF(H19=40,"Coeficiente duplicado por tasa de falla &gt;4 Sal. x año/100 km.","REVISAR COEFICIENTE"))</f>
        <v> </v>
      </c>
      <c r="K19" s="167"/>
      <c r="L19" s="167"/>
      <c r="M19" s="8"/>
      <c r="P19" s="221"/>
      <c r="Q19" s="222"/>
      <c r="R19" s="36"/>
      <c r="S19" s="8"/>
      <c r="T19" s="8"/>
      <c r="U19" s="8"/>
      <c r="V19" s="220"/>
      <c r="W19" s="11"/>
    </row>
    <row r="20" spans="2:23" s="732" customFormat="1" ht="16.5" customHeight="1" thickBot="1" thickTop="1">
      <c r="B20" s="729"/>
      <c r="C20" s="730">
        <v>3</v>
      </c>
      <c r="D20" s="730">
        <v>4</v>
      </c>
      <c r="E20" s="730">
        <v>5</v>
      </c>
      <c r="F20" s="730">
        <v>6</v>
      </c>
      <c r="G20" s="730">
        <v>7</v>
      </c>
      <c r="H20" s="730">
        <v>8</v>
      </c>
      <c r="I20" s="730">
        <v>9</v>
      </c>
      <c r="J20" s="730">
        <v>10</v>
      </c>
      <c r="K20" s="730">
        <v>11</v>
      </c>
      <c r="L20" s="730">
        <v>12</v>
      </c>
      <c r="M20" s="730">
        <v>13</v>
      </c>
      <c r="N20" s="730">
        <v>14</v>
      </c>
      <c r="O20" s="730">
        <v>15</v>
      </c>
      <c r="P20" s="730">
        <v>16</v>
      </c>
      <c r="Q20" s="730">
        <v>17</v>
      </c>
      <c r="R20" s="730">
        <v>18</v>
      </c>
      <c r="S20" s="730">
        <v>19</v>
      </c>
      <c r="T20" s="730">
        <v>20</v>
      </c>
      <c r="U20" s="730">
        <v>21</v>
      </c>
      <c r="V20" s="730">
        <v>22</v>
      </c>
      <c r="W20" s="731"/>
    </row>
    <row r="21" spans="2:23" s="10" customFormat="1" ht="33.75" customHeight="1" thickBot="1" thickTop="1">
      <c r="B21" s="44"/>
      <c r="C21" s="216" t="s">
        <v>52</v>
      </c>
      <c r="D21" s="101" t="s">
        <v>145</v>
      </c>
      <c r="E21" s="101" t="s">
        <v>144</v>
      </c>
      <c r="F21" s="214" t="s">
        <v>76</v>
      </c>
      <c r="G21" s="230" t="s">
        <v>19</v>
      </c>
      <c r="H21" s="233" t="s">
        <v>53</v>
      </c>
      <c r="I21" s="269" t="s">
        <v>55</v>
      </c>
      <c r="J21" s="210" t="s">
        <v>56</v>
      </c>
      <c r="K21" s="230" t="s">
        <v>57</v>
      </c>
      <c r="L21" s="232" t="s">
        <v>80</v>
      </c>
      <c r="M21" s="232" t="s">
        <v>81</v>
      </c>
      <c r="N21" s="105" t="s">
        <v>60</v>
      </c>
      <c r="O21" s="215" t="s">
        <v>82</v>
      </c>
      <c r="P21" s="390" t="s">
        <v>94</v>
      </c>
      <c r="Q21" s="324" t="s">
        <v>62</v>
      </c>
      <c r="R21" s="364" t="s">
        <v>86</v>
      </c>
      <c r="S21" s="365"/>
      <c r="T21" s="400" t="s">
        <v>66</v>
      </c>
      <c r="U21" s="212" t="s">
        <v>68</v>
      </c>
      <c r="V21" s="212" t="s">
        <v>69</v>
      </c>
      <c r="W21" s="38"/>
    </row>
    <row r="22" spans="2:23" s="10" customFormat="1" ht="16.5" customHeight="1" thickTop="1">
      <c r="B22" s="44"/>
      <c r="C22" s="20"/>
      <c r="D22" s="18"/>
      <c r="E22" s="18"/>
      <c r="F22" s="32"/>
      <c r="G22" s="32"/>
      <c r="H22" s="410"/>
      <c r="I22" s="277"/>
      <c r="J22" s="33"/>
      <c r="K22" s="34"/>
      <c r="L22" s="35"/>
      <c r="M22" s="64"/>
      <c r="N22" s="392"/>
      <c r="O22" s="392"/>
      <c r="P22" s="393"/>
      <c r="Q22" s="395"/>
      <c r="R22" s="397"/>
      <c r="S22" s="398"/>
      <c r="T22" s="401"/>
      <c r="U22" s="399"/>
      <c r="V22" s="415"/>
      <c r="W22" s="38"/>
    </row>
    <row r="23" spans="2:23" s="10" customFormat="1" ht="16.5" customHeight="1">
      <c r="B23" s="44"/>
      <c r="C23" s="20"/>
      <c r="D23" s="18"/>
      <c r="E23" s="18"/>
      <c r="F23" s="32"/>
      <c r="G23" s="32"/>
      <c r="H23" s="410"/>
      <c r="I23" s="277"/>
      <c r="J23" s="33"/>
      <c r="K23" s="34"/>
      <c r="L23" s="35"/>
      <c r="M23" s="64"/>
      <c r="N23" s="28"/>
      <c r="O23" s="28"/>
      <c r="P23" s="391"/>
      <c r="Q23" s="396"/>
      <c r="R23" s="370"/>
      <c r="S23" s="371"/>
      <c r="T23" s="402"/>
      <c r="U23" s="25"/>
      <c r="V23" s="231"/>
      <c r="W23" s="38"/>
    </row>
    <row r="24" spans="2:23" s="10" customFormat="1" ht="16.5" customHeight="1">
      <c r="B24" s="44"/>
      <c r="C24" s="665">
        <v>14</v>
      </c>
      <c r="D24" s="650">
        <v>235042</v>
      </c>
      <c r="E24" s="650">
        <v>4261</v>
      </c>
      <c r="F24" s="650" t="s">
        <v>166</v>
      </c>
      <c r="G24" s="650" t="s">
        <v>174</v>
      </c>
      <c r="H24" s="667">
        <v>13.2</v>
      </c>
      <c r="I24" s="277">
        <f aca="true" t="shared" si="0" ref="I24:I43">IF(H24=330,$G$16,IF(AND(H24&lt;=132,H24&gt;=66),$G$17,IF(AND(H24&lt;66,H24&gt;=33),$G$18,$G$19)))</f>
        <v>2.433</v>
      </c>
      <c r="J24" s="668">
        <v>40687.89513888889</v>
      </c>
      <c r="K24" s="669">
        <v>40687.990277777775</v>
      </c>
      <c r="L24" s="35">
        <f aca="true" t="shared" si="1" ref="L24:L43">IF(F24="","",(K24-J24)*24)</f>
        <v>2.2833333332673647</v>
      </c>
      <c r="M24" s="64">
        <f aca="true" t="shared" si="2" ref="M24:M43">IF(F24="","",ROUND((K24-J24)*24*60,0))</f>
        <v>137</v>
      </c>
      <c r="N24" s="670" t="s">
        <v>155</v>
      </c>
      <c r="O24" s="28" t="str">
        <f aca="true" t="shared" si="3" ref="O24:O43">IF(F24="","",IF(N24="P","--","NO"))</f>
        <v>NO</v>
      </c>
      <c r="P24" s="391">
        <f aca="true" t="shared" si="4" ref="P24:P43">IF(H24=330,$H$16,IF(AND(H24&lt;=132,H24&gt;=66),$H$17,IF(AND(H24&lt;66,H24&gt;13.2),$H$18,$H$19)))</f>
        <v>20</v>
      </c>
      <c r="Q24" s="724" t="str">
        <f aca="true" t="shared" si="5" ref="Q24:Q43">IF(N24="P",I24*P24*ROUND(M24/60,2)*0.1,"--")</f>
        <v>--</v>
      </c>
      <c r="R24" s="370">
        <f aca="true" t="shared" si="6" ref="R24:R43">IF(AND(N24="F",O24="NO"),I24*P24,"--")</f>
        <v>48.66</v>
      </c>
      <c r="S24" s="371">
        <f aca="true" t="shared" si="7" ref="S24:S43">IF(N24="F",I24*P24*ROUND(M24/60,2),"--")</f>
        <v>110.94479999999999</v>
      </c>
      <c r="T24" s="402" t="str">
        <f aca="true" t="shared" si="8" ref="T24:T43">IF(N24="RF",I24*P24*ROUND(M24/60,2),"--")</f>
        <v>--</v>
      </c>
      <c r="U24" s="25" t="s">
        <v>153</v>
      </c>
      <c r="V24" s="65">
        <f aca="true" t="shared" si="9" ref="V24:V43">IF(F24="","",SUM(Q24:T24)*IF(U24="SI",1,2)*IF(H24="500/220",0,1))</f>
        <v>159.60479999999998</v>
      </c>
      <c r="W24" s="38"/>
    </row>
    <row r="25" spans="2:23" s="10" customFormat="1" ht="16.5" customHeight="1">
      <c r="B25" s="44"/>
      <c r="C25" s="665">
        <v>15</v>
      </c>
      <c r="D25" s="650">
        <v>235043</v>
      </c>
      <c r="E25" s="650">
        <v>4261</v>
      </c>
      <c r="F25" s="650" t="s">
        <v>166</v>
      </c>
      <c r="G25" s="650" t="s">
        <v>175</v>
      </c>
      <c r="H25" s="667">
        <v>13.2</v>
      </c>
      <c r="I25" s="277">
        <f t="shared" si="0"/>
        <v>2.433</v>
      </c>
      <c r="J25" s="668">
        <v>40688.41875</v>
      </c>
      <c r="K25" s="669">
        <v>40688.441666666666</v>
      </c>
      <c r="L25" s="35">
        <f t="shared" si="1"/>
        <v>0.5500000000465661</v>
      </c>
      <c r="M25" s="64">
        <f t="shared" si="2"/>
        <v>33</v>
      </c>
      <c r="N25" s="670" t="s">
        <v>155</v>
      </c>
      <c r="O25" s="28" t="str">
        <f t="shared" si="3"/>
        <v>NO</v>
      </c>
      <c r="P25" s="391">
        <f t="shared" si="4"/>
        <v>20</v>
      </c>
      <c r="Q25" s="724" t="str">
        <f t="shared" si="5"/>
        <v>--</v>
      </c>
      <c r="R25" s="370">
        <f t="shared" si="6"/>
        <v>48.66</v>
      </c>
      <c r="S25" s="371">
        <f t="shared" si="7"/>
        <v>26.763</v>
      </c>
      <c r="T25" s="402" t="str">
        <f t="shared" si="8"/>
        <v>--</v>
      </c>
      <c r="U25" s="25" t="s">
        <v>153</v>
      </c>
      <c r="V25" s="65">
        <f t="shared" si="9"/>
        <v>75.423</v>
      </c>
      <c r="W25" s="38"/>
    </row>
    <row r="26" spans="2:23" s="10" customFormat="1" ht="16.5" customHeight="1">
      <c r="B26" s="44"/>
      <c r="C26" s="665"/>
      <c r="D26" s="650"/>
      <c r="E26" s="650"/>
      <c r="F26" s="666"/>
      <c r="G26" s="666"/>
      <c r="H26" s="667"/>
      <c r="I26" s="277">
        <f t="shared" si="0"/>
        <v>2.433</v>
      </c>
      <c r="J26" s="668"/>
      <c r="K26" s="669"/>
      <c r="L26" s="35">
        <f t="shared" si="1"/>
      </c>
      <c r="M26" s="64">
        <f t="shared" si="2"/>
      </c>
      <c r="N26" s="670"/>
      <c r="O26" s="28">
        <f t="shared" si="3"/>
      </c>
      <c r="P26" s="391">
        <f t="shared" si="4"/>
        <v>20</v>
      </c>
      <c r="Q26" s="724" t="str">
        <f t="shared" si="5"/>
        <v>--</v>
      </c>
      <c r="R26" s="370" t="str">
        <f t="shared" si="6"/>
        <v>--</v>
      </c>
      <c r="S26" s="371" t="str">
        <f t="shared" si="7"/>
        <v>--</v>
      </c>
      <c r="T26" s="402" t="str">
        <f t="shared" si="8"/>
        <v>--</v>
      </c>
      <c r="U26" s="25">
        <f aca="true" t="shared" si="10" ref="U26:U43">IF(F26="","","SI")</f>
      </c>
      <c r="V26" s="65">
        <f t="shared" si="9"/>
      </c>
      <c r="W26" s="38"/>
    </row>
    <row r="27" spans="2:23" s="10" customFormat="1" ht="16.5" customHeight="1">
      <c r="B27" s="44"/>
      <c r="C27" s="665"/>
      <c r="D27" s="650"/>
      <c r="E27" s="650"/>
      <c r="F27" s="666"/>
      <c r="G27" s="666"/>
      <c r="H27" s="667"/>
      <c r="I27" s="277">
        <f t="shared" si="0"/>
        <v>2.433</v>
      </c>
      <c r="J27" s="668"/>
      <c r="K27" s="669"/>
      <c r="L27" s="35">
        <f t="shared" si="1"/>
      </c>
      <c r="M27" s="64">
        <f t="shared" si="2"/>
      </c>
      <c r="N27" s="670"/>
      <c r="O27" s="28">
        <f t="shared" si="3"/>
      </c>
      <c r="P27" s="391">
        <f t="shared" si="4"/>
        <v>20</v>
      </c>
      <c r="Q27" s="724" t="str">
        <f t="shared" si="5"/>
        <v>--</v>
      </c>
      <c r="R27" s="370" t="str">
        <f t="shared" si="6"/>
        <v>--</v>
      </c>
      <c r="S27" s="371" t="str">
        <f t="shared" si="7"/>
        <v>--</v>
      </c>
      <c r="T27" s="402" t="str">
        <f t="shared" si="8"/>
        <v>--</v>
      </c>
      <c r="U27" s="25">
        <f t="shared" si="10"/>
      </c>
      <c r="V27" s="65">
        <f t="shared" si="9"/>
      </c>
      <c r="W27" s="38"/>
    </row>
    <row r="28" spans="2:23" s="10" customFormat="1" ht="16.5" customHeight="1">
      <c r="B28" s="44"/>
      <c r="C28" s="665"/>
      <c r="D28" s="650"/>
      <c r="E28" s="650"/>
      <c r="F28" s="666"/>
      <c r="G28" s="666"/>
      <c r="H28" s="667"/>
      <c r="I28" s="277">
        <f t="shared" si="0"/>
        <v>2.433</v>
      </c>
      <c r="J28" s="668"/>
      <c r="K28" s="669"/>
      <c r="L28" s="35">
        <f t="shared" si="1"/>
      </c>
      <c r="M28" s="64">
        <f t="shared" si="2"/>
      </c>
      <c r="N28" s="670"/>
      <c r="O28" s="28">
        <f t="shared" si="3"/>
      </c>
      <c r="P28" s="391">
        <f t="shared" si="4"/>
        <v>20</v>
      </c>
      <c r="Q28" s="724" t="str">
        <f t="shared" si="5"/>
        <v>--</v>
      </c>
      <c r="R28" s="370" t="str">
        <f t="shared" si="6"/>
        <v>--</v>
      </c>
      <c r="S28" s="371" t="str">
        <f t="shared" si="7"/>
        <v>--</v>
      </c>
      <c r="T28" s="402" t="str">
        <f t="shared" si="8"/>
        <v>--</v>
      </c>
      <c r="U28" s="25">
        <f t="shared" si="10"/>
      </c>
      <c r="V28" s="65">
        <f t="shared" si="9"/>
      </c>
      <c r="W28" s="38"/>
    </row>
    <row r="29" spans="2:23" s="10" customFormat="1" ht="16.5" customHeight="1">
      <c r="B29" s="44"/>
      <c r="C29" s="665"/>
      <c r="D29" s="650"/>
      <c r="E29" s="650"/>
      <c r="F29" s="666"/>
      <c r="G29" s="666"/>
      <c r="H29" s="667"/>
      <c r="I29" s="277">
        <f t="shared" si="0"/>
        <v>2.433</v>
      </c>
      <c r="J29" s="668"/>
      <c r="K29" s="669"/>
      <c r="L29" s="35">
        <f t="shared" si="1"/>
      </c>
      <c r="M29" s="64">
        <f t="shared" si="2"/>
      </c>
      <c r="N29" s="670"/>
      <c r="O29" s="28">
        <f t="shared" si="3"/>
      </c>
      <c r="P29" s="391">
        <f t="shared" si="4"/>
        <v>20</v>
      </c>
      <c r="Q29" s="724" t="str">
        <f t="shared" si="5"/>
        <v>--</v>
      </c>
      <c r="R29" s="370" t="str">
        <f t="shared" si="6"/>
        <v>--</v>
      </c>
      <c r="S29" s="371" t="str">
        <f t="shared" si="7"/>
        <v>--</v>
      </c>
      <c r="T29" s="402" t="str">
        <f t="shared" si="8"/>
        <v>--</v>
      </c>
      <c r="U29" s="25">
        <f t="shared" si="10"/>
      </c>
      <c r="V29" s="65">
        <f t="shared" si="9"/>
      </c>
      <c r="W29" s="38"/>
    </row>
    <row r="30" spans="2:23" s="10" customFormat="1" ht="16.5" customHeight="1">
      <c r="B30" s="44"/>
      <c r="C30" s="665"/>
      <c r="D30" s="650"/>
      <c r="E30" s="650"/>
      <c r="F30" s="666"/>
      <c r="G30" s="666"/>
      <c r="H30" s="667"/>
      <c r="I30" s="277">
        <f t="shared" si="0"/>
        <v>2.433</v>
      </c>
      <c r="J30" s="668"/>
      <c r="K30" s="669"/>
      <c r="L30" s="35">
        <f t="shared" si="1"/>
      </c>
      <c r="M30" s="64">
        <f t="shared" si="2"/>
      </c>
      <c r="N30" s="670"/>
      <c r="O30" s="28">
        <f t="shared" si="3"/>
      </c>
      <c r="P30" s="391">
        <f t="shared" si="4"/>
        <v>20</v>
      </c>
      <c r="Q30" s="724" t="str">
        <f t="shared" si="5"/>
        <v>--</v>
      </c>
      <c r="R30" s="370" t="str">
        <f t="shared" si="6"/>
        <v>--</v>
      </c>
      <c r="S30" s="371" t="str">
        <f t="shared" si="7"/>
        <v>--</v>
      </c>
      <c r="T30" s="402" t="str">
        <f t="shared" si="8"/>
        <v>--</v>
      </c>
      <c r="U30" s="25">
        <f t="shared" si="10"/>
      </c>
      <c r="V30" s="65">
        <f t="shared" si="9"/>
      </c>
      <c r="W30" s="38"/>
    </row>
    <row r="31" spans="2:23" s="10" customFormat="1" ht="16.5" customHeight="1">
      <c r="B31" s="44"/>
      <c r="C31" s="665"/>
      <c r="D31" s="650"/>
      <c r="E31" s="650"/>
      <c r="F31" s="666"/>
      <c r="G31" s="666"/>
      <c r="H31" s="667"/>
      <c r="I31" s="277">
        <f t="shared" si="0"/>
        <v>2.433</v>
      </c>
      <c r="J31" s="668"/>
      <c r="K31" s="669"/>
      <c r="L31" s="35">
        <f t="shared" si="1"/>
      </c>
      <c r="M31" s="64">
        <f t="shared" si="2"/>
      </c>
      <c r="N31" s="670"/>
      <c r="O31" s="28">
        <f t="shared" si="3"/>
      </c>
      <c r="P31" s="391">
        <f t="shared" si="4"/>
        <v>20</v>
      </c>
      <c r="Q31" s="724" t="str">
        <f t="shared" si="5"/>
        <v>--</v>
      </c>
      <c r="R31" s="370" t="str">
        <f t="shared" si="6"/>
        <v>--</v>
      </c>
      <c r="S31" s="371" t="str">
        <f t="shared" si="7"/>
        <v>--</v>
      </c>
      <c r="T31" s="402" t="str">
        <f t="shared" si="8"/>
        <v>--</v>
      </c>
      <c r="U31" s="25">
        <f t="shared" si="10"/>
      </c>
      <c r="V31" s="65">
        <f t="shared" si="9"/>
      </c>
      <c r="W31" s="38"/>
    </row>
    <row r="32" spans="2:23" s="10" customFormat="1" ht="16.5" customHeight="1">
      <c r="B32" s="44"/>
      <c r="C32" s="665"/>
      <c r="D32" s="650"/>
      <c r="E32" s="650"/>
      <c r="F32" s="666"/>
      <c r="G32" s="666"/>
      <c r="H32" s="667"/>
      <c r="I32" s="277">
        <f t="shared" si="0"/>
        <v>2.433</v>
      </c>
      <c r="J32" s="668"/>
      <c r="K32" s="669"/>
      <c r="L32" s="35">
        <f t="shared" si="1"/>
      </c>
      <c r="M32" s="64">
        <f t="shared" si="2"/>
      </c>
      <c r="N32" s="670"/>
      <c r="O32" s="28">
        <f t="shared" si="3"/>
      </c>
      <c r="P32" s="391">
        <f t="shared" si="4"/>
        <v>20</v>
      </c>
      <c r="Q32" s="724" t="str">
        <f t="shared" si="5"/>
        <v>--</v>
      </c>
      <c r="R32" s="370" t="str">
        <f t="shared" si="6"/>
        <v>--</v>
      </c>
      <c r="S32" s="371" t="str">
        <f t="shared" si="7"/>
        <v>--</v>
      </c>
      <c r="T32" s="402" t="str">
        <f t="shared" si="8"/>
        <v>--</v>
      </c>
      <c r="U32" s="25">
        <f t="shared" si="10"/>
      </c>
      <c r="V32" s="65">
        <f t="shared" si="9"/>
      </c>
      <c r="W32" s="38"/>
    </row>
    <row r="33" spans="2:23" s="10" customFormat="1" ht="16.5" customHeight="1">
      <c r="B33" s="44"/>
      <c r="C33" s="665"/>
      <c r="D33" s="650"/>
      <c r="E33" s="650"/>
      <c r="F33" s="666"/>
      <c r="G33" s="666"/>
      <c r="H33" s="667"/>
      <c r="I33" s="277">
        <f t="shared" si="0"/>
        <v>2.433</v>
      </c>
      <c r="J33" s="668"/>
      <c r="K33" s="669"/>
      <c r="L33" s="35">
        <f t="shared" si="1"/>
      </c>
      <c r="M33" s="64">
        <f t="shared" si="2"/>
      </c>
      <c r="N33" s="670"/>
      <c r="O33" s="28">
        <f t="shared" si="3"/>
      </c>
      <c r="P33" s="391">
        <f t="shared" si="4"/>
        <v>20</v>
      </c>
      <c r="Q33" s="724" t="str">
        <f t="shared" si="5"/>
        <v>--</v>
      </c>
      <c r="R33" s="370" t="str">
        <f t="shared" si="6"/>
        <v>--</v>
      </c>
      <c r="S33" s="371" t="str">
        <f t="shared" si="7"/>
        <v>--</v>
      </c>
      <c r="T33" s="402" t="str">
        <f t="shared" si="8"/>
        <v>--</v>
      </c>
      <c r="U33" s="25">
        <f t="shared" si="10"/>
      </c>
      <c r="V33" s="65">
        <f t="shared" si="9"/>
      </c>
      <c r="W33" s="38"/>
    </row>
    <row r="34" spans="2:23" s="10" customFormat="1" ht="16.5" customHeight="1">
      <c r="B34" s="44"/>
      <c r="C34" s="665"/>
      <c r="D34" s="650"/>
      <c r="E34" s="650"/>
      <c r="F34" s="666"/>
      <c r="G34" s="666"/>
      <c r="H34" s="667"/>
      <c r="I34" s="277">
        <f t="shared" si="0"/>
        <v>2.433</v>
      </c>
      <c r="J34" s="668"/>
      <c r="K34" s="669"/>
      <c r="L34" s="35">
        <f t="shared" si="1"/>
      </c>
      <c r="M34" s="64">
        <f t="shared" si="2"/>
      </c>
      <c r="N34" s="670"/>
      <c r="O34" s="28">
        <f t="shared" si="3"/>
      </c>
      <c r="P34" s="391">
        <f t="shared" si="4"/>
        <v>20</v>
      </c>
      <c r="Q34" s="724" t="str">
        <f t="shared" si="5"/>
        <v>--</v>
      </c>
      <c r="R34" s="370" t="str">
        <f t="shared" si="6"/>
        <v>--</v>
      </c>
      <c r="S34" s="371" t="str">
        <f t="shared" si="7"/>
        <v>--</v>
      </c>
      <c r="T34" s="402" t="str">
        <f t="shared" si="8"/>
        <v>--</v>
      </c>
      <c r="U34" s="25">
        <f t="shared" si="10"/>
      </c>
      <c r="V34" s="65">
        <f t="shared" si="9"/>
      </c>
      <c r="W34" s="38"/>
    </row>
    <row r="35" spans="2:23" s="10" customFormat="1" ht="16.5" customHeight="1">
      <c r="B35" s="44"/>
      <c r="C35" s="665"/>
      <c r="D35" s="650"/>
      <c r="E35" s="650"/>
      <c r="F35" s="666"/>
      <c r="G35" s="666"/>
      <c r="H35" s="667"/>
      <c r="I35" s="277">
        <f t="shared" si="0"/>
        <v>2.433</v>
      </c>
      <c r="J35" s="668"/>
      <c r="K35" s="669"/>
      <c r="L35" s="35">
        <f t="shared" si="1"/>
      </c>
      <c r="M35" s="64">
        <f t="shared" si="2"/>
      </c>
      <c r="N35" s="670"/>
      <c r="O35" s="28">
        <f t="shared" si="3"/>
      </c>
      <c r="P35" s="391">
        <f t="shared" si="4"/>
        <v>20</v>
      </c>
      <c r="Q35" s="724" t="str">
        <f t="shared" si="5"/>
        <v>--</v>
      </c>
      <c r="R35" s="370" t="str">
        <f t="shared" si="6"/>
        <v>--</v>
      </c>
      <c r="S35" s="371" t="str">
        <f t="shared" si="7"/>
        <v>--</v>
      </c>
      <c r="T35" s="402" t="str">
        <f t="shared" si="8"/>
        <v>--</v>
      </c>
      <c r="U35" s="25">
        <f t="shared" si="10"/>
      </c>
      <c r="V35" s="65">
        <f t="shared" si="9"/>
      </c>
      <c r="W35" s="38"/>
    </row>
    <row r="36" spans="2:23" s="10" customFormat="1" ht="16.5" customHeight="1">
      <c r="B36" s="44"/>
      <c r="C36" s="665"/>
      <c r="D36" s="650"/>
      <c r="E36" s="650"/>
      <c r="F36" s="666"/>
      <c r="G36" s="666"/>
      <c r="H36" s="667"/>
      <c r="I36" s="277">
        <f t="shared" si="0"/>
        <v>2.433</v>
      </c>
      <c r="J36" s="668"/>
      <c r="K36" s="669"/>
      <c r="L36" s="35">
        <f t="shared" si="1"/>
      </c>
      <c r="M36" s="64">
        <f t="shared" si="2"/>
      </c>
      <c r="N36" s="670"/>
      <c r="O36" s="28">
        <f t="shared" si="3"/>
      </c>
      <c r="P36" s="391">
        <f t="shared" si="4"/>
        <v>20</v>
      </c>
      <c r="Q36" s="724" t="str">
        <f t="shared" si="5"/>
        <v>--</v>
      </c>
      <c r="R36" s="370" t="str">
        <f t="shared" si="6"/>
        <v>--</v>
      </c>
      <c r="S36" s="371" t="str">
        <f t="shared" si="7"/>
        <v>--</v>
      </c>
      <c r="T36" s="402" t="str">
        <f t="shared" si="8"/>
        <v>--</v>
      </c>
      <c r="U36" s="25">
        <f t="shared" si="10"/>
      </c>
      <c r="V36" s="65">
        <f t="shared" si="9"/>
      </c>
      <c r="W36" s="38"/>
    </row>
    <row r="37" spans="2:23" s="10" customFormat="1" ht="16.5" customHeight="1">
      <c r="B37" s="44"/>
      <c r="C37" s="665"/>
      <c r="D37" s="650"/>
      <c r="E37" s="650"/>
      <c r="F37" s="666"/>
      <c r="G37" s="666"/>
      <c r="H37" s="667"/>
      <c r="I37" s="277">
        <f t="shared" si="0"/>
        <v>2.433</v>
      </c>
      <c r="J37" s="668"/>
      <c r="K37" s="669"/>
      <c r="L37" s="35">
        <f t="shared" si="1"/>
      </c>
      <c r="M37" s="64">
        <f t="shared" si="2"/>
      </c>
      <c r="N37" s="670"/>
      <c r="O37" s="28">
        <f t="shared" si="3"/>
      </c>
      <c r="P37" s="391">
        <f t="shared" si="4"/>
        <v>20</v>
      </c>
      <c r="Q37" s="724" t="str">
        <f t="shared" si="5"/>
        <v>--</v>
      </c>
      <c r="R37" s="370" t="str">
        <f t="shared" si="6"/>
        <v>--</v>
      </c>
      <c r="S37" s="371" t="str">
        <f t="shared" si="7"/>
        <v>--</v>
      </c>
      <c r="T37" s="402" t="str">
        <f t="shared" si="8"/>
        <v>--</v>
      </c>
      <c r="U37" s="25">
        <f t="shared" si="10"/>
      </c>
      <c r="V37" s="65">
        <f t="shared" si="9"/>
      </c>
      <c r="W37" s="38"/>
    </row>
    <row r="38" spans="2:23" s="10" customFormat="1" ht="16.5" customHeight="1">
      <c r="B38" s="44"/>
      <c r="C38" s="665"/>
      <c r="D38" s="650"/>
      <c r="E38" s="650"/>
      <c r="F38" s="666"/>
      <c r="G38" s="666"/>
      <c r="H38" s="667"/>
      <c r="I38" s="277">
        <f t="shared" si="0"/>
        <v>2.433</v>
      </c>
      <c r="J38" s="668"/>
      <c r="K38" s="669"/>
      <c r="L38" s="35">
        <f t="shared" si="1"/>
      </c>
      <c r="M38" s="64">
        <f t="shared" si="2"/>
      </c>
      <c r="N38" s="670"/>
      <c r="O38" s="28">
        <f t="shared" si="3"/>
      </c>
      <c r="P38" s="391">
        <f t="shared" si="4"/>
        <v>20</v>
      </c>
      <c r="Q38" s="724" t="str">
        <f t="shared" si="5"/>
        <v>--</v>
      </c>
      <c r="R38" s="370" t="str">
        <f t="shared" si="6"/>
        <v>--</v>
      </c>
      <c r="S38" s="371" t="str">
        <f t="shared" si="7"/>
        <v>--</v>
      </c>
      <c r="T38" s="402" t="str">
        <f t="shared" si="8"/>
        <v>--</v>
      </c>
      <c r="U38" s="25">
        <f t="shared" si="10"/>
      </c>
      <c r="V38" s="65">
        <f t="shared" si="9"/>
      </c>
      <c r="W38" s="38"/>
    </row>
    <row r="39" spans="2:23" s="10" customFormat="1" ht="16.5" customHeight="1">
      <c r="B39" s="44"/>
      <c r="C39" s="665"/>
      <c r="D39" s="650"/>
      <c r="E39" s="650"/>
      <c r="F39" s="666"/>
      <c r="G39" s="666"/>
      <c r="H39" s="667"/>
      <c r="I39" s="277">
        <f t="shared" si="0"/>
        <v>2.433</v>
      </c>
      <c r="J39" s="668"/>
      <c r="K39" s="669"/>
      <c r="L39" s="35">
        <f t="shared" si="1"/>
      </c>
      <c r="M39" s="64">
        <f t="shared" si="2"/>
      </c>
      <c r="N39" s="670"/>
      <c r="O39" s="28">
        <f t="shared" si="3"/>
      </c>
      <c r="P39" s="391">
        <f t="shared" si="4"/>
        <v>20</v>
      </c>
      <c r="Q39" s="724" t="str">
        <f t="shared" si="5"/>
        <v>--</v>
      </c>
      <c r="R39" s="370" t="str">
        <f t="shared" si="6"/>
        <v>--</v>
      </c>
      <c r="S39" s="371" t="str">
        <f t="shared" si="7"/>
        <v>--</v>
      </c>
      <c r="T39" s="402" t="str">
        <f t="shared" si="8"/>
        <v>--</v>
      </c>
      <c r="U39" s="25">
        <f t="shared" si="10"/>
      </c>
      <c r="V39" s="65">
        <f t="shared" si="9"/>
      </c>
      <c r="W39" s="38"/>
    </row>
    <row r="40" spans="2:23" s="10" customFormat="1" ht="16.5" customHeight="1">
      <c r="B40" s="44"/>
      <c r="C40" s="665"/>
      <c r="D40" s="650"/>
      <c r="E40" s="650"/>
      <c r="F40" s="666"/>
      <c r="G40" s="666"/>
      <c r="H40" s="667"/>
      <c r="I40" s="277">
        <f t="shared" si="0"/>
        <v>2.433</v>
      </c>
      <c r="J40" s="668"/>
      <c r="K40" s="669"/>
      <c r="L40" s="35">
        <f t="shared" si="1"/>
      </c>
      <c r="M40" s="64">
        <f t="shared" si="2"/>
      </c>
      <c r="N40" s="670"/>
      <c r="O40" s="28">
        <f t="shared" si="3"/>
      </c>
      <c r="P40" s="391">
        <f t="shared" si="4"/>
        <v>20</v>
      </c>
      <c r="Q40" s="724" t="str">
        <f t="shared" si="5"/>
        <v>--</v>
      </c>
      <c r="R40" s="370" t="str">
        <f t="shared" si="6"/>
        <v>--</v>
      </c>
      <c r="S40" s="371" t="str">
        <f t="shared" si="7"/>
        <v>--</v>
      </c>
      <c r="T40" s="402" t="str">
        <f t="shared" si="8"/>
        <v>--</v>
      </c>
      <c r="U40" s="25">
        <f t="shared" si="10"/>
      </c>
      <c r="V40" s="65">
        <f t="shared" si="9"/>
      </c>
      <c r="W40" s="38"/>
    </row>
    <row r="41" spans="2:23" s="10" customFormat="1" ht="16.5" customHeight="1">
      <c r="B41" s="44"/>
      <c r="C41" s="665"/>
      <c r="D41" s="650"/>
      <c r="E41" s="650"/>
      <c r="F41" s="666"/>
      <c r="G41" s="666"/>
      <c r="H41" s="667"/>
      <c r="I41" s="277">
        <f t="shared" si="0"/>
        <v>2.433</v>
      </c>
      <c r="J41" s="668"/>
      <c r="K41" s="669"/>
      <c r="L41" s="35">
        <f t="shared" si="1"/>
      </c>
      <c r="M41" s="64">
        <f t="shared" si="2"/>
      </c>
      <c r="N41" s="670"/>
      <c r="O41" s="28">
        <f t="shared" si="3"/>
      </c>
      <c r="P41" s="391">
        <f t="shared" si="4"/>
        <v>20</v>
      </c>
      <c r="Q41" s="724" t="str">
        <f t="shared" si="5"/>
        <v>--</v>
      </c>
      <c r="R41" s="370" t="str">
        <f t="shared" si="6"/>
        <v>--</v>
      </c>
      <c r="S41" s="371" t="str">
        <f t="shared" si="7"/>
        <v>--</v>
      </c>
      <c r="T41" s="402" t="str">
        <f t="shared" si="8"/>
        <v>--</v>
      </c>
      <c r="U41" s="25">
        <f t="shared" si="10"/>
      </c>
      <c r="V41" s="65">
        <f t="shared" si="9"/>
      </c>
      <c r="W41" s="38"/>
    </row>
    <row r="42" spans="2:23" s="10" customFormat="1" ht="16.5" customHeight="1">
      <c r="B42" s="44"/>
      <c r="C42" s="665"/>
      <c r="D42" s="650"/>
      <c r="E42" s="650"/>
      <c r="F42" s="666"/>
      <c r="G42" s="666"/>
      <c r="H42" s="667"/>
      <c r="I42" s="277">
        <f t="shared" si="0"/>
        <v>2.433</v>
      </c>
      <c r="J42" s="668"/>
      <c r="K42" s="669"/>
      <c r="L42" s="35">
        <f t="shared" si="1"/>
      </c>
      <c r="M42" s="64">
        <f t="shared" si="2"/>
      </c>
      <c r="N42" s="670"/>
      <c r="O42" s="28">
        <f t="shared" si="3"/>
      </c>
      <c r="P42" s="391">
        <f t="shared" si="4"/>
        <v>20</v>
      </c>
      <c r="Q42" s="724" t="str">
        <f t="shared" si="5"/>
        <v>--</v>
      </c>
      <c r="R42" s="370" t="str">
        <f t="shared" si="6"/>
        <v>--</v>
      </c>
      <c r="S42" s="371" t="str">
        <f t="shared" si="7"/>
        <v>--</v>
      </c>
      <c r="T42" s="402" t="str">
        <f t="shared" si="8"/>
        <v>--</v>
      </c>
      <c r="U42" s="25">
        <f t="shared" si="10"/>
      </c>
      <c r="V42" s="65">
        <f t="shared" si="9"/>
      </c>
      <c r="W42" s="38"/>
    </row>
    <row r="43" spans="2:23" s="10" customFormat="1" ht="16.5" customHeight="1">
      <c r="B43" s="44"/>
      <c r="C43" s="665"/>
      <c r="D43" s="650"/>
      <c r="E43" s="650"/>
      <c r="F43" s="666"/>
      <c r="G43" s="666"/>
      <c r="H43" s="667"/>
      <c r="I43" s="277">
        <f t="shared" si="0"/>
        <v>2.433</v>
      </c>
      <c r="J43" s="668"/>
      <c r="K43" s="669"/>
      <c r="L43" s="35">
        <f t="shared" si="1"/>
      </c>
      <c r="M43" s="64">
        <f t="shared" si="2"/>
      </c>
      <c r="N43" s="670"/>
      <c r="O43" s="28">
        <f t="shared" si="3"/>
      </c>
      <c r="P43" s="391">
        <f t="shared" si="4"/>
        <v>20</v>
      </c>
      <c r="Q43" s="724" t="str">
        <f t="shared" si="5"/>
        <v>--</v>
      </c>
      <c r="R43" s="370" t="str">
        <f t="shared" si="6"/>
        <v>--</v>
      </c>
      <c r="S43" s="371" t="str">
        <f t="shared" si="7"/>
        <v>--</v>
      </c>
      <c r="T43" s="402" t="str">
        <f t="shared" si="8"/>
        <v>--</v>
      </c>
      <c r="U43" s="25">
        <f t="shared" si="10"/>
      </c>
      <c r="V43" s="65">
        <f t="shared" si="9"/>
      </c>
      <c r="W43" s="38"/>
    </row>
    <row r="44" spans="2:23" s="10" customFormat="1" ht="16.5" customHeight="1" thickBot="1">
      <c r="B44" s="44"/>
      <c r="C44" s="653"/>
      <c r="D44" s="653"/>
      <c r="E44" s="653"/>
      <c r="F44" s="653"/>
      <c r="G44" s="653"/>
      <c r="H44" s="653"/>
      <c r="I44" s="276"/>
      <c r="J44" s="653"/>
      <c r="K44" s="653"/>
      <c r="L44" s="29"/>
      <c r="M44" s="29"/>
      <c r="N44" s="653"/>
      <c r="O44" s="653"/>
      <c r="P44" s="671"/>
      <c r="Q44" s="672"/>
      <c r="R44" s="661"/>
      <c r="S44" s="662"/>
      <c r="T44" s="656"/>
      <c r="U44" s="653"/>
      <c r="V44" s="218"/>
      <c r="W44" s="38"/>
    </row>
    <row r="45" spans="2:23" s="10" customFormat="1" ht="16.5" customHeight="1" thickBot="1" thickTop="1">
      <c r="B45" s="44"/>
      <c r="C45" s="244" t="s">
        <v>70</v>
      </c>
      <c r="D45" s="726" t="s">
        <v>176</v>
      </c>
      <c r="E45" s="704"/>
      <c r="F45" s="245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403">
        <f>SUM(Q22:Q44)</f>
        <v>0</v>
      </c>
      <c r="R45" s="331">
        <f>SUM(R22:R44)</f>
        <v>97.32</v>
      </c>
      <c r="S45" s="331">
        <f>SUM(S22:S44)</f>
        <v>137.7078</v>
      </c>
      <c r="T45" s="404">
        <f>SUM(T22:T44)</f>
        <v>0</v>
      </c>
      <c r="U45" s="66"/>
      <c r="V45" s="260">
        <f>ROUND(SUM(V22:V44),2)</f>
        <v>235.03</v>
      </c>
      <c r="W45" s="38"/>
    </row>
    <row r="46" spans="2:23" s="262" customFormat="1" ht="9.75" thickTop="1">
      <c r="B46" s="261"/>
      <c r="C46" s="246"/>
      <c r="D46" s="246"/>
      <c r="E46" s="246"/>
      <c r="F46" s="247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6"/>
      <c r="V46" s="267"/>
      <c r="W46" s="268"/>
    </row>
    <row r="47" spans="1:23" s="10" customFormat="1" ht="16.5" customHeight="1" thickBot="1">
      <c r="A47" s="11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4"/>
    </row>
    <row r="48" spans="1:23" ht="13.5" thickTop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3:6" ht="12.75">
      <c r="C49" s="6"/>
      <c r="D49" s="6"/>
      <c r="E49" s="6"/>
      <c r="F49" s="6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4"/>
  <headerFooter alignWithMargins="0">
    <oddFooter>&amp;L&amp;"Times New Roman,Normal"&amp;5&amp;F  - TRANSPORTE de ENERGÍA ELÉCTRICA - AJF/rb - &amp;P/&amp;N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W49"/>
  <sheetViews>
    <sheetView zoomScale="70" zoomScaleNormal="70" workbookViewId="0" topLeftCell="A7">
      <selection activeCell="B3" sqref="B3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0.710937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09" customFormat="1" ht="26.25">
      <c r="W1" s="416"/>
    </row>
    <row r="2" spans="2:23" s="109" customFormat="1" ht="26.25">
      <c r="B2" s="110" t="str">
        <f>+'TOT-0511'!B2</f>
        <v>ANEXO V al Memorandum  D.T.E.E.  N°482  / 2012</v>
      </c>
      <c r="C2" s="111"/>
      <c r="D2" s="111"/>
      <c r="E2" s="111"/>
      <c r="F2" s="111"/>
      <c r="G2" s="110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="10" customFormat="1" ht="12.75"/>
    <row r="4" spans="1:4" s="112" customFormat="1" ht="11.25">
      <c r="A4" s="707" t="s">
        <v>21</v>
      </c>
      <c r="C4" s="706"/>
      <c r="D4" s="706"/>
    </row>
    <row r="5" spans="1:4" s="112" customFormat="1" ht="11.25">
      <c r="A5" s="707" t="s">
        <v>146</v>
      </c>
      <c r="C5" s="706"/>
      <c r="D5" s="706"/>
    </row>
    <row r="6" s="10" customFormat="1" ht="13.5" thickBot="1"/>
    <row r="7" spans="2:23" s="10" customFormat="1" ht="13.5" thickTop="1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3"/>
    </row>
    <row r="8" spans="2:23" s="114" customFormat="1" ht="20.25">
      <c r="B8" s="113"/>
      <c r="C8" s="45"/>
      <c r="D8" s="45"/>
      <c r="E8" s="45"/>
      <c r="F8" s="21" t="s">
        <v>46</v>
      </c>
      <c r="P8" s="45"/>
      <c r="Q8" s="45"/>
      <c r="R8" s="45"/>
      <c r="S8" s="45"/>
      <c r="T8" s="45"/>
      <c r="U8" s="45"/>
      <c r="V8" s="45"/>
      <c r="W8" s="115"/>
    </row>
    <row r="9" spans="2:23" s="10" customFormat="1" ht="12.75">
      <c r="B9" s="44"/>
      <c r="C9" s="8"/>
      <c r="D9" s="8"/>
      <c r="E9" s="8"/>
      <c r="F9" s="8"/>
      <c r="G9" s="8"/>
      <c r="H9" s="8"/>
      <c r="I9" s="123"/>
      <c r="J9" s="123"/>
      <c r="K9" s="123"/>
      <c r="L9" s="123"/>
      <c r="M9" s="123"/>
      <c r="P9" s="8"/>
      <c r="Q9" s="8"/>
      <c r="R9" s="8"/>
      <c r="S9" s="8"/>
      <c r="T9" s="8"/>
      <c r="U9" s="8"/>
      <c r="V9" s="8"/>
      <c r="W9" s="11"/>
    </row>
    <row r="10" spans="2:23" s="114" customFormat="1" ht="20.25">
      <c r="B10" s="113"/>
      <c r="C10" s="45"/>
      <c r="D10" s="45"/>
      <c r="E10" s="45"/>
      <c r="F10" s="21" t="s">
        <v>141</v>
      </c>
      <c r="G10" s="21"/>
      <c r="H10" s="45"/>
      <c r="I10" s="21"/>
      <c r="J10" s="21"/>
      <c r="K10" s="21"/>
      <c r="L10" s="21"/>
      <c r="M10" s="21"/>
      <c r="P10" s="45"/>
      <c r="Q10" s="45"/>
      <c r="R10" s="45"/>
      <c r="S10" s="45"/>
      <c r="T10" s="45"/>
      <c r="U10" s="45"/>
      <c r="V10" s="45"/>
      <c r="W10" s="115"/>
    </row>
    <row r="11" spans="2:23" s="10" customFormat="1" ht="12.75">
      <c r="B11" s="44"/>
      <c r="C11" s="8"/>
      <c r="D11" s="8"/>
      <c r="E11" s="8"/>
      <c r="F11" s="125"/>
      <c r="G11" s="123"/>
      <c r="H11" s="8"/>
      <c r="I11" s="123"/>
      <c r="J11" s="123"/>
      <c r="K11" s="123"/>
      <c r="L11" s="123"/>
      <c r="M11" s="123"/>
      <c r="P11" s="8"/>
      <c r="Q11" s="8"/>
      <c r="R11" s="8"/>
      <c r="S11" s="8"/>
      <c r="T11" s="8"/>
      <c r="U11" s="8"/>
      <c r="V11" s="8"/>
      <c r="W11" s="11"/>
    </row>
    <row r="12" spans="2:23" s="121" customFormat="1" ht="19.5">
      <c r="B12" s="87" t="str">
        <f>+'TOT-0511'!B14</f>
        <v>Desde el 01 al 31 de mayo de 2011</v>
      </c>
      <c r="C12" s="117"/>
      <c r="D12" s="117"/>
      <c r="E12" s="117"/>
      <c r="F12" s="117"/>
      <c r="G12" s="117"/>
      <c r="H12" s="86"/>
      <c r="I12" s="117"/>
      <c r="J12" s="118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20"/>
    </row>
    <row r="13" spans="2:23" s="121" customFormat="1" ht="7.5" customHeight="1">
      <c r="B13" s="87"/>
      <c r="C13" s="117"/>
      <c r="D13" s="117"/>
      <c r="E13" s="117"/>
      <c r="F13" s="117"/>
      <c r="G13" s="117"/>
      <c r="H13" s="86"/>
      <c r="I13" s="117"/>
      <c r="J13" s="118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20"/>
    </row>
    <row r="14" spans="2:23" s="10" customFormat="1" ht="7.5" customHeight="1" thickBot="1">
      <c r="B14" s="44"/>
      <c r="C14" s="8"/>
      <c r="D14" s="8"/>
      <c r="E14" s="8"/>
      <c r="I14" s="122"/>
      <c r="K14" s="8"/>
      <c r="L14" s="8"/>
      <c r="M14" s="8"/>
      <c r="N14" s="122"/>
      <c r="O14" s="122"/>
      <c r="P14" s="122"/>
      <c r="Q14" s="8"/>
      <c r="R14" s="8"/>
      <c r="S14" s="8"/>
      <c r="T14" s="8"/>
      <c r="U14" s="8"/>
      <c r="V14" s="8"/>
      <c r="W14" s="11"/>
    </row>
    <row r="15" spans="2:23" s="10" customFormat="1" ht="16.5" customHeight="1" thickBot="1" thickTop="1">
      <c r="B15" s="44"/>
      <c r="C15" s="8"/>
      <c r="D15" s="8"/>
      <c r="E15" s="8"/>
      <c r="F15" s="223" t="s">
        <v>90</v>
      </c>
      <c r="G15" s="224" t="s">
        <v>178</v>
      </c>
      <c r="H15" s="93">
        <f>60*'TOT-0511'!B13</f>
        <v>60</v>
      </c>
      <c r="I15" s="122"/>
      <c r="J15" s="239" t="str">
        <f>IF(H15=60," ",IF(H15=120,"Coeficiente duplicado por tasa de falla &gt;4 Sal. x año/100 km.","REVISAR COEFICIENTE"))</f>
        <v> </v>
      </c>
      <c r="K15" s="8"/>
      <c r="L15" s="8"/>
      <c r="M15" s="8"/>
      <c r="N15" s="122"/>
      <c r="O15" s="122"/>
      <c r="P15" s="122"/>
      <c r="Q15" s="8"/>
      <c r="R15" s="8"/>
      <c r="S15" s="8"/>
      <c r="T15" s="8"/>
      <c r="U15" s="8"/>
      <c r="V15" s="8"/>
      <c r="W15" s="11"/>
    </row>
    <row r="16" spans="2:23" s="10" customFormat="1" ht="16.5" customHeight="1" thickBot="1" thickTop="1">
      <c r="B16" s="44"/>
      <c r="C16" s="8"/>
      <c r="D16" s="8"/>
      <c r="E16" s="8"/>
      <c r="F16" s="223" t="s">
        <v>91</v>
      </c>
      <c r="G16" s="224">
        <v>3.243</v>
      </c>
      <c r="H16" s="93">
        <f>50*'TOT-0511'!B13</f>
        <v>50</v>
      </c>
      <c r="J16" s="239" t="str">
        <f>IF(H16=50," ",IF(H16=100,"Coeficiente duplicado por tasa de falla &gt;4 Sal. x año/100 km.","REVISAR COEFICIENTE"))</f>
        <v> </v>
      </c>
      <c r="Q16" s="278"/>
      <c r="S16" s="8"/>
      <c r="T16" s="8"/>
      <c r="U16" s="8"/>
      <c r="V16" s="220"/>
      <c r="W16" s="11"/>
    </row>
    <row r="17" spans="2:23" s="10" customFormat="1" ht="16.5" customHeight="1" thickBot="1" thickTop="1">
      <c r="B17" s="44"/>
      <c r="C17" s="8"/>
      <c r="D17" s="8"/>
      <c r="E17" s="8"/>
      <c r="F17" s="225" t="s">
        <v>92</v>
      </c>
      <c r="G17" s="226">
        <v>2.433</v>
      </c>
      <c r="H17" s="227">
        <f>25*'TOT-0511'!B13</f>
        <v>25</v>
      </c>
      <c r="J17" s="239" t="str">
        <f>IF(H17=25," ",IF(H17=50,"Coeficiente duplicado por tasa de falla &gt;4 Sal. x año/100 km.","REVISAR COEFICIENTE"))</f>
        <v> </v>
      </c>
      <c r="K17" s="167"/>
      <c r="L17" s="167"/>
      <c r="M17" s="8"/>
      <c r="P17" s="221"/>
      <c r="Q17" s="222"/>
      <c r="R17" s="36"/>
      <c r="S17" s="8"/>
      <c r="T17" s="8"/>
      <c r="U17" s="8"/>
      <c r="V17" s="220"/>
      <c r="W17" s="11"/>
    </row>
    <row r="18" spans="2:23" s="10" customFormat="1" ht="16.5" customHeight="1" thickBot="1" thickTop="1">
      <c r="B18" s="44"/>
      <c r="C18" s="8"/>
      <c r="D18" s="8"/>
      <c r="E18" s="8"/>
      <c r="F18" s="228" t="s">
        <v>93</v>
      </c>
      <c r="G18" s="226">
        <v>2.433</v>
      </c>
      <c r="H18" s="229">
        <f>20*'TOT-0511'!B13</f>
        <v>20</v>
      </c>
      <c r="J18" s="239" t="str">
        <f>IF(H18=20," ",IF(H18=40,"Coeficiente duplicado por tasa de falla &gt;4 Sal. x año/100 km.","REVISAR COEFICIENTE"))</f>
        <v> </v>
      </c>
      <c r="K18" s="167"/>
      <c r="L18" s="167"/>
      <c r="M18" s="8"/>
      <c r="P18" s="221"/>
      <c r="Q18" s="222"/>
      <c r="R18" s="36"/>
      <c r="S18" s="8"/>
      <c r="T18" s="8"/>
      <c r="U18" s="8"/>
      <c r="V18" s="220"/>
      <c r="W18" s="11"/>
    </row>
    <row r="19" spans="2:23" s="10" customFormat="1" ht="7.5" customHeight="1" thickTop="1">
      <c r="B19" s="44"/>
      <c r="C19" s="8"/>
      <c r="D19" s="8"/>
      <c r="E19" s="8"/>
      <c r="F19" s="98"/>
      <c r="G19" s="699"/>
      <c r="H19" s="700"/>
      <c r="J19" s="239"/>
      <c r="K19" s="167"/>
      <c r="L19" s="167"/>
      <c r="M19" s="8"/>
      <c r="P19" s="221"/>
      <c r="Q19" s="222"/>
      <c r="R19" s="36"/>
      <c r="S19" s="8"/>
      <c r="T19" s="8"/>
      <c r="U19" s="8"/>
      <c r="V19" s="220"/>
      <c r="W19" s="11"/>
    </row>
    <row r="20" spans="2:23" s="732" customFormat="1" ht="15" customHeight="1" thickBot="1">
      <c r="B20" s="729"/>
      <c r="C20" s="728">
        <v>3</v>
      </c>
      <c r="D20" s="728">
        <v>4</v>
      </c>
      <c r="E20" s="728">
        <v>5</v>
      </c>
      <c r="F20" s="728">
        <v>6</v>
      </c>
      <c r="G20" s="728">
        <v>7</v>
      </c>
      <c r="H20" s="728">
        <v>8</v>
      </c>
      <c r="I20" s="728">
        <v>9</v>
      </c>
      <c r="J20" s="728">
        <v>10</v>
      </c>
      <c r="K20" s="728">
        <v>11</v>
      </c>
      <c r="L20" s="728">
        <v>12</v>
      </c>
      <c r="M20" s="728">
        <v>13</v>
      </c>
      <c r="N20" s="728">
        <v>14</v>
      </c>
      <c r="O20" s="728">
        <v>15</v>
      </c>
      <c r="P20" s="728">
        <v>16</v>
      </c>
      <c r="Q20" s="728">
        <v>17</v>
      </c>
      <c r="R20" s="728">
        <v>18</v>
      </c>
      <c r="S20" s="728">
        <v>19</v>
      </c>
      <c r="T20" s="728">
        <v>20</v>
      </c>
      <c r="U20" s="728">
        <v>21</v>
      </c>
      <c r="V20" s="728">
        <v>22</v>
      </c>
      <c r="W20" s="731"/>
    </row>
    <row r="21" spans="2:23" s="10" customFormat="1" ht="33.75" customHeight="1" thickBot="1" thickTop="1">
      <c r="B21" s="44"/>
      <c r="C21" s="216" t="s">
        <v>52</v>
      </c>
      <c r="D21" s="101" t="s">
        <v>145</v>
      </c>
      <c r="E21" s="101" t="s">
        <v>144</v>
      </c>
      <c r="F21" s="214" t="s">
        <v>76</v>
      </c>
      <c r="G21" s="230" t="s">
        <v>19</v>
      </c>
      <c r="H21" s="233" t="s">
        <v>53</v>
      </c>
      <c r="I21" s="269" t="s">
        <v>55</v>
      </c>
      <c r="J21" s="210" t="s">
        <v>56</v>
      </c>
      <c r="K21" s="230" t="s">
        <v>57</v>
      </c>
      <c r="L21" s="232" t="s">
        <v>80</v>
      </c>
      <c r="M21" s="232" t="s">
        <v>81</v>
      </c>
      <c r="N21" s="105" t="s">
        <v>60</v>
      </c>
      <c r="O21" s="215" t="s">
        <v>82</v>
      </c>
      <c r="P21" s="390" t="s">
        <v>94</v>
      </c>
      <c r="Q21" s="324" t="s">
        <v>62</v>
      </c>
      <c r="R21" s="364" t="s">
        <v>86</v>
      </c>
      <c r="S21" s="365"/>
      <c r="T21" s="400" t="s">
        <v>66</v>
      </c>
      <c r="U21" s="212" t="s">
        <v>68</v>
      </c>
      <c r="V21" s="212" t="s">
        <v>69</v>
      </c>
      <c r="W21" s="38"/>
    </row>
    <row r="22" spans="2:23" s="10" customFormat="1" ht="16.5" customHeight="1" thickTop="1">
      <c r="B22" s="44"/>
      <c r="C22" s="20"/>
      <c r="D22" s="18"/>
      <c r="E22" s="18"/>
      <c r="F22" s="32"/>
      <c r="G22" s="32"/>
      <c r="H22" s="12"/>
      <c r="I22" s="277"/>
      <c r="J22" s="33"/>
      <c r="K22" s="34"/>
      <c r="L22" s="35"/>
      <c r="M22" s="64"/>
      <c r="N22" s="392"/>
      <c r="O22" s="392"/>
      <c r="P22" s="393"/>
      <c r="Q22" s="395"/>
      <c r="R22" s="397"/>
      <c r="S22" s="398"/>
      <c r="T22" s="401"/>
      <c r="U22" s="399"/>
      <c r="V22" s="394"/>
      <c r="W22" s="38"/>
    </row>
    <row r="23" spans="2:23" s="10" customFormat="1" ht="16.5" customHeight="1">
      <c r="B23" s="44"/>
      <c r="C23" s="20"/>
      <c r="D23" s="18"/>
      <c r="E23" s="18"/>
      <c r="F23" s="32"/>
      <c r="G23" s="32"/>
      <c r="H23" s="12"/>
      <c r="I23" s="277"/>
      <c r="J23" s="33"/>
      <c r="K23" s="34"/>
      <c r="L23" s="35"/>
      <c r="M23" s="64"/>
      <c r="N23" s="28"/>
      <c r="O23" s="28"/>
      <c r="P23" s="391"/>
      <c r="Q23" s="396"/>
      <c r="R23" s="370"/>
      <c r="S23" s="371"/>
      <c r="T23" s="402"/>
      <c r="U23" s="25"/>
      <c r="V23" s="231"/>
      <c r="W23" s="38"/>
    </row>
    <row r="24" spans="2:23" s="10" customFormat="1" ht="16.5" customHeight="1">
      <c r="B24" s="44"/>
      <c r="C24" s="665">
        <v>16</v>
      </c>
      <c r="D24" s="650">
        <v>234305</v>
      </c>
      <c r="E24" s="650">
        <v>1770</v>
      </c>
      <c r="F24" s="650" t="s">
        <v>16</v>
      </c>
      <c r="G24" s="650" t="s">
        <v>179</v>
      </c>
      <c r="H24" s="667">
        <v>13.2</v>
      </c>
      <c r="I24" s="277">
        <f aca="true" t="shared" si="0" ref="I24:I43">IF(H24=330,$G$15,IF(AND(H24&lt;=132,H24&gt;=66),$G$16,IF(AND(H24&lt;66,H24&gt;=33),$G$17,$G$18)))</f>
        <v>2.433</v>
      </c>
      <c r="J24" s="668">
        <v>40665.375</v>
      </c>
      <c r="K24" s="669">
        <v>40665.45625</v>
      </c>
      <c r="L24" s="35">
        <f aca="true" t="shared" si="1" ref="L24:L43">IF(F24="","",(K24-J24)*24)</f>
        <v>1.9500000000698492</v>
      </c>
      <c r="M24" s="64">
        <f aca="true" t="shared" si="2" ref="M24:M43">IF(F24="","",ROUND((K24-J24)*24*60,0))</f>
        <v>117</v>
      </c>
      <c r="N24" s="670" t="s">
        <v>152</v>
      </c>
      <c r="O24" s="28" t="str">
        <f aca="true" t="shared" si="3" ref="O24:O43">IF(F24="","",IF(N24="P","--","NO"))</f>
        <v>--</v>
      </c>
      <c r="P24" s="391">
        <f aca="true" t="shared" si="4" ref="P24:P43">IF(H24=330,$H$15,IF(AND(H24&lt;=132,H24&gt;=66),$H$16,IF(AND(H24&lt;66,H24&gt;13.2),$H$17,$H$18)))</f>
        <v>20</v>
      </c>
      <c r="Q24" s="724">
        <f aca="true" t="shared" si="5" ref="Q24:Q43">IF(N24="P",I24*P24*ROUND(M24/60,2)*0.1,"--")</f>
        <v>9.4887</v>
      </c>
      <c r="R24" s="370" t="str">
        <f aca="true" t="shared" si="6" ref="R24:R43">IF(AND(N24="F",O24="NO"),I24*P24,"--")</f>
        <v>--</v>
      </c>
      <c r="S24" s="371" t="str">
        <f aca="true" t="shared" si="7" ref="S24:S43">IF(N24="F",I24*P24*ROUND(M24/60,2),"--")</f>
        <v>--</v>
      </c>
      <c r="T24" s="402" t="str">
        <f aca="true" t="shared" si="8" ref="T24:T43">IF(N24="RF",I24*P24*ROUND(M24/60,2),"--")</f>
        <v>--</v>
      </c>
      <c r="U24" s="25" t="str">
        <f aca="true" t="shared" si="9" ref="U24:U43">IF(F24="","","SI")</f>
        <v>SI</v>
      </c>
      <c r="V24" s="65">
        <f aca="true" t="shared" si="10" ref="V24:V43">IF(F24="","",SUM(Q24:T24)*IF(U24="SI",1,2)*IF(H24="500/220",0,1))</f>
        <v>9.4887</v>
      </c>
      <c r="W24" s="38"/>
    </row>
    <row r="25" spans="2:23" s="10" customFormat="1" ht="16.5" customHeight="1">
      <c r="B25" s="44"/>
      <c r="C25" s="665">
        <v>17</v>
      </c>
      <c r="D25" s="650">
        <v>234498</v>
      </c>
      <c r="E25" s="650">
        <v>1770</v>
      </c>
      <c r="F25" s="650" t="s">
        <v>16</v>
      </c>
      <c r="G25" s="650" t="s">
        <v>179</v>
      </c>
      <c r="H25" s="667">
        <v>13.2</v>
      </c>
      <c r="I25" s="277">
        <f t="shared" si="0"/>
        <v>2.433</v>
      </c>
      <c r="J25" s="668">
        <v>40674.57777777778</v>
      </c>
      <c r="K25" s="669">
        <v>40674.62291666667</v>
      </c>
      <c r="L25" s="35">
        <f t="shared" si="1"/>
        <v>1.0833333333721384</v>
      </c>
      <c r="M25" s="64">
        <f t="shared" si="2"/>
        <v>65</v>
      </c>
      <c r="N25" s="670" t="s">
        <v>152</v>
      </c>
      <c r="O25" s="28" t="str">
        <f t="shared" si="3"/>
        <v>--</v>
      </c>
      <c r="P25" s="391">
        <f t="shared" si="4"/>
        <v>20</v>
      </c>
      <c r="Q25" s="724">
        <f t="shared" si="5"/>
        <v>5.25528</v>
      </c>
      <c r="R25" s="370" t="str">
        <f t="shared" si="6"/>
        <v>--</v>
      </c>
      <c r="S25" s="371" t="str">
        <f t="shared" si="7"/>
        <v>--</v>
      </c>
      <c r="T25" s="402" t="str">
        <f t="shared" si="8"/>
        <v>--</v>
      </c>
      <c r="U25" s="25" t="str">
        <f t="shared" si="9"/>
        <v>SI</v>
      </c>
      <c r="V25" s="65">
        <f t="shared" si="10"/>
        <v>5.25528</v>
      </c>
      <c r="W25" s="38"/>
    </row>
    <row r="26" spans="2:23" s="10" customFormat="1" ht="16.5" customHeight="1">
      <c r="B26" s="44"/>
      <c r="C26" s="665">
        <v>18</v>
      </c>
      <c r="D26" s="650">
        <v>235040</v>
      </c>
      <c r="E26" s="650">
        <v>1771</v>
      </c>
      <c r="F26" s="650" t="s">
        <v>16</v>
      </c>
      <c r="G26" s="650" t="s">
        <v>180</v>
      </c>
      <c r="H26" s="667">
        <v>13.2</v>
      </c>
      <c r="I26" s="277">
        <f t="shared" si="0"/>
        <v>2.433</v>
      </c>
      <c r="J26" s="668">
        <v>40687.38055555556</v>
      </c>
      <c r="K26" s="669">
        <v>40687.42152777778</v>
      </c>
      <c r="L26" s="35">
        <f t="shared" si="1"/>
        <v>0.9833333332207985</v>
      </c>
      <c r="M26" s="64">
        <f t="shared" si="2"/>
        <v>59</v>
      </c>
      <c r="N26" s="670" t="s">
        <v>152</v>
      </c>
      <c r="O26" s="28" t="str">
        <f t="shared" si="3"/>
        <v>--</v>
      </c>
      <c r="P26" s="391">
        <f t="shared" si="4"/>
        <v>20</v>
      </c>
      <c r="Q26" s="724">
        <f t="shared" si="5"/>
        <v>4.76868</v>
      </c>
      <c r="R26" s="370" t="str">
        <f t="shared" si="6"/>
        <v>--</v>
      </c>
      <c r="S26" s="371" t="str">
        <f t="shared" si="7"/>
        <v>--</v>
      </c>
      <c r="T26" s="402" t="str">
        <f t="shared" si="8"/>
        <v>--</v>
      </c>
      <c r="U26" s="25" t="str">
        <f t="shared" si="9"/>
        <v>SI</v>
      </c>
      <c r="V26" s="65">
        <f t="shared" si="10"/>
        <v>4.76868</v>
      </c>
      <c r="W26" s="38"/>
    </row>
    <row r="27" spans="2:23" s="10" customFormat="1" ht="16.5" customHeight="1">
      <c r="B27" s="44"/>
      <c r="C27" s="665"/>
      <c r="D27" s="650"/>
      <c r="E27" s="650"/>
      <c r="F27" s="666"/>
      <c r="G27" s="666"/>
      <c r="H27" s="673"/>
      <c r="I27" s="277">
        <f t="shared" si="0"/>
        <v>2.433</v>
      </c>
      <c r="J27" s="668"/>
      <c r="K27" s="669"/>
      <c r="L27" s="35">
        <f t="shared" si="1"/>
      </c>
      <c r="M27" s="64">
        <f t="shared" si="2"/>
      </c>
      <c r="N27" s="670"/>
      <c r="O27" s="28">
        <f t="shared" si="3"/>
      </c>
      <c r="P27" s="391">
        <f t="shared" si="4"/>
        <v>20</v>
      </c>
      <c r="Q27" s="724" t="str">
        <f t="shared" si="5"/>
        <v>--</v>
      </c>
      <c r="R27" s="370" t="str">
        <f t="shared" si="6"/>
        <v>--</v>
      </c>
      <c r="S27" s="371" t="str">
        <f t="shared" si="7"/>
        <v>--</v>
      </c>
      <c r="T27" s="402" t="str">
        <f t="shared" si="8"/>
        <v>--</v>
      </c>
      <c r="U27" s="25">
        <f t="shared" si="9"/>
      </c>
      <c r="V27" s="65">
        <f t="shared" si="10"/>
      </c>
      <c r="W27" s="38"/>
    </row>
    <row r="28" spans="2:23" s="10" customFormat="1" ht="16.5" customHeight="1">
      <c r="B28" s="44"/>
      <c r="C28" s="665"/>
      <c r="D28" s="650"/>
      <c r="E28" s="650"/>
      <c r="F28" s="666"/>
      <c r="G28" s="666"/>
      <c r="H28" s="673"/>
      <c r="I28" s="277">
        <f t="shared" si="0"/>
        <v>2.433</v>
      </c>
      <c r="J28" s="668"/>
      <c r="K28" s="669"/>
      <c r="L28" s="35">
        <f t="shared" si="1"/>
      </c>
      <c r="M28" s="64">
        <f t="shared" si="2"/>
      </c>
      <c r="N28" s="670"/>
      <c r="O28" s="28">
        <f t="shared" si="3"/>
      </c>
      <c r="P28" s="391">
        <f t="shared" si="4"/>
        <v>20</v>
      </c>
      <c r="Q28" s="724" t="str">
        <f t="shared" si="5"/>
        <v>--</v>
      </c>
      <c r="R28" s="370" t="str">
        <f t="shared" si="6"/>
        <v>--</v>
      </c>
      <c r="S28" s="371" t="str">
        <f t="shared" si="7"/>
        <v>--</v>
      </c>
      <c r="T28" s="402" t="str">
        <f t="shared" si="8"/>
        <v>--</v>
      </c>
      <c r="U28" s="25">
        <f t="shared" si="9"/>
      </c>
      <c r="V28" s="65">
        <f t="shared" si="10"/>
      </c>
      <c r="W28" s="38"/>
    </row>
    <row r="29" spans="2:23" s="10" customFormat="1" ht="16.5" customHeight="1">
      <c r="B29" s="44"/>
      <c r="C29" s="665"/>
      <c r="D29" s="650"/>
      <c r="E29" s="650"/>
      <c r="F29" s="666"/>
      <c r="G29" s="666"/>
      <c r="H29" s="673"/>
      <c r="I29" s="277">
        <f t="shared" si="0"/>
        <v>2.433</v>
      </c>
      <c r="J29" s="668"/>
      <c r="K29" s="669"/>
      <c r="L29" s="35">
        <f t="shared" si="1"/>
      </c>
      <c r="M29" s="64">
        <f t="shared" si="2"/>
      </c>
      <c r="N29" s="670"/>
      <c r="O29" s="28">
        <f t="shared" si="3"/>
      </c>
      <c r="P29" s="391">
        <f t="shared" si="4"/>
        <v>20</v>
      </c>
      <c r="Q29" s="724" t="str">
        <f t="shared" si="5"/>
        <v>--</v>
      </c>
      <c r="R29" s="370" t="str">
        <f t="shared" si="6"/>
        <v>--</v>
      </c>
      <c r="S29" s="371" t="str">
        <f t="shared" si="7"/>
        <v>--</v>
      </c>
      <c r="T29" s="402" t="str">
        <f t="shared" si="8"/>
        <v>--</v>
      </c>
      <c r="U29" s="25">
        <f t="shared" si="9"/>
      </c>
      <c r="V29" s="65">
        <f t="shared" si="10"/>
      </c>
      <c r="W29" s="38"/>
    </row>
    <row r="30" spans="2:23" s="10" customFormat="1" ht="16.5" customHeight="1">
      <c r="B30" s="44"/>
      <c r="C30" s="665"/>
      <c r="D30" s="650"/>
      <c r="E30" s="650"/>
      <c r="F30" s="666"/>
      <c r="G30" s="666"/>
      <c r="H30" s="673"/>
      <c r="I30" s="277">
        <f t="shared" si="0"/>
        <v>2.433</v>
      </c>
      <c r="J30" s="668"/>
      <c r="K30" s="669"/>
      <c r="L30" s="35">
        <f t="shared" si="1"/>
      </c>
      <c r="M30" s="64">
        <f t="shared" si="2"/>
      </c>
      <c r="N30" s="670"/>
      <c r="O30" s="28">
        <f t="shared" si="3"/>
      </c>
      <c r="P30" s="391">
        <f t="shared" si="4"/>
        <v>20</v>
      </c>
      <c r="Q30" s="724" t="str">
        <f t="shared" si="5"/>
        <v>--</v>
      </c>
      <c r="R30" s="370" t="str">
        <f t="shared" si="6"/>
        <v>--</v>
      </c>
      <c r="S30" s="371" t="str">
        <f t="shared" si="7"/>
        <v>--</v>
      </c>
      <c r="T30" s="402" t="str">
        <f t="shared" si="8"/>
        <v>--</v>
      </c>
      <c r="U30" s="25">
        <f t="shared" si="9"/>
      </c>
      <c r="V30" s="65">
        <f t="shared" si="10"/>
      </c>
      <c r="W30" s="38"/>
    </row>
    <row r="31" spans="2:23" s="10" customFormat="1" ht="16.5" customHeight="1">
      <c r="B31" s="44"/>
      <c r="C31" s="665"/>
      <c r="D31" s="650"/>
      <c r="E31" s="650"/>
      <c r="F31" s="666"/>
      <c r="G31" s="666"/>
      <c r="H31" s="673"/>
      <c r="I31" s="277">
        <f t="shared" si="0"/>
        <v>2.433</v>
      </c>
      <c r="J31" s="668"/>
      <c r="K31" s="669"/>
      <c r="L31" s="35">
        <f t="shared" si="1"/>
      </c>
      <c r="M31" s="64">
        <f t="shared" si="2"/>
      </c>
      <c r="N31" s="670"/>
      <c r="O31" s="28">
        <f t="shared" si="3"/>
      </c>
      <c r="P31" s="391">
        <f t="shared" si="4"/>
        <v>20</v>
      </c>
      <c r="Q31" s="724" t="str">
        <f t="shared" si="5"/>
        <v>--</v>
      </c>
      <c r="R31" s="370" t="str">
        <f t="shared" si="6"/>
        <v>--</v>
      </c>
      <c r="S31" s="371" t="str">
        <f t="shared" si="7"/>
        <v>--</v>
      </c>
      <c r="T31" s="402" t="str">
        <f t="shared" si="8"/>
        <v>--</v>
      </c>
      <c r="U31" s="25">
        <f t="shared" si="9"/>
      </c>
      <c r="V31" s="65">
        <f t="shared" si="10"/>
      </c>
      <c r="W31" s="38"/>
    </row>
    <row r="32" spans="2:23" s="10" customFormat="1" ht="16.5" customHeight="1">
      <c r="B32" s="44"/>
      <c r="C32" s="665"/>
      <c r="D32" s="650"/>
      <c r="E32" s="650"/>
      <c r="F32" s="666"/>
      <c r="G32" s="666"/>
      <c r="H32" s="673"/>
      <c r="I32" s="277">
        <f t="shared" si="0"/>
        <v>2.433</v>
      </c>
      <c r="J32" s="668"/>
      <c r="K32" s="669"/>
      <c r="L32" s="35">
        <f t="shared" si="1"/>
      </c>
      <c r="M32" s="64">
        <f t="shared" si="2"/>
      </c>
      <c r="N32" s="670"/>
      <c r="O32" s="28">
        <f t="shared" si="3"/>
      </c>
      <c r="P32" s="391">
        <f t="shared" si="4"/>
        <v>20</v>
      </c>
      <c r="Q32" s="724" t="str">
        <f t="shared" si="5"/>
        <v>--</v>
      </c>
      <c r="R32" s="370" t="str">
        <f t="shared" si="6"/>
        <v>--</v>
      </c>
      <c r="S32" s="371" t="str">
        <f t="shared" si="7"/>
        <v>--</v>
      </c>
      <c r="T32" s="402" t="str">
        <f t="shared" si="8"/>
        <v>--</v>
      </c>
      <c r="U32" s="25">
        <f t="shared" si="9"/>
      </c>
      <c r="V32" s="65">
        <f t="shared" si="10"/>
      </c>
      <c r="W32" s="38"/>
    </row>
    <row r="33" spans="2:23" s="10" customFormat="1" ht="16.5" customHeight="1">
      <c r="B33" s="44"/>
      <c r="C33" s="665"/>
      <c r="D33" s="650"/>
      <c r="E33" s="650"/>
      <c r="F33" s="666"/>
      <c r="G33" s="666"/>
      <c r="H33" s="673"/>
      <c r="I33" s="277">
        <f t="shared" si="0"/>
        <v>2.433</v>
      </c>
      <c r="J33" s="668"/>
      <c r="K33" s="669"/>
      <c r="L33" s="35">
        <f t="shared" si="1"/>
      </c>
      <c r="M33" s="64">
        <f t="shared" si="2"/>
      </c>
      <c r="N33" s="670"/>
      <c r="O33" s="28">
        <f t="shared" si="3"/>
      </c>
      <c r="P33" s="391">
        <f t="shared" si="4"/>
        <v>20</v>
      </c>
      <c r="Q33" s="724" t="str">
        <f t="shared" si="5"/>
        <v>--</v>
      </c>
      <c r="R33" s="370" t="str">
        <f t="shared" si="6"/>
        <v>--</v>
      </c>
      <c r="S33" s="371" t="str">
        <f t="shared" si="7"/>
        <v>--</v>
      </c>
      <c r="T33" s="402" t="str">
        <f t="shared" si="8"/>
        <v>--</v>
      </c>
      <c r="U33" s="25">
        <f t="shared" si="9"/>
      </c>
      <c r="V33" s="65">
        <f t="shared" si="10"/>
      </c>
      <c r="W33" s="38"/>
    </row>
    <row r="34" spans="2:23" s="10" customFormat="1" ht="16.5" customHeight="1">
      <c r="B34" s="44"/>
      <c r="C34" s="665"/>
      <c r="D34" s="650"/>
      <c r="E34" s="650"/>
      <c r="F34" s="666"/>
      <c r="G34" s="666"/>
      <c r="H34" s="673"/>
      <c r="I34" s="277">
        <f t="shared" si="0"/>
        <v>2.433</v>
      </c>
      <c r="J34" s="668"/>
      <c r="K34" s="669"/>
      <c r="L34" s="35">
        <f t="shared" si="1"/>
      </c>
      <c r="M34" s="64">
        <f t="shared" si="2"/>
      </c>
      <c r="N34" s="670"/>
      <c r="O34" s="28">
        <f t="shared" si="3"/>
      </c>
      <c r="P34" s="391">
        <f t="shared" si="4"/>
        <v>20</v>
      </c>
      <c r="Q34" s="724" t="str">
        <f t="shared" si="5"/>
        <v>--</v>
      </c>
      <c r="R34" s="370" t="str">
        <f t="shared" si="6"/>
        <v>--</v>
      </c>
      <c r="S34" s="371" t="str">
        <f t="shared" si="7"/>
        <v>--</v>
      </c>
      <c r="T34" s="402" t="str">
        <f t="shared" si="8"/>
        <v>--</v>
      </c>
      <c r="U34" s="25">
        <f t="shared" si="9"/>
      </c>
      <c r="V34" s="65">
        <f t="shared" si="10"/>
      </c>
      <c r="W34" s="38"/>
    </row>
    <row r="35" spans="2:23" s="10" customFormat="1" ht="16.5" customHeight="1">
      <c r="B35" s="44"/>
      <c r="C35" s="665"/>
      <c r="D35" s="650"/>
      <c r="E35" s="650"/>
      <c r="F35" s="666"/>
      <c r="G35" s="666"/>
      <c r="H35" s="673"/>
      <c r="I35" s="277">
        <f t="shared" si="0"/>
        <v>2.433</v>
      </c>
      <c r="J35" s="668"/>
      <c r="K35" s="669"/>
      <c r="L35" s="35">
        <f t="shared" si="1"/>
      </c>
      <c r="M35" s="64">
        <f t="shared" si="2"/>
      </c>
      <c r="N35" s="670"/>
      <c r="O35" s="28">
        <f t="shared" si="3"/>
      </c>
      <c r="P35" s="391">
        <f t="shared" si="4"/>
        <v>20</v>
      </c>
      <c r="Q35" s="724" t="str">
        <f t="shared" si="5"/>
        <v>--</v>
      </c>
      <c r="R35" s="370" t="str">
        <f t="shared" si="6"/>
        <v>--</v>
      </c>
      <c r="S35" s="371" t="str">
        <f t="shared" si="7"/>
        <v>--</v>
      </c>
      <c r="T35" s="402" t="str">
        <f t="shared" si="8"/>
        <v>--</v>
      </c>
      <c r="U35" s="25">
        <f t="shared" si="9"/>
      </c>
      <c r="V35" s="65">
        <f t="shared" si="10"/>
      </c>
      <c r="W35" s="38"/>
    </row>
    <row r="36" spans="2:23" s="10" customFormat="1" ht="16.5" customHeight="1">
      <c r="B36" s="44"/>
      <c r="C36" s="665"/>
      <c r="D36" s="650"/>
      <c r="E36" s="650"/>
      <c r="F36" s="666"/>
      <c r="G36" s="666"/>
      <c r="H36" s="673"/>
      <c r="I36" s="277">
        <f t="shared" si="0"/>
        <v>2.433</v>
      </c>
      <c r="J36" s="668"/>
      <c r="K36" s="669"/>
      <c r="L36" s="35">
        <f t="shared" si="1"/>
      </c>
      <c r="M36" s="64">
        <f t="shared" si="2"/>
      </c>
      <c r="N36" s="670"/>
      <c r="O36" s="28">
        <f t="shared" si="3"/>
      </c>
      <c r="P36" s="391">
        <f t="shared" si="4"/>
        <v>20</v>
      </c>
      <c r="Q36" s="724" t="str">
        <f t="shared" si="5"/>
        <v>--</v>
      </c>
      <c r="R36" s="370" t="str">
        <f t="shared" si="6"/>
        <v>--</v>
      </c>
      <c r="S36" s="371" t="str">
        <f t="shared" si="7"/>
        <v>--</v>
      </c>
      <c r="T36" s="402" t="str">
        <f t="shared" si="8"/>
        <v>--</v>
      </c>
      <c r="U36" s="25">
        <f t="shared" si="9"/>
      </c>
      <c r="V36" s="65">
        <f t="shared" si="10"/>
      </c>
      <c r="W36" s="38"/>
    </row>
    <row r="37" spans="2:23" s="10" customFormat="1" ht="16.5" customHeight="1">
      <c r="B37" s="44"/>
      <c r="C37" s="665"/>
      <c r="D37" s="650"/>
      <c r="E37" s="650"/>
      <c r="F37" s="666"/>
      <c r="G37" s="666"/>
      <c r="H37" s="673"/>
      <c r="I37" s="277">
        <f t="shared" si="0"/>
        <v>2.433</v>
      </c>
      <c r="J37" s="668"/>
      <c r="K37" s="669"/>
      <c r="L37" s="35">
        <f t="shared" si="1"/>
      </c>
      <c r="M37" s="64">
        <f t="shared" si="2"/>
      </c>
      <c r="N37" s="670"/>
      <c r="O37" s="28">
        <f t="shared" si="3"/>
      </c>
      <c r="P37" s="391">
        <f t="shared" si="4"/>
        <v>20</v>
      </c>
      <c r="Q37" s="724" t="str">
        <f t="shared" si="5"/>
        <v>--</v>
      </c>
      <c r="R37" s="370" t="str">
        <f t="shared" si="6"/>
        <v>--</v>
      </c>
      <c r="S37" s="371" t="str">
        <f t="shared" si="7"/>
        <v>--</v>
      </c>
      <c r="T37" s="402" t="str">
        <f t="shared" si="8"/>
        <v>--</v>
      </c>
      <c r="U37" s="25">
        <f t="shared" si="9"/>
      </c>
      <c r="V37" s="65">
        <f t="shared" si="10"/>
      </c>
      <c r="W37" s="38"/>
    </row>
    <row r="38" spans="2:23" s="10" customFormat="1" ht="16.5" customHeight="1">
      <c r="B38" s="44"/>
      <c r="C38" s="665"/>
      <c r="D38" s="650"/>
      <c r="E38" s="650"/>
      <c r="F38" s="666"/>
      <c r="G38" s="666"/>
      <c r="H38" s="673"/>
      <c r="I38" s="277">
        <f t="shared" si="0"/>
        <v>2.433</v>
      </c>
      <c r="J38" s="668"/>
      <c r="K38" s="669"/>
      <c r="L38" s="35">
        <f t="shared" si="1"/>
      </c>
      <c r="M38" s="64">
        <f t="shared" si="2"/>
      </c>
      <c r="N38" s="670"/>
      <c r="O38" s="28">
        <f t="shared" si="3"/>
      </c>
      <c r="P38" s="391">
        <f t="shared" si="4"/>
        <v>20</v>
      </c>
      <c r="Q38" s="724" t="str">
        <f t="shared" si="5"/>
        <v>--</v>
      </c>
      <c r="R38" s="370" t="str">
        <f t="shared" si="6"/>
        <v>--</v>
      </c>
      <c r="S38" s="371" t="str">
        <f t="shared" si="7"/>
        <v>--</v>
      </c>
      <c r="T38" s="402" t="str">
        <f t="shared" si="8"/>
        <v>--</v>
      </c>
      <c r="U38" s="25">
        <f t="shared" si="9"/>
      </c>
      <c r="V38" s="65">
        <f t="shared" si="10"/>
      </c>
      <c r="W38" s="38"/>
    </row>
    <row r="39" spans="2:23" s="10" customFormat="1" ht="16.5" customHeight="1">
      <c r="B39" s="44"/>
      <c r="C39" s="665"/>
      <c r="D39" s="650"/>
      <c r="E39" s="650"/>
      <c r="F39" s="666"/>
      <c r="G39" s="666"/>
      <c r="H39" s="673"/>
      <c r="I39" s="277">
        <f t="shared" si="0"/>
        <v>2.433</v>
      </c>
      <c r="J39" s="668"/>
      <c r="K39" s="669"/>
      <c r="L39" s="35">
        <f t="shared" si="1"/>
      </c>
      <c r="M39" s="64">
        <f t="shared" si="2"/>
      </c>
      <c r="N39" s="670"/>
      <c r="O39" s="28">
        <f t="shared" si="3"/>
      </c>
      <c r="P39" s="391">
        <f t="shared" si="4"/>
        <v>20</v>
      </c>
      <c r="Q39" s="724" t="str">
        <f t="shared" si="5"/>
        <v>--</v>
      </c>
      <c r="R39" s="370" t="str">
        <f t="shared" si="6"/>
        <v>--</v>
      </c>
      <c r="S39" s="371" t="str">
        <f t="shared" si="7"/>
        <v>--</v>
      </c>
      <c r="T39" s="402" t="str">
        <f t="shared" si="8"/>
        <v>--</v>
      </c>
      <c r="U39" s="25">
        <f t="shared" si="9"/>
      </c>
      <c r="V39" s="65">
        <f t="shared" si="10"/>
      </c>
      <c r="W39" s="38"/>
    </row>
    <row r="40" spans="2:23" s="10" customFormat="1" ht="16.5" customHeight="1">
      <c r="B40" s="44"/>
      <c r="C40" s="665"/>
      <c r="D40" s="650"/>
      <c r="E40" s="650"/>
      <c r="F40" s="666"/>
      <c r="G40" s="666"/>
      <c r="H40" s="673"/>
      <c r="I40" s="277">
        <f t="shared" si="0"/>
        <v>2.433</v>
      </c>
      <c r="J40" s="668"/>
      <c r="K40" s="669"/>
      <c r="L40" s="35">
        <f t="shared" si="1"/>
      </c>
      <c r="M40" s="64">
        <f t="shared" si="2"/>
      </c>
      <c r="N40" s="670"/>
      <c r="O40" s="28">
        <f t="shared" si="3"/>
      </c>
      <c r="P40" s="391">
        <f t="shared" si="4"/>
        <v>20</v>
      </c>
      <c r="Q40" s="724" t="str">
        <f t="shared" si="5"/>
        <v>--</v>
      </c>
      <c r="R40" s="370" t="str">
        <f t="shared" si="6"/>
        <v>--</v>
      </c>
      <c r="S40" s="371" t="str">
        <f t="shared" si="7"/>
        <v>--</v>
      </c>
      <c r="T40" s="402" t="str">
        <f t="shared" si="8"/>
        <v>--</v>
      </c>
      <c r="U40" s="25">
        <f t="shared" si="9"/>
      </c>
      <c r="V40" s="65">
        <f t="shared" si="10"/>
      </c>
      <c r="W40" s="38"/>
    </row>
    <row r="41" spans="2:23" s="10" customFormat="1" ht="16.5" customHeight="1">
      <c r="B41" s="44"/>
      <c r="C41" s="665"/>
      <c r="D41" s="650"/>
      <c r="E41" s="650"/>
      <c r="F41" s="666"/>
      <c r="G41" s="666"/>
      <c r="H41" s="673"/>
      <c r="I41" s="277">
        <f t="shared" si="0"/>
        <v>2.433</v>
      </c>
      <c r="J41" s="668"/>
      <c r="K41" s="669"/>
      <c r="L41" s="35">
        <f t="shared" si="1"/>
      </c>
      <c r="M41" s="64">
        <f t="shared" si="2"/>
      </c>
      <c r="N41" s="670"/>
      <c r="O41" s="28">
        <f t="shared" si="3"/>
      </c>
      <c r="P41" s="391">
        <f t="shared" si="4"/>
        <v>20</v>
      </c>
      <c r="Q41" s="724" t="str">
        <f t="shared" si="5"/>
        <v>--</v>
      </c>
      <c r="R41" s="370" t="str">
        <f t="shared" si="6"/>
        <v>--</v>
      </c>
      <c r="S41" s="371" t="str">
        <f t="shared" si="7"/>
        <v>--</v>
      </c>
      <c r="T41" s="402" t="str">
        <f t="shared" si="8"/>
        <v>--</v>
      </c>
      <c r="U41" s="25">
        <f t="shared" si="9"/>
      </c>
      <c r="V41" s="65">
        <f t="shared" si="10"/>
      </c>
      <c r="W41" s="38"/>
    </row>
    <row r="42" spans="2:23" s="10" customFormat="1" ht="16.5" customHeight="1">
      <c r="B42" s="44"/>
      <c r="C42" s="665"/>
      <c r="D42" s="650"/>
      <c r="E42" s="650"/>
      <c r="F42" s="666"/>
      <c r="G42" s="666"/>
      <c r="H42" s="673"/>
      <c r="I42" s="277">
        <f t="shared" si="0"/>
        <v>2.433</v>
      </c>
      <c r="J42" s="668"/>
      <c r="K42" s="669"/>
      <c r="L42" s="35">
        <f t="shared" si="1"/>
      </c>
      <c r="M42" s="64">
        <f t="shared" si="2"/>
      </c>
      <c r="N42" s="670"/>
      <c r="O42" s="28">
        <f t="shared" si="3"/>
      </c>
      <c r="P42" s="391">
        <f t="shared" si="4"/>
        <v>20</v>
      </c>
      <c r="Q42" s="724" t="str">
        <f t="shared" si="5"/>
        <v>--</v>
      </c>
      <c r="R42" s="370" t="str">
        <f t="shared" si="6"/>
        <v>--</v>
      </c>
      <c r="S42" s="371" t="str">
        <f t="shared" si="7"/>
        <v>--</v>
      </c>
      <c r="T42" s="402" t="str">
        <f t="shared" si="8"/>
        <v>--</v>
      </c>
      <c r="U42" s="25">
        <f t="shared" si="9"/>
      </c>
      <c r="V42" s="65">
        <f t="shared" si="10"/>
      </c>
      <c r="W42" s="38"/>
    </row>
    <row r="43" spans="2:23" s="10" customFormat="1" ht="16.5" customHeight="1">
      <c r="B43" s="44"/>
      <c r="C43" s="665"/>
      <c r="D43" s="650"/>
      <c r="E43" s="650"/>
      <c r="F43" s="666"/>
      <c r="G43" s="666"/>
      <c r="H43" s="673"/>
      <c r="I43" s="277">
        <f t="shared" si="0"/>
        <v>2.433</v>
      </c>
      <c r="J43" s="668"/>
      <c r="K43" s="669"/>
      <c r="L43" s="35">
        <f t="shared" si="1"/>
      </c>
      <c r="M43" s="64">
        <f t="shared" si="2"/>
      </c>
      <c r="N43" s="670"/>
      <c r="O43" s="28">
        <f t="shared" si="3"/>
      </c>
      <c r="P43" s="391">
        <f t="shared" si="4"/>
        <v>20</v>
      </c>
      <c r="Q43" s="724" t="str">
        <f t="shared" si="5"/>
        <v>--</v>
      </c>
      <c r="R43" s="370" t="str">
        <f t="shared" si="6"/>
        <v>--</v>
      </c>
      <c r="S43" s="371" t="str">
        <f t="shared" si="7"/>
        <v>--</v>
      </c>
      <c r="T43" s="402" t="str">
        <f t="shared" si="8"/>
        <v>--</v>
      </c>
      <c r="U43" s="25">
        <f t="shared" si="9"/>
      </c>
      <c r="V43" s="65">
        <f t="shared" si="10"/>
      </c>
      <c r="W43" s="38"/>
    </row>
    <row r="44" spans="2:23" s="10" customFormat="1" ht="16.5" customHeight="1" thickBot="1">
      <c r="B44" s="44"/>
      <c r="C44" s="653"/>
      <c r="D44" s="653"/>
      <c r="E44" s="653"/>
      <c r="F44" s="653"/>
      <c r="G44" s="653"/>
      <c r="H44" s="653"/>
      <c r="I44" s="276"/>
      <c r="J44" s="653"/>
      <c r="K44" s="653"/>
      <c r="L44" s="29"/>
      <c r="M44" s="29"/>
      <c r="N44" s="653"/>
      <c r="O44" s="653"/>
      <c r="P44" s="671"/>
      <c r="Q44" s="672"/>
      <c r="R44" s="661"/>
      <c r="S44" s="662"/>
      <c r="T44" s="656"/>
      <c r="U44" s="653"/>
      <c r="V44" s="218"/>
      <c r="W44" s="38"/>
    </row>
    <row r="45" spans="2:23" s="10" customFormat="1" ht="16.5" customHeight="1" thickBot="1" thickTop="1">
      <c r="B45" s="44"/>
      <c r="C45" s="244" t="s">
        <v>70</v>
      </c>
      <c r="D45" s="726" t="s">
        <v>182</v>
      </c>
      <c r="E45" s="704"/>
      <c r="F45" s="245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403">
        <f>ROUND(SUM(Q22:Q44),2)</f>
        <v>19.51</v>
      </c>
      <c r="R45" s="331">
        <f>SUM(R22:R44)</f>
        <v>0</v>
      </c>
      <c r="S45" s="331">
        <f>SUM(S22:S44)</f>
        <v>0</v>
      </c>
      <c r="T45" s="404">
        <f>SUM(T22:T44)</f>
        <v>0</v>
      </c>
      <c r="U45" s="66"/>
      <c r="V45" s="260">
        <f>SUM(V22:V44)</f>
        <v>19.51266</v>
      </c>
      <c r="W45" s="38"/>
    </row>
    <row r="46" spans="2:23" s="262" customFormat="1" ht="9.75" thickTop="1">
      <c r="B46" s="261"/>
      <c r="C46" s="246"/>
      <c r="D46" s="246"/>
      <c r="E46" s="246"/>
      <c r="F46" s="247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6"/>
      <c r="V46" s="267"/>
      <c r="W46" s="268"/>
    </row>
    <row r="47" spans="1:23" s="10" customFormat="1" ht="16.5" customHeight="1" thickBot="1">
      <c r="A47" s="11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4"/>
    </row>
    <row r="48" spans="1:23" ht="13.5" thickTop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3:6" ht="12.75">
      <c r="C49" s="6"/>
      <c r="D49" s="6"/>
      <c r="E49" s="6"/>
      <c r="F49" s="6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S110"/>
  <sheetViews>
    <sheetView zoomScale="55" zoomScaleNormal="55" workbookViewId="0" topLeftCell="A1">
      <selection activeCell="E18" sqref="E18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4.57421875" style="0" customWidth="1"/>
    <col min="6" max="6" width="16.8515625" style="0" customWidth="1"/>
    <col min="7" max="7" width="11.140625" style="0" customWidth="1"/>
    <col min="8" max="8" width="24.8515625" style="0" bestFit="1" customWidth="1"/>
    <col min="9" max="9" width="19.140625" style="0" customWidth="1"/>
    <col min="10" max="10" width="13.8515625" style="0" customWidth="1"/>
    <col min="11" max="11" width="9.140625" style="0" customWidth="1"/>
    <col min="12" max="12" width="35.8515625" style="0" customWidth="1"/>
    <col min="13" max="13" width="10.0039062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09" customFormat="1" ht="39.75" customHeight="1">
      <c r="P1" s="416"/>
    </row>
    <row r="2" spans="1:16" s="109" customFormat="1" ht="30" customHeight="1">
      <c r="A2" s="170"/>
      <c r="B2" s="702" t="str">
        <f>'TOT-0511'!B2</f>
        <v>ANEXO V al Memorandum  D.T.E.E.  N°482  / 2012</v>
      </c>
      <c r="C2" s="702"/>
      <c r="D2" s="702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4" s="112" customFormat="1" ht="12.75">
      <c r="A3" s="707" t="s">
        <v>148</v>
      </c>
      <c r="B3" s="10"/>
      <c r="C3" s="10"/>
      <c r="D3" s="10"/>
    </row>
    <row r="4" spans="1:4" s="112" customFormat="1" ht="11.25">
      <c r="A4" s="707" t="s">
        <v>147</v>
      </c>
      <c r="B4" s="234"/>
      <c r="C4" s="234"/>
      <c r="D4" s="234"/>
    </row>
    <row r="5" spans="1:4" s="10" customFormat="1" ht="13.5" thickBot="1">
      <c r="A5" s="707"/>
      <c r="B5" s="234"/>
      <c r="C5" s="234"/>
      <c r="D5" s="234"/>
    </row>
    <row r="6" spans="1:16" s="10" customFormat="1" ht="13.5" thickTop="1">
      <c r="A6" s="8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</row>
    <row r="7" spans="1:16" s="114" customFormat="1" ht="20.25">
      <c r="A7" s="45"/>
      <c r="B7" s="113"/>
      <c r="C7" s="45"/>
      <c r="D7" s="21" t="s">
        <v>46</v>
      </c>
      <c r="G7" s="45"/>
      <c r="H7" s="45"/>
      <c r="I7" s="45"/>
      <c r="J7" s="45"/>
      <c r="K7" s="45"/>
      <c r="L7" s="45"/>
      <c r="M7" s="45"/>
      <c r="N7" s="45"/>
      <c r="O7" s="45"/>
      <c r="P7" s="115"/>
    </row>
    <row r="8" spans="1:16" ht="15">
      <c r="A8" s="1"/>
      <c r="B8" s="279"/>
      <c r="C8" s="73"/>
      <c r="D8" s="417"/>
      <c r="E8" s="73"/>
      <c r="F8" s="71"/>
      <c r="G8" s="73"/>
      <c r="H8" s="73"/>
      <c r="I8" s="73"/>
      <c r="J8" s="73"/>
      <c r="K8" s="73"/>
      <c r="L8" s="73"/>
      <c r="M8" s="73"/>
      <c r="N8" s="73"/>
      <c r="O8" s="73"/>
      <c r="P8" s="283"/>
    </row>
    <row r="9" spans="1:19" s="114" customFormat="1" ht="20.25">
      <c r="A9" s="45"/>
      <c r="B9" s="418"/>
      <c r="C9"/>
      <c r="D9" s="22" t="s">
        <v>139</v>
      </c>
      <c r="E9" s="419"/>
      <c r="F9" s="419"/>
      <c r="G9" s="419"/>
      <c r="H9" s="420"/>
      <c r="I9" s="419"/>
      <c r="J9" s="419"/>
      <c r="K9" s="419"/>
      <c r="L9" s="419"/>
      <c r="M9" s="419"/>
      <c r="N9" s="419"/>
      <c r="O9" s="419"/>
      <c r="P9" s="421"/>
      <c r="Q9" s="235"/>
      <c r="R9" s="177"/>
      <c r="S9" s="177"/>
    </row>
    <row r="10" spans="1:19" s="10" customFormat="1" ht="12.75">
      <c r="A10" s="8"/>
      <c r="B10" s="44"/>
      <c r="C10" s="8"/>
      <c r="D10" s="67"/>
      <c r="E10" s="30"/>
      <c r="F10" s="30"/>
      <c r="G10" s="30"/>
      <c r="H10" s="169"/>
      <c r="I10" s="30"/>
      <c r="J10" s="30"/>
      <c r="K10" s="30"/>
      <c r="L10" s="30"/>
      <c r="M10" s="30"/>
      <c r="N10" s="30"/>
      <c r="O10" s="30"/>
      <c r="P10" s="38"/>
      <c r="Q10" s="30"/>
      <c r="R10" s="30"/>
      <c r="S10" s="176"/>
    </row>
    <row r="11" spans="1:19" s="121" customFormat="1" ht="19.5">
      <c r="A11" s="47"/>
      <c r="B11" s="238" t="str">
        <f>+'TOT-0511'!B14</f>
        <v>Desde el 01 al 31 de mayo de 2011</v>
      </c>
      <c r="C11" s="143"/>
      <c r="D11" s="197"/>
      <c r="E11" s="197"/>
      <c r="F11" s="197"/>
      <c r="G11" s="197"/>
      <c r="H11" s="197"/>
      <c r="I11" s="143"/>
      <c r="J11" s="197"/>
      <c r="K11" s="197"/>
      <c r="L11" s="197"/>
      <c r="M11" s="197"/>
      <c r="N11" s="197"/>
      <c r="O11" s="197"/>
      <c r="P11" s="422"/>
      <c r="Q11" s="423"/>
      <c r="R11" s="423"/>
      <c r="S11" s="423"/>
    </row>
    <row r="12" spans="1:19" ht="15">
      <c r="A12" s="1"/>
      <c r="B12" s="279"/>
      <c r="C12" s="73"/>
      <c r="D12" s="69"/>
      <c r="E12" s="69"/>
      <c r="F12" s="69"/>
      <c r="G12" s="69"/>
      <c r="H12" s="424"/>
      <c r="I12" s="73"/>
      <c r="J12" s="69"/>
      <c r="K12" s="69"/>
      <c r="L12" s="69"/>
      <c r="M12" s="69"/>
      <c r="N12" s="69"/>
      <c r="O12" s="69"/>
      <c r="P12" s="70"/>
      <c r="Q12" s="4"/>
      <c r="R12" s="4"/>
      <c r="S12" s="425"/>
    </row>
    <row r="13" spans="1:19" ht="18" customHeight="1">
      <c r="A13" s="1"/>
      <c r="B13" s="279"/>
      <c r="C13" s="73"/>
      <c r="D13" s="69"/>
      <c r="E13" s="69"/>
      <c r="F13" s="69"/>
      <c r="G13" s="69"/>
      <c r="H13" s="81"/>
      <c r="I13" s="81"/>
      <c r="J13" s="69"/>
      <c r="K13" s="69"/>
      <c r="P13" s="70"/>
      <c r="Q13" s="4"/>
      <c r="R13" s="4"/>
      <c r="S13" s="425"/>
    </row>
    <row r="14" spans="1:19" ht="18" customHeight="1">
      <c r="A14" s="1"/>
      <c r="B14" s="279"/>
      <c r="C14" s="73"/>
      <c r="D14" s="68"/>
      <c r="E14" s="426"/>
      <c r="F14" s="69"/>
      <c r="G14" s="69"/>
      <c r="H14" s="81"/>
      <c r="I14" s="81"/>
      <c r="J14" s="69"/>
      <c r="K14" s="69"/>
      <c r="P14" s="70"/>
      <c r="Q14" s="4"/>
      <c r="R14" s="4"/>
      <c r="S14" s="425"/>
    </row>
    <row r="15" spans="1:16" ht="16.5" thickBot="1">
      <c r="A15" s="1"/>
      <c r="B15" s="279"/>
      <c r="C15" s="427" t="s">
        <v>95</v>
      </c>
      <c r="D15" s="71"/>
      <c r="E15" s="280"/>
      <c r="F15" s="281"/>
      <c r="G15" s="73"/>
      <c r="H15" s="73"/>
      <c r="I15" s="73"/>
      <c r="J15" s="72"/>
      <c r="K15" s="72"/>
      <c r="L15" s="282"/>
      <c r="M15" s="73"/>
      <c r="N15" s="73"/>
      <c r="O15" s="73"/>
      <c r="P15" s="283"/>
    </row>
    <row r="16" spans="1:16" ht="16.5" thickBot="1">
      <c r="A16" s="1"/>
      <c r="B16" s="279"/>
      <c r="C16" s="284"/>
      <c r="D16" s="71"/>
      <c r="E16" s="280"/>
      <c r="F16" s="281"/>
      <c r="G16" s="73"/>
      <c r="H16" s="73"/>
      <c r="L16" s="428" t="s">
        <v>91</v>
      </c>
      <c r="M16" s="429">
        <v>3.243</v>
      </c>
      <c r="N16" s="430"/>
      <c r="O16" s="73"/>
      <c r="P16" s="283"/>
    </row>
    <row r="17" spans="1:16" ht="15.75">
      <c r="A17" s="1"/>
      <c r="B17" s="279"/>
      <c r="C17" s="284"/>
      <c r="D17" s="72" t="s">
        <v>96</v>
      </c>
      <c r="E17" s="285">
        <v>744</v>
      </c>
      <c r="F17" s="73" t="s">
        <v>97</v>
      </c>
      <c r="G17" s="69"/>
      <c r="H17" s="431"/>
      <c r="I17" s="432" t="s">
        <v>98</v>
      </c>
      <c r="J17" s="433">
        <v>69.722</v>
      </c>
      <c r="K17" s="411"/>
      <c r="L17" s="434" t="s">
        <v>92</v>
      </c>
      <c r="M17" s="435">
        <v>2.433</v>
      </c>
      <c r="N17" s="436"/>
      <c r="O17" s="73"/>
      <c r="P17" s="283"/>
    </row>
    <row r="18" spans="1:16" ht="16.5" thickBot="1">
      <c r="A18" s="1"/>
      <c r="B18" s="279"/>
      <c r="C18" s="284"/>
      <c r="D18" s="72" t="s">
        <v>99</v>
      </c>
      <c r="E18" s="287">
        <v>0.025</v>
      </c>
      <c r="F18" s="69"/>
      <c r="G18" s="69"/>
      <c r="H18" s="437"/>
      <c r="I18" s="438" t="s">
        <v>100</v>
      </c>
      <c r="J18" s="439">
        <v>0.243</v>
      </c>
      <c r="K18" s="440"/>
      <c r="L18" s="441" t="s">
        <v>93</v>
      </c>
      <c r="M18" s="442">
        <v>2.433</v>
      </c>
      <c r="N18" s="443"/>
      <c r="O18" s="73"/>
      <c r="P18" s="283"/>
    </row>
    <row r="19" spans="1:16" ht="15.75">
      <c r="A19" s="1"/>
      <c r="B19" s="279"/>
      <c r="C19" s="284"/>
      <c r="D19" s="72"/>
      <c r="E19" s="287"/>
      <c r="F19" s="69"/>
      <c r="G19" s="69"/>
      <c r="H19" s="69"/>
      <c r="I19" s="69"/>
      <c r="L19" s="282"/>
      <c r="M19" s="73"/>
      <c r="N19" s="73"/>
      <c r="O19" s="73"/>
      <c r="P19" s="283"/>
    </row>
    <row r="20" spans="1:16" ht="15">
      <c r="A20" s="1"/>
      <c r="B20" s="279"/>
      <c r="C20" s="68" t="s">
        <v>101</v>
      </c>
      <c r="D20" s="76"/>
      <c r="E20" s="280"/>
      <c r="F20" s="281"/>
      <c r="G20" s="73"/>
      <c r="H20" s="73"/>
      <c r="I20" s="73"/>
      <c r="J20" s="72"/>
      <c r="K20" s="72"/>
      <c r="L20" s="282"/>
      <c r="M20" s="73"/>
      <c r="N20" s="73"/>
      <c r="O20" s="73"/>
      <c r="P20" s="283"/>
    </row>
    <row r="21" spans="1:16" ht="15">
      <c r="A21" s="1"/>
      <c r="B21" s="279"/>
      <c r="C21" s="73"/>
      <c r="D21" s="73"/>
      <c r="E21" s="73"/>
      <c r="F21" s="73"/>
      <c r="G21" s="73"/>
      <c r="H21" s="288"/>
      <c r="I21" s="73"/>
      <c r="J21" s="73"/>
      <c r="K21" s="73"/>
      <c r="L21" s="73"/>
      <c r="M21" s="73"/>
      <c r="N21" s="73"/>
      <c r="O21" s="73"/>
      <c r="P21" s="283"/>
    </row>
    <row r="22" spans="1:16" ht="15">
      <c r="A22" s="1"/>
      <c r="B22" s="279"/>
      <c r="C22" s="73"/>
      <c r="D22" s="72" t="s">
        <v>102</v>
      </c>
      <c r="E22" s="73"/>
      <c r="F22" s="288" t="s">
        <v>24</v>
      </c>
      <c r="G22" s="73"/>
      <c r="H22" s="71"/>
      <c r="I22" s="444">
        <f>'TOT-0511'!I20</f>
        <v>18245.97</v>
      </c>
      <c r="J22" s="73"/>
      <c r="K22" s="73"/>
      <c r="L22" s="445" t="s">
        <v>103</v>
      </c>
      <c r="M22" s="73"/>
      <c r="N22" s="73"/>
      <c r="O22" s="73"/>
      <c r="P22" s="283"/>
    </row>
    <row r="23" spans="1:16" ht="15">
      <c r="A23" s="1"/>
      <c r="B23" s="279"/>
      <c r="C23" s="73"/>
      <c r="D23" s="73"/>
      <c r="E23" s="73"/>
      <c r="F23" s="288" t="s">
        <v>104</v>
      </c>
      <c r="G23" s="73"/>
      <c r="H23" s="71"/>
      <c r="I23" s="444">
        <f>'TOT-0511'!I27</f>
        <v>9.73</v>
      </c>
      <c r="J23" s="73"/>
      <c r="K23" s="73"/>
      <c r="L23" s="445" t="s">
        <v>105</v>
      </c>
      <c r="M23" s="73"/>
      <c r="N23" s="73"/>
      <c r="O23" s="73"/>
      <c r="P23" s="283"/>
    </row>
    <row r="24" spans="1:16" ht="15">
      <c r="A24" s="1"/>
      <c r="B24" s="279"/>
      <c r="C24" s="73"/>
      <c r="D24" s="73"/>
      <c r="E24" s="73"/>
      <c r="F24" s="288" t="s">
        <v>3</v>
      </c>
      <c r="G24" s="73"/>
      <c r="H24" s="71"/>
      <c r="I24" s="446">
        <f>'TOT-0511'!I31</f>
        <v>19.51266</v>
      </c>
      <c r="J24" s="73"/>
      <c r="K24" s="73"/>
      <c r="L24" s="445" t="s">
        <v>106</v>
      </c>
      <c r="M24" s="73"/>
      <c r="N24" s="73"/>
      <c r="O24" s="73"/>
      <c r="P24" s="283"/>
    </row>
    <row r="25" spans="1:16" ht="15.75" thickBot="1">
      <c r="A25" s="1"/>
      <c r="B25" s="279"/>
      <c r="C25" s="73"/>
      <c r="D25" s="73"/>
      <c r="E25" s="73"/>
      <c r="F25" s="73"/>
      <c r="G25" s="73"/>
      <c r="H25" s="288"/>
      <c r="I25" s="73"/>
      <c r="J25" s="73"/>
      <c r="K25" s="73"/>
      <c r="L25" s="73"/>
      <c r="M25" s="73"/>
      <c r="N25" s="73"/>
      <c r="O25" s="73"/>
      <c r="P25" s="283"/>
    </row>
    <row r="26" spans="2:16" ht="20.25" thickBot="1" thickTop="1">
      <c r="B26" s="279"/>
      <c r="C26" s="80"/>
      <c r="H26" s="447" t="s">
        <v>107</v>
      </c>
      <c r="I26" s="156">
        <f>SUM(I22:I25)</f>
        <v>18275.21266</v>
      </c>
      <c r="L26" s="77"/>
      <c r="M26" s="77"/>
      <c r="N26" s="78"/>
      <c r="O26" s="79"/>
      <c r="P26" s="289"/>
    </row>
    <row r="27" spans="2:16" ht="15.75" thickTop="1">
      <c r="B27" s="279"/>
      <c r="C27" s="80"/>
      <c r="D27" s="76"/>
      <c r="E27" s="76"/>
      <c r="F27" s="82"/>
      <c r="G27" s="77"/>
      <c r="H27" s="77"/>
      <c r="I27" s="77"/>
      <c r="J27" s="77"/>
      <c r="K27" s="77"/>
      <c r="L27" s="77"/>
      <c r="M27" s="77"/>
      <c r="N27" s="78"/>
      <c r="O27" s="79"/>
      <c r="P27" s="289"/>
    </row>
    <row r="28" spans="2:16" ht="15">
      <c r="B28" s="279"/>
      <c r="C28" s="68" t="s">
        <v>108</v>
      </c>
      <c r="D28" s="76"/>
      <c r="E28" s="76"/>
      <c r="F28" s="82"/>
      <c r="G28" s="77"/>
      <c r="H28" s="77"/>
      <c r="I28" s="77"/>
      <c r="J28" s="77"/>
      <c r="K28" s="77"/>
      <c r="L28" s="77"/>
      <c r="M28" s="77"/>
      <c r="N28" s="78"/>
      <c r="O28" s="79"/>
      <c r="P28" s="289"/>
    </row>
    <row r="29" spans="2:16" ht="15">
      <c r="B29" s="279"/>
      <c r="C29" s="80"/>
      <c r="D29" s="76"/>
      <c r="E29" s="76"/>
      <c r="F29" s="82"/>
      <c r="G29" s="77"/>
      <c r="H29" s="77"/>
      <c r="I29" s="77"/>
      <c r="J29" s="77"/>
      <c r="K29" s="77"/>
      <c r="L29" s="77"/>
      <c r="M29" s="77"/>
      <c r="N29" s="78"/>
      <c r="O29" s="79"/>
      <c r="P29" s="289"/>
    </row>
    <row r="30" spans="2:16" ht="15.75">
      <c r="B30" s="279"/>
      <c r="C30" s="80"/>
      <c r="D30" s="448" t="s">
        <v>109</v>
      </c>
      <c r="E30" s="449" t="s">
        <v>20</v>
      </c>
      <c r="F30" s="450" t="s">
        <v>110</v>
      </c>
      <c r="G30" s="451"/>
      <c r="H30" s="681" t="s">
        <v>137</v>
      </c>
      <c r="I30" s="680" t="s">
        <v>136</v>
      </c>
      <c r="J30" s="676"/>
      <c r="K30" s="476"/>
      <c r="L30" s="454" t="s">
        <v>2</v>
      </c>
      <c r="N30" s="78"/>
      <c r="O30" s="79"/>
      <c r="P30" s="289"/>
    </row>
    <row r="31" spans="2:16" ht="15.75">
      <c r="B31" s="279"/>
      <c r="C31" s="80"/>
      <c r="D31" s="455" t="s">
        <v>5</v>
      </c>
      <c r="E31" s="456">
        <v>132</v>
      </c>
      <c r="F31" s="457">
        <v>31</v>
      </c>
      <c r="G31" s="458"/>
      <c r="H31" s="459">
        <f>F31*$J$17*$E$17/100</f>
        <v>16080.682079999997</v>
      </c>
      <c r="I31" s="460">
        <v>0</v>
      </c>
      <c r="J31" s="678" t="s">
        <v>149</v>
      </c>
      <c r="K31" s="462"/>
      <c r="L31" s="463">
        <f>SUM(H31:K31)</f>
        <v>16080.682079999997</v>
      </c>
      <c r="M31" s="77"/>
      <c r="N31" s="78"/>
      <c r="O31" s="79"/>
      <c r="P31" s="289"/>
    </row>
    <row r="32" spans="2:16" ht="15.75">
      <c r="B32" s="279"/>
      <c r="C32" s="80"/>
      <c r="D32" s="483" t="s">
        <v>6</v>
      </c>
      <c r="E32" s="76">
        <v>132</v>
      </c>
      <c r="F32" s="82">
        <v>110.3</v>
      </c>
      <c r="G32" s="77"/>
      <c r="H32" s="294">
        <f>F32*$J$17*$E$17/100</f>
        <v>57216.10430399999</v>
      </c>
      <c r="I32" s="500">
        <v>155</v>
      </c>
      <c r="J32" s="677" t="s">
        <v>149</v>
      </c>
      <c r="K32" s="286"/>
      <c r="L32" s="484">
        <f>SUM(H32:K32)</f>
        <v>57371.10430399999</v>
      </c>
      <c r="M32" s="77"/>
      <c r="N32" s="78"/>
      <c r="O32" s="79"/>
      <c r="P32" s="289"/>
    </row>
    <row r="33" spans="2:16" ht="15.75">
      <c r="B33" s="279"/>
      <c r="C33" s="80"/>
      <c r="D33" s="483" t="s">
        <v>7</v>
      </c>
      <c r="E33" s="76">
        <v>132</v>
      </c>
      <c r="F33" s="82">
        <v>185.6</v>
      </c>
      <c r="G33" s="77"/>
      <c r="H33" s="294">
        <f>F33*$J$17*$E$17/100</f>
        <v>96276.59980799998</v>
      </c>
      <c r="I33" s="500">
        <v>0</v>
      </c>
      <c r="J33" s="677" t="s">
        <v>149</v>
      </c>
      <c r="K33" s="286"/>
      <c r="L33" s="484">
        <f>SUM(H33:K33)</f>
        <v>96276.59980799998</v>
      </c>
      <c r="M33" s="77"/>
      <c r="N33" s="78"/>
      <c r="O33" s="79"/>
      <c r="P33" s="289"/>
    </row>
    <row r="34" spans="2:16" ht="15.75">
      <c r="B34" s="279"/>
      <c r="C34" s="80"/>
      <c r="D34" s="464" t="s">
        <v>8</v>
      </c>
      <c r="E34" s="465">
        <v>132</v>
      </c>
      <c r="F34" s="466">
        <v>7</v>
      </c>
      <c r="G34" s="467"/>
      <c r="H34" s="468">
        <f>F34*$J$17*$E$17/100</f>
        <v>3631.12176</v>
      </c>
      <c r="I34" s="469">
        <v>41</v>
      </c>
      <c r="J34" s="679" t="s">
        <v>149</v>
      </c>
      <c r="K34" s="471"/>
      <c r="L34" s="472">
        <f>SUM(H34:K34)</f>
        <v>3672.12176</v>
      </c>
      <c r="M34" s="77"/>
      <c r="N34" s="78"/>
      <c r="O34" s="79"/>
      <c r="P34" s="289"/>
    </row>
    <row r="35" spans="2:16" ht="15">
      <c r="B35" s="279"/>
      <c r="C35" s="80"/>
      <c r="D35" s="76"/>
      <c r="E35" s="76"/>
      <c r="F35" s="290"/>
      <c r="G35" s="77"/>
      <c r="I35" s="83"/>
      <c r="J35" s="286"/>
      <c r="K35" s="286"/>
      <c r="L35" s="473">
        <f>SUM(L31:L34)</f>
        <v>173400.50795199999</v>
      </c>
      <c r="M35" s="77"/>
      <c r="N35" s="78"/>
      <c r="O35" s="79"/>
      <c r="P35" s="289"/>
    </row>
    <row r="36" spans="2:16" ht="15">
      <c r="B36" s="279"/>
      <c r="C36" s="80"/>
      <c r="D36" s="76"/>
      <c r="E36" s="76"/>
      <c r="F36" s="290"/>
      <c r="G36" s="77"/>
      <c r="I36" s="83"/>
      <c r="J36" s="286"/>
      <c r="K36" s="286"/>
      <c r="L36" s="291"/>
      <c r="M36" s="77"/>
      <c r="N36" s="78"/>
      <c r="O36" s="79"/>
      <c r="P36" s="289"/>
    </row>
    <row r="37" spans="2:16" ht="15.75">
      <c r="B37" s="279"/>
      <c r="C37" s="80"/>
      <c r="D37" s="448" t="s">
        <v>111</v>
      </c>
      <c r="E37" s="449" t="s">
        <v>112</v>
      </c>
      <c r="F37" s="501" t="s">
        <v>124</v>
      </c>
      <c r="G37" s="502"/>
      <c r="H37" s="682" t="s">
        <v>138</v>
      </c>
      <c r="J37" s="474" t="s">
        <v>114</v>
      </c>
      <c r="K37" s="475"/>
      <c r="L37" s="476" t="s">
        <v>56</v>
      </c>
      <c r="M37" s="449" t="s">
        <v>20</v>
      </c>
      <c r="N37" s="477" t="s">
        <v>115</v>
      </c>
      <c r="O37" s="478"/>
      <c r="P37" s="289"/>
    </row>
    <row r="38" spans="2:16" ht="15">
      <c r="B38" s="279"/>
      <c r="C38" s="80"/>
      <c r="D38" s="455" t="s">
        <v>12</v>
      </c>
      <c r="E38" s="456" t="s">
        <v>125</v>
      </c>
      <c r="F38" s="503">
        <v>30</v>
      </c>
      <c r="G38" s="504"/>
      <c r="H38" s="463">
        <f>+F38*$J$18*$E$17</f>
        <v>5423.76</v>
      </c>
      <c r="J38" s="479" t="s">
        <v>126</v>
      </c>
      <c r="K38" s="461"/>
      <c r="L38" s="458" t="s">
        <v>127</v>
      </c>
      <c r="M38" s="480">
        <v>132</v>
      </c>
      <c r="N38" s="481">
        <f>M16*E17</f>
        <v>2412.792</v>
      </c>
      <c r="O38" s="482"/>
      <c r="P38" s="289"/>
    </row>
    <row r="39" spans="2:16" ht="15">
      <c r="B39" s="279"/>
      <c r="C39" s="80"/>
      <c r="D39" s="483" t="s">
        <v>15</v>
      </c>
      <c r="E39" s="76" t="s">
        <v>128</v>
      </c>
      <c r="F39" s="505">
        <v>88</v>
      </c>
      <c r="G39" s="506"/>
      <c r="H39" s="484">
        <f>+F39*$J$18*$E$17</f>
        <v>15909.696</v>
      </c>
      <c r="J39" s="485" t="s">
        <v>13</v>
      </c>
      <c r="K39" s="486"/>
      <c r="L39" s="77" t="s">
        <v>129</v>
      </c>
      <c r="M39" s="78">
        <v>33</v>
      </c>
      <c r="N39" s="487">
        <f>+M17*E17*2</f>
        <v>3620.3039999999996</v>
      </c>
      <c r="O39" s="488"/>
      <c r="P39" s="289"/>
    </row>
    <row r="40" spans="2:16" ht="15">
      <c r="B40" s="279"/>
      <c r="C40" s="80"/>
      <c r="D40" s="483" t="s">
        <v>13</v>
      </c>
      <c r="E40" s="76" t="s">
        <v>10</v>
      </c>
      <c r="F40" s="505">
        <v>7.5</v>
      </c>
      <c r="G40" s="506"/>
      <c r="H40" s="484">
        <f>+F40*$J$18*$E$17</f>
        <v>1355.94</v>
      </c>
      <c r="J40" s="485" t="s">
        <v>14</v>
      </c>
      <c r="K40" s="486"/>
      <c r="L40" s="77" t="s">
        <v>130</v>
      </c>
      <c r="M40" s="78">
        <v>33</v>
      </c>
      <c r="N40" s="487">
        <f>3*M17*E17</f>
        <v>5430.455999999999</v>
      </c>
      <c r="O40" s="488"/>
      <c r="P40" s="289"/>
    </row>
    <row r="41" spans="2:16" ht="15">
      <c r="B41" s="279"/>
      <c r="C41" s="80"/>
      <c r="D41" s="483" t="s">
        <v>14</v>
      </c>
      <c r="E41" s="76" t="s">
        <v>10</v>
      </c>
      <c r="F41" s="505">
        <v>15</v>
      </c>
      <c r="G41" s="506"/>
      <c r="H41" s="484">
        <f>+F41*$J$18*$E$17</f>
        <v>2711.88</v>
      </c>
      <c r="J41" s="485" t="s">
        <v>16</v>
      </c>
      <c r="K41" s="486"/>
      <c r="L41" s="77" t="s">
        <v>131</v>
      </c>
      <c r="M41" s="78">
        <v>13.2</v>
      </c>
      <c r="N41" s="487">
        <f>+M18*E17*6</f>
        <v>10860.911999999998</v>
      </c>
      <c r="O41" s="488"/>
      <c r="P41" s="289"/>
    </row>
    <row r="42" spans="2:16" ht="15">
      <c r="B42" s="279"/>
      <c r="C42" s="80"/>
      <c r="D42" s="464" t="s">
        <v>16</v>
      </c>
      <c r="E42" s="465" t="s">
        <v>132</v>
      </c>
      <c r="F42" s="507">
        <v>30</v>
      </c>
      <c r="G42" s="508"/>
      <c r="H42" s="484">
        <f>+F42*$J$18*$E$17</f>
        <v>5423.76</v>
      </c>
      <c r="J42" s="485" t="s">
        <v>12</v>
      </c>
      <c r="K42" s="486"/>
      <c r="L42" s="77" t="s">
        <v>133</v>
      </c>
      <c r="M42" s="78"/>
      <c r="N42" s="487">
        <f>+M17*E17+M18*E17*2</f>
        <v>5430.455999999999</v>
      </c>
      <c r="O42" s="488"/>
      <c r="P42" s="289"/>
    </row>
    <row r="43" spans="2:16" ht="15">
      <c r="B43" s="279"/>
      <c r="C43" s="80"/>
      <c r="D43" s="76"/>
      <c r="E43" s="76"/>
      <c r="F43" s="290"/>
      <c r="G43" s="77"/>
      <c r="H43" s="473">
        <f>SUM(H38:H42)</f>
        <v>30825.036</v>
      </c>
      <c r="J43" s="489" t="s">
        <v>15</v>
      </c>
      <c r="K43" s="470"/>
      <c r="L43" s="467" t="s">
        <v>134</v>
      </c>
      <c r="M43" s="490"/>
      <c r="N43" s="491">
        <f>(M16+M17+M18*5)*E17</f>
        <v>13273.704000000002</v>
      </c>
      <c r="O43" s="492"/>
      <c r="P43" s="289"/>
    </row>
    <row r="44" spans="2:16" ht="15">
      <c r="B44" s="279"/>
      <c r="C44" s="80"/>
      <c r="D44" s="76"/>
      <c r="E44" s="76"/>
      <c r="F44" s="290"/>
      <c r="G44" s="77"/>
      <c r="I44" s="83"/>
      <c r="J44" s="286"/>
      <c r="K44" s="286"/>
      <c r="L44" s="291"/>
      <c r="M44" s="77"/>
      <c r="N44" s="493">
        <f>SUM(N38:N43)</f>
        <v>41028.623999999996</v>
      </c>
      <c r="O44" s="478"/>
      <c r="P44" s="289"/>
    </row>
    <row r="45" spans="2:16" ht="12.75" customHeight="1" thickBot="1">
      <c r="B45" s="279"/>
      <c r="C45" s="80"/>
      <c r="D45" s="76"/>
      <c r="E45" s="76"/>
      <c r="F45" s="82"/>
      <c r="G45" s="77"/>
      <c r="H45" s="83"/>
      <c r="I45" s="76"/>
      <c r="J45" s="76"/>
      <c r="K45" s="76"/>
      <c r="L45" s="77"/>
      <c r="M45" s="77"/>
      <c r="N45" s="78"/>
      <c r="O45" s="79"/>
      <c r="P45" s="289"/>
    </row>
    <row r="46" spans="2:16" ht="20.25" thickBot="1" thickTop="1">
      <c r="B46" s="279"/>
      <c r="C46" s="80"/>
      <c r="D46" s="76"/>
      <c r="E46" s="76"/>
      <c r="F46" s="82"/>
      <c r="G46" s="77"/>
      <c r="H46" s="494" t="s">
        <v>116</v>
      </c>
      <c r="I46" s="495">
        <f>+H43+N44+L35</f>
        <v>245254.167952</v>
      </c>
      <c r="J46" s="76"/>
      <c r="K46" s="76"/>
      <c r="L46" s="77"/>
      <c r="M46" s="77"/>
      <c r="N46" s="78"/>
      <c r="O46" s="79"/>
      <c r="P46" s="289"/>
    </row>
    <row r="47" spans="2:16" ht="15.75" thickTop="1">
      <c r="B47" s="279"/>
      <c r="C47" s="80"/>
      <c r="D47" s="76"/>
      <c r="E47" s="76"/>
      <c r="F47" s="82"/>
      <c r="G47" s="77"/>
      <c r="H47" s="83"/>
      <c r="I47" s="76"/>
      <c r="J47" s="76"/>
      <c r="K47" s="76"/>
      <c r="L47" s="77"/>
      <c r="M47" s="77"/>
      <c r="N47" s="78"/>
      <c r="O47" s="79"/>
      <c r="P47" s="289"/>
    </row>
    <row r="48" spans="2:16" ht="15.75">
      <c r="B48" s="279"/>
      <c r="C48" s="496" t="s">
        <v>117</v>
      </c>
      <c r="D48" s="76"/>
      <c r="E48" s="76"/>
      <c r="F48" s="82"/>
      <c r="G48" s="77"/>
      <c r="H48" s="83"/>
      <c r="I48" s="76"/>
      <c r="J48" s="76"/>
      <c r="K48" s="76"/>
      <c r="L48" s="77"/>
      <c r="M48" s="77"/>
      <c r="N48" s="78"/>
      <c r="O48" s="79"/>
      <c r="P48" s="289"/>
    </row>
    <row r="49" spans="2:16" ht="15.75" thickBot="1">
      <c r="B49" s="279"/>
      <c r="C49" s="80"/>
      <c r="D49" s="76"/>
      <c r="E49" s="76"/>
      <c r="F49" s="82"/>
      <c r="G49" s="77"/>
      <c r="H49" s="83"/>
      <c r="I49" s="76"/>
      <c r="J49" s="76"/>
      <c r="K49" s="76"/>
      <c r="L49" s="77"/>
      <c r="M49" s="77"/>
      <c r="N49" s="78"/>
      <c r="O49" s="79"/>
      <c r="P49" s="289"/>
    </row>
    <row r="50" spans="2:16" ht="20.25" thickBot="1" thickTop="1">
      <c r="B50" s="279"/>
      <c r="C50" s="80"/>
      <c r="D50" s="236" t="s">
        <v>118</v>
      </c>
      <c r="F50" s="292"/>
      <c r="G50" s="73"/>
      <c r="H50" s="155" t="s">
        <v>119</v>
      </c>
      <c r="I50" s="497">
        <f>E18*I46</f>
        <v>6131.3541988</v>
      </c>
      <c r="J50" s="69"/>
      <c r="K50" s="69"/>
      <c r="O50" s="69"/>
      <c r="P50" s="289"/>
    </row>
    <row r="51" spans="2:16" ht="21.75" thickTop="1">
      <c r="B51" s="279"/>
      <c r="C51" s="80"/>
      <c r="F51" s="293"/>
      <c r="G51" s="45"/>
      <c r="I51" s="69"/>
      <c r="J51" s="69"/>
      <c r="K51" s="69"/>
      <c r="O51" s="69"/>
      <c r="P51" s="289"/>
    </row>
    <row r="52" spans="2:16" ht="15">
      <c r="B52" s="279"/>
      <c r="C52" s="68" t="s">
        <v>120</v>
      </c>
      <c r="E52" s="69"/>
      <c r="F52" s="69"/>
      <c r="G52" s="69"/>
      <c r="H52" s="69"/>
      <c r="I52" s="77"/>
      <c r="J52" s="77"/>
      <c r="K52" s="77"/>
      <c r="L52" s="77"/>
      <c r="M52" s="77"/>
      <c r="N52" s="78"/>
      <c r="O52" s="79"/>
      <c r="P52" s="289"/>
    </row>
    <row r="53" spans="2:16" ht="15">
      <c r="B53" s="279"/>
      <c r="C53" s="80"/>
      <c r="D53" s="75" t="s">
        <v>121</v>
      </c>
      <c r="E53" s="294">
        <f>10*I26*I50/I46</f>
        <v>4568.803165</v>
      </c>
      <c r="F53" s="498"/>
      <c r="H53" s="69"/>
      <c r="I53" s="77"/>
      <c r="J53" s="77"/>
      <c r="K53" s="77"/>
      <c r="L53" s="77"/>
      <c r="M53" s="77"/>
      <c r="N53" s="78"/>
      <c r="O53" s="79"/>
      <c r="P53" s="289"/>
    </row>
    <row r="54" spans="2:16" ht="15">
      <c r="B54" s="279"/>
      <c r="C54" s="80"/>
      <c r="D54" s="69"/>
      <c r="E54" s="69"/>
      <c r="J54" s="77"/>
      <c r="K54" s="77"/>
      <c r="L54" s="77"/>
      <c r="M54" s="77"/>
      <c r="N54" s="78"/>
      <c r="O54" s="79"/>
      <c r="P54" s="289"/>
    </row>
    <row r="55" spans="2:16" ht="15">
      <c r="B55" s="279"/>
      <c r="C55" s="80"/>
      <c r="D55" s="69" t="s">
        <v>135</v>
      </c>
      <c r="E55" s="69"/>
      <c r="F55" s="69"/>
      <c r="G55" s="69"/>
      <c r="H55" s="69"/>
      <c r="M55" s="77"/>
      <c r="N55" s="78"/>
      <c r="O55" s="79"/>
      <c r="P55" s="289"/>
    </row>
    <row r="56" spans="2:16" ht="15.75" thickBot="1">
      <c r="B56" s="279"/>
      <c r="C56" s="80"/>
      <c r="D56" s="69"/>
      <c r="E56" s="69"/>
      <c r="F56" s="69"/>
      <c r="G56" s="69"/>
      <c r="H56" s="69"/>
      <c r="M56" s="77"/>
      <c r="N56" s="78"/>
      <c r="O56" s="79"/>
      <c r="P56" s="289"/>
    </row>
    <row r="57" spans="2:16" ht="20.25" thickBot="1" thickTop="1">
      <c r="B57" s="279"/>
      <c r="C57" s="80"/>
      <c r="D57" s="76"/>
      <c r="E57" s="76"/>
      <c r="F57" s="82"/>
      <c r="G57" s="77"/>
      <c r="H57" s="237" t="s">
        <v>123</v>
      </c>
      <c r="I57" s="499">
        <f>IF($E$53&gt;3*I50,3*I50,$E$53)</f>
        <v>4568.803165</v>
      </c>
      <c r="J57" s="77"/>
      <c r="K57" s="77"/>
      <c r="L57" s="77"/>
      <c r="M57" s="77"/>
      <c r="N57" s="78"/>
      <c r="O57" s="79"/>
      <c r="P57" s="289"/>
    </row>
    <row r="58" spans="2:16" ht="16.5" thickBot="1" thickTop="1">
      <c r="B58" s="295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7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printOptions/>
  <pageMargins left="0.27" right="0.1968503937007874" top="0.56" bottom="0.7874015748031497" header="0.32" footer="0.5118110236220472"/>
  <pageSetup fitToHeight="1" fitToWidth="1" orientation="landscape" paperSize="9" scale="53" r:id="rId4"/>
  <headerFooter alignWithMargins="0">
    <oddFooter>&amp;L&amp;"Times New Roman,Normal"&amp;5&amp;F  - TRANSPORTE de ENERGÍA ELÉCTRICA - AJF/rb - 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goyola</cp:lastModifiedBy>
  <cp:lastPrinted>2012-05-08T13:57:58Z</cp:lastPrinted>
  <dcterms:created xsi:type="dcterms:W3CDTF">2000-10-04T20:14:32Z</dcterms:created>
  <dcterms:modified xsi:type="dcterms:W3CDTF">2012-08-02T17:49:03Z</dcterms:modified>
  <cp:category/>
  <cp:version/>
  <cp:contentType/>
  <cp:contentStatus/>
</cp:coreProperties>
</file>