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411" sheetId="1" r:id="rId1"/>
    <sheet name="LI-04 (1)" sheetId="2" r:id="rId2"/>
    <sheet name="TR-04 (1)" sheetId="3" r:id="rId3"/>
    <sheet name="TR-EDERSA-04 (1)" sheetId="4" r:id="rId4"/>
    <sheet name="LI-SPSE-04 (1)" sheetId="5" r:id="rId5"/>
    <sheet name="SUP-EDERSA" sheetId="6" r:id="rId6"/>
    <sheet name="SUP-SPSE" sheetId="7" r:id="rId7"/>
    <sheet name="TASA FALLA " sheetId="8" r:id="rId8"/>
  </sheets>
  <externalReferences>
    <externalReference r:id="rId11"/>
  </externalReferences>
  <definedNames>
    <definedName name="_xlnm.Print_Area" localSheetId="7">'TASA FALLA '!$A$1:$T$57</definedName>
    <definedName name="DD" localSheetId="7">'TASA FALLA '!DD</definedName>
    <definedName name="DD">[0]!DD</definedName>
    <definedName name="DDD" localSheetId="7">'TASA FALLA '!DDD</definedName>
    <definedName name="DDD">[0]!DDD</definedName>
    <definedName name="DISTROCUYO" localSheetId="7">'TASA FALLA '!DISTROCUYO</definedName>
    <definedName name="DISTROCUYO">[0]!DISTROCUYO</definedName>
    <definedName name="INICIO" localSheetId="7">'TASA FALLA '!INICIO</definedName>
    <definedName name="INICIO">[0]!INICIO</definedName>
    <definedName name="INICIOTI" localSheetId="7">'TASA FALLA '!INICIOTI</definedName>
    <definedName name="INICIOTI">[0]!INICIOTI</definedName>
    <definedName name="LINEAS" localSheetId="7">'TASA FALLA '!LINEAS</definedName>
    <definedName name="LINEAS">[0]!LINEAS</definedName>
    <definedName name="NAME_L" localSheetId="7">'TASA FALLA '!NAME_L</definedName>
    <definedName name="NAME_L">[0]!NAME_L</definedName>
    <definedName name="NAME_L_TI" localSheetId="7">'TASA FALLA '!NAME_L_TI</definedName>
    <definedName name="NAME_L_TI">[0]!NAME_L_TI</definedName>
    <definedName name="TRAN" localSheetId="7">'TASA FALLA '!TRAN</definedName>
    <definedName name="TRAN">[0]!TRAN</definedName>
    <definedName name="TRANSNOA" localSheetId="7">'TASA FALLA '!TRANSNOA</definedName>
    <definedName name="TRANSNOA">[0]!TRANSNOA</definedName>
    <definedName name="x" localSheetId="7">'TASA FALLA '!x</definedName>
    <definedName name="x">[0]!x</definedName>
    <definedName name="XX" localSheetId="7">'TASA FALLA 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<sst xmlns="http://schemas.openxmlformats.org/spreadsheetml/2006/main" count="334" uniqueCount="168">
  <si>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</si>
  <si>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</si>
  <si>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</si>
  <si>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</si>
  <si>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</si>
  <si>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</si>
  <si>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</si>
  <si>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</si>
  <si>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</si>
  <si>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</si>
  <si>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</si>
  <si>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</si>
  <si>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</si>
  <si>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</si>
  <si>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</si>
  <si>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</si>
  <si>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</si>
  <si>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</si>
  <si>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</si>
  <si>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</si>
  <si>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</si>
  <si>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</si>
  <si>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</si>
  <si>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</si>
  <si>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</si>
  <si>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</si>
  <si>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</si>
  <si>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</si>
  <si>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</si>
  <si>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</si>
  <si>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</si>
  <si>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</si>
  <si>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</si>
  <si>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</si>
  <si>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</si>
  <si>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</si>
  <si>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</si>
  <si>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</si>
  <si>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</si>
  <si>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</si>
  <si>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</si>
  <si>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</si>
  <si>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</si>
  <si>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</si>
  <si>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</si>
  <si>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</si>
  <si>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</si>
  <si>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</si>
  <si>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</si>
  <si>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</si>
  <si>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</si>
  <si>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</si>
  <si>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</si>
  <si>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</si>
  <si>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</si>
  <si>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</si>
  <si>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</si>
  <si>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</si>
  <si>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</si>
  <si>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</si>
  <si>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</si>
  <si>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</si>
  <si>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</si>
  <si>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</si>
  <si>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</si>
  <si>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</si>
  <si>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</si>
  <si>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</si>
  <si>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</si>
  <si>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</si>
  <si>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</si>
  <si>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</si>
  <si>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</si>
  <si>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</si>
  <si>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</si>
  <si>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</si>
  <si>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</si>
  <si>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</si>
  <si>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</si>
  <si>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</si>
  <si>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</si>
  <si>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</si>
  <si>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</si>
  <si>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</si>
  <si>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</si>
  <si>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</si>
  <si>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</si>
  <si>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</si>
  <si>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</si>
  <si>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</si>
  <si>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</si>
  <si>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</si>
  <si>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</si>
  <si>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</si>
  <si>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</si>
  <si>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</si>
  <si>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</si>
  <si>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</si>
  <si>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</si>
  <si>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</si>
  <si>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</si>
  <si>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</si>
  <si>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</si>
  <si>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</si>
  <si>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</si>
  <si>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</si>
  <si>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</si>
  <si>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</si>
  <si>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</si>
  <si>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</si>
  <si>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</si>
  <si>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</si>
  <si>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</si>
  <si>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</si>
  <si>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</si>
  <si>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</si>
  <si>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</si>
  <si>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</si>
  <si>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</si>
  <si>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</si>
  <si>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</si>
  <si>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</si>
  <si>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</si>
  <si>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</si>
  <si>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</si>
  <si>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</si>
  <si>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</si>
  <si>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</si>
  <si>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</si>
  <si>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4.2.- SUPERVISIÓN - Transportista Independiente S.P.S.E.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</si>
  <si>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</si>
  <si>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</si>
  <si>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</si>
  <si>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</si>
  <si>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</si>
  <si>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</si>
  <si>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Desde el 01 al 30 de abril de 2011</t>
  </si>
  <si>
    <t>FUTALEUFU - PTO. MADRYN 2</t>
  </si>
  <si>
    <t>P</t>
  </si>
  <si>
    <t>SI</t>
  </si>
  <si>
    <t>0,000</t>
  </si>
  <si>
    <t>FUTALEUFU - PTO. MADRYN 1</t>
  </si>
  <si>
    <t>F</t>
  </si>
  <si>
    <t>PICO TRUNCADO 1</t>
  </si>
  <si>
    <t>AUTOTRAFO 7</t>
  </si>
  <si>
    <t>132/66/13,2</t>
  </si>
  <si>
    <t>1.2.- Transportista Independiente S.P.S.E.</t>
  </si>
  <si>
    <t>P - PROGRAMADA ;  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</si>
  <si>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</si>
  <si>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</t>
  </si>
  <si>
    <t>S. ANTONIO ESTE</t>
  </si>
  <si>
    <t>132/33/13,2</t>
  </si>
  <si>
    <t>PTQ. C. RIVADAVIA - P. DESEADO</t>
  </si>
  <si>
    <t xml:space="preserve"> -</t>
  </si>
  <si>
    <t xml:space="preserve">SISTEMA DE TRANSPORTE DE ENERGÍA ELÉCTRICA POR DISTRIBUCIÓN TRONCAL </t>
  </si>
  <si>
    <t>INDISPONIBILIDADES FORZADAS DE LÍNEAS - TASA DE FALLA</t>
  </si>
  <si>
    <t>Tasa de falla correspondiente al mes de abril de 2011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</si>
  <si>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</si>
  <si>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</si>
  <si>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</si>
  <si>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</si>
  <si>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</si>
  <si>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</si>
  <si>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</si>
  <si>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</si>
  <si>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Valores remuneratorios Decreto PEN N° 1779/07 -  Res. ENRE N° 331/08 -  Res. ENRE N° 645/08</t>
  </si>
  <si>
    <t>TOTAL DE PENALIZACIONES</t>
  </si>
  <si>
    <t>ANEXO IV al Memorandum D.T.E.E.  N° 482 /2012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</si>
</sst>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7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15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5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8" fontId="10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4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16" fillId="0" borderId="2" xfId="0" applyFont="1" applyBorder="1" applyAlignment="1">
      <alignment horizontal="centerContinuous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28" fillId="0" borderId="0" xfId="0" applyFont="1" applyFill="1" applyBorder="1" applyAlignment="1" applyProtection="1">
      <alignment horizontal="centerContinuous"/>
      <protection/>
    </xf>
    <xf numFmtId="0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3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7" fontId="8" fillId="0" borderId="2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7" fontId="19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Continuous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5" fillId="0" borderId="1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 quotePrefix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 quotePrefix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0" fontId="29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/>
    </xf>
    <xf numFmtId="0" fontId="14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0" xfId="0" applyFont="1" applyBorder="1" applyAlignment="1" applyProtection="1">
      <alignment horizontal="centerContinuous"/>
      <protection/>
    </xf>
    <xf numFmtId="167" fontId="0" fillId="0" borderId="20" xfId="0" applyNumberFormat="1" applyFont="1" applyBorder="1" applyAlignment="1">
      <alignment horizontal="centerContinuous"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left" vertical="top"/>
      <protection/>
    </xf>
    <xf numFmtId="0" fontId="40" fillId="0" borderId="0" xfId="0" applyFont="1" applyBorder="1" applyAlignment="1">
      <alignment/>
    </xf>
    <xf numFmtId="0" fontId="40" fillId="0" borderId="1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1" fillId="0" borderId="0" xfId="0" applyNumberFormat="1" applyFont="1" applyBorder="1" applyAlignment="1">
      <alignment horizontal="center"/>
    </xf>
    <xf numFmtId="168" fontId="42" fillId="0" borderId="0" xfId="0" applyNumberFormat="1" applyFont="1" applyBorder="1" applyAlignment="1" applyProtection="1" quotePrefix="1">
      <alignment horizontal="center"/>
      <protection/>
    </xf>
    <xf numFmtId="4" fontId="42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right"/>
    </xf>
    <xf numFmtId="2" fontId="40" fillId="0" borderId="2" xfId="0" applyNumberFormat="1" applyFont="1" applyBorder="1" applyAlignment="1">
      <alignment horizontal="center"/>
    </xf>
    <xf numFmtId="0" fontId="40" fillId="0" borderId="0" xfId="0" applyFont="1" applyAlignment="1">
      <alignment/>
    </xf>
    <xf numFmtId="7" fontId="11" fillId="0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3" fillId="0" borderId="0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/>
    </xf>
    <xf numFmtId="0" fontId="44" fillId="2" borderId="17" xfId="0" applyFont="1" applyFill="1" applyBorder="1" applyAlignment="1" applyProtection="1">
      <alignment horizontal="center" vertical="center"/>
      <protection/>
    </xf>
    <xf numFmtId="0" fontId="45" fillId="2" borderId="14" xfId="0" applyFont="1" applyFill="1" applyBorder="1" applyAlignment="1">
      <alignment/>
    </xf>
    <xf numFmtId="0" fontId="45" fillId="2" borderId="3" xfId="0" applyFont="1" applyFill="1" applyBorder="1" applyAlignment="1">
      <alignment/>
    </xf>
    <xf numFmtId="168" fontId="46" fillId="2" borderId="3" xfId="0" applyNumberFormat="1" applyFont="1" applyFill="1" applyBorder="1" applyAlignment="1" applyProtection="1">
      <alignment horizontal="center"/>
      <protection/>
    </xf>
    <xf numFmtId="168" fontId="46" fillId="2" borderId="4" xfId="0" applyNumberFormat="1" applyFont="1" applyFill="1" applyBorder="1" applyAlignment="1" applyProtection="1">
      <alignment horizontal="center"/>
      <protection/>
    </xf>
    <xf numFmtId="0" fontId="46" fillId="2" borderId="3" xfId="0" applyFont="1" applyFill="1" applyBorder="1" applyAlignment="1">
      <alignment/>
    </xf>
    <xf numFmtId="0" fontId="46" fillId="2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7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50" fillId="3" borderId="17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/>
    </xf>
    <xf numFmtId="0" fontId="51" fillId="3" borderId="3" xfId="0" applyFont="1" applyFill="1" applyBorder="1" applyAlignment="1">
      <alignment/>
    </xf>
    <xf numFmtId="0" fontId="50" fillId="4" borderId="17" xfId="0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/>
    </xf>
    <xf numFmtId="0" fontId="51" fillId="4" borderId="3" xfId="0" applyFont="1" applyFill="1" applyBorder="1" applyAlignment="1">
      <alignment/>
    </xf>
    <xf numFmtId="0" fontId="26" fillId="5" borderId="17" xfId="0" applyFont="1" applyFill="1" applyBorder="1" applyAlignment="1" applyProtection="1">
      <alignment horizontal="centerContinuous" vertical="center" wrapText="1"/>
      <protection/>
    </xf>
    <xf numFmtId="0" fontId="24" fillId="5" borderId="18" xfId="0" applyFont="1" applyFill="1" applyBorder="1" applyAlignment="1">
      <alignment horizontal="centerContinuous"/>
    </xf>
    <xf numFmtId="0" fontId="26" fillId="5" borderId="20" xfId="0" applyFont="1" applyFill="1" applyBorder="1" applyAlignment="1">
      <alignment horizontal="centerContinuous" vertical="center"/>
    </xf>
    <xf numFmtId="0" fontId="53" fillId="5" borderId="22" xfId="0" applyFont="1" applyFill="1" applyBorder="1" applyAlignment="1">
      <alignment horizontal="center"/>
    </xf>
    <xf numFmtId="0" fontId="53" fillId="5" borderId="23" xfId="0" applyFont="1" applyFill="1" applyBorder="1" applyAlignment="1">
      <alignment/>
    </xf>
    <xf numFmtId="0" fontId="53" fillId="5" borderId="24" xfId="0" applyFont="1" applyFill="1" applyBorder="1" applyAlignment="1">
      <alignment/>
    </xf>
    <xf numFmtId="0" fontId="53" fillId="5" borderId="25" xfId="0" applyFont="1" applyFill="1" applyBorder="1" applyAlignment="1">
      <alignment horizontal="center"/>
    </xf>
    <xf numFmtId="0" fontId="53" fillId="5" borderId="26" xfId="0" applyFont="1" applyFill="1" applyBorder="1" applyAlignment="1">
      <alignment/>
    </xf>
    <xf numFmtId="0" fontId="53" fillId="5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26" fillId="6" borderId="17" xfId="0" applyFont="1" applyFill="1" applyBorder="1" applyAlignment="1" applyProtection="1">
      <alignment horizontal="centerContinuous" vertical="center" wrapText="1"/>
      <protection/>
    </xf>
    <xf numFmtId="0" fontId="24" fillId="6" borderId="18" xfId="0" applyFont="1" applyFill="1" applyBorder="1" applyAlignment="1">
      <alignment horizontal="centerContinuous"/>
    </xf>
    <xf numFmtId="0" fontId="26" fillId="6" borderId="20" xfId="0" applyFont="1" applyFill="1" applyBorder="1" applyAlignment="1">
      <alignment horizontal="centerContinuous" vertical="center"/>
    </xf>
    <xf numFmtId="0" fontId="53" fillId="6" borderId="22" xfId="0" applyFont="1" applyFill="1" applyBorder="1" applyAlignment="1">
      <alignment horizontal="center"/>
    </xf>
    <xf numFmtId="0" fontId="53" fillId="6" borderId="23" xfId="0" applyFont="1" applyFill="1" applyBorder="1" applyAlignment="1">
      <alignment/>
    </xf>
    <xf numFmtId="0" fontId="53" fillId="6" borderId="24" xfId="0" applyFont="1" applyFill="1" applyBorder="1" applyAlignment="1">
      <alignment/>
    </xf>
    <xf numFmtId="0" fontId="53" fillId="6" borderId="25" xfId="0" applyFont="1" applyFill="1" applyBorder="1" applyAlignment="1">
      <alignment horizontal="center"/>
    </xf>
    <xf numFmtId="0" fontId="53" fillId="6" borderId="26" xfId="0" applyFont="1" applyFill="1" applyBorder="1" applyAlignment="1">
      <alignment/>
    </xf>
    <xf numFmtId="0" fontId="53" fillId="6" borderId="16" xfId="0" applyFont="1" applyFill="1" applyBorder="1" applyAlignment="1">
      <alignment/>
    </xf>
    <xf numFmtId="0" fontId="26" fillId="7" borderId="17" xfId="0" applyFont="1" applyFill="1" applyBorder="1" applyAlignment="1">
      <alignment horizontal="center" vertical="center" wrapText="1"/>
    </xf>
    <xf numFmtId="0" fontId="53" fillId="7" borderId="14" xfId="0" applyFont="1" applyFill="1" applyBorder="1" applyAlignment="1">
      <alignment/>
    </xf>
    <xf numFmtId="0" fontId="53" fillId="7" borderId="3" xfId="0" applyFont="1" applyFill="1" applyBorder="1" applyAlignment="1">
      <alignment/>
    </xf>
    <xf numFmtId="0" fontId="50" fillId="8" borderId="17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/>
    </xf>
    <xf numFmtId="0" fontId="51" fillId="8" borderId="3" xfId="0" applyFont="1" applyFill="1" applyBorder="1" applyAlignment="1">
      <alignment/>
    </xf>
    <xf numFmtId="2" fontId="49" fillId="3" borderId="17" xfId="0" applyNumberFormat="1" applyFont="1" applyFill="1" applyBorder="1" applyAlignment="1">
      <alignment horizontal="center"/>
    </xf>
    <xf numFmtId="2" fontId="49" fillId="4" borderId="17" xfId="0" applyNumberFormat="1" applyFont="1" applyFill="1" applyBorder="1" applyAlignment="1">
      <alignment horizontal="center"/>
    </xf>
    <xf numFmtId="168" fontId="54" fillId="5" borderId="17" xfId="0" applyNumberFormat="1" applyFont="1" applyFill="1" applyBorder="1" applyAlignment="1" applyProtection="1" quotePrefix="1">
      <alignment horizontal="center"/>
      <protection/>
    </xf>
    <xf numFmtId="4" fontId="54" fillId="5" borderId="17" xfId="0" applyNumberFormat="1" applyFont="1" applyFill="1" applyBorder="1" applyAlignment="1">
      <alignment horizontal="center"/>
    </xf>
    <xf numFmtId="168" fontId="54" fillId="6" borderId="17" xfId="0" applyNumberFormat="1" applyFont="1" applyFill="1" applyBorder="1" applyAlignment="1" applyProtection="1" quotePrefix="1">
      <alignment horizontal="center"/>
      <protection/>
    </xf>
    <xf numFmtId="4" fontId="54" fillId="6" borderId="17" xfId="0" applyNumberFormat="1" applyFont="1" applyFill="1" applyBorder="1" applyAlignment="1">
      <alignment horizontal="center"/>
    </xf>
    <xf numFmtId="168" fontId="54" fillId="7" borderId="17" xfId="0" applyNumberFormat="1" applyFont="1" applyFill="1" applyBorder="1" applyAlignment="1" applyProtection="1" quotePrefix="1">
      <alignment horizontal="center"/>
      <protection/>
    </xf>
    <xf numFmtId="4" fontId="49" fillId="8" borderId="17" xfId="0" applyNumberFormat="1" applyFont="1" applyFill="1" applyBorder="1" applyAlignment="1">
      <alignment horizontal="center"/>
    </xf>
    <xf numFmtId="0" fontId="50" fillId="8" borderId="17" xfId="0" applyFont="1" applyFill="1" applyBorder="1" applyAlignment="1" applyProtection="1">
      <alignment horizontal="center" vertical="center"/>
      <protection/>
    </xf>
    <xf numFmtId="0" fontId="49" fillId="8" borderId="3" xfId="0" applyFont="1" applyFill="1" applyBorder="1" applyAlignment="1">
      <alignment/>
    </xf>
    <xf numFmtId="4" fontId="49" fillId="8" borderId="3" xfId="0" applyNumberFormat="1" applyFont="1" applyFill="1" applyBorder="1" applyAlignment="1" applyProtection="1">
      <alignment horizontal="center"/>
      <protection/>
    </xf>
    <xf numFmtId="0" fontId="49" fillId="8" borderId="4" xfId="0" applyFont="1" applyFill="1" applyBorder="1" applyAlignment="1">
      <alignment/>
    </xf>
    <xf numFmtId="0" fontId="54" fillId="7" borderId="3" xfId="0" applyFont="1" applyFill="1" applyBorder="1" applyAlignment="1">
      <alignment/>
    </xf>
    <xf numFmtId="2" fontId="54" fillId="7" borderId="3" xfId="0" applyNumberFormat="1" applyFont="1" applyFill="1" applyBorder="1" applyAlignment="1">
      <alignment horizontal="center"/>
    </xf>
    <xf numFmtId="0" fontId="54" fillId="7" borderId="4" xfId="0" applyFont="1" applyFill="1" applyBorder="1" applyAlignment="1">
      <alignment/>
    </xf>
    <xf numFmtId="7" fontId="54" fillId="7" borderId="17" xfId="0" applyNumberFormat="1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 vertical="center" wrapText="1"/>
    </xf>
    <xf numFmtId="0" fontId="54" fillId="9" borderId="3" xfId="0" applyFont="1" applyFill="1" applyBorder="1" applyAlignment="1">
      <alignment/>
    </xf>
    <xf numFmtId="2" fontId="54" fillId="9" borderId="3" xfId="0" applyNumberFormat="1" applyFont="1" applyFill="1" applyBorder="1" applyAlignment="1">
      <alignment horizontal="center"/>
    </xf>
    <xf numFmtId="0" fontId="54" fillId="9" borderId="4" xfId="0" applyFont="1" applyFill="1" applyBorder="1" applyAlignment="1">
      <alignment/>
    </xf>
    <xf numFmtId="7" fontId="54" fillId="9" borderId="17" xfId="0" applyNumberFormat="1" applyFont="1" applyFill="1" applyBorder="1" applyAlignment="1">
      <alignment horizontal="center"/>
    </xf>
    <xf numFmtId="0" fontId="50" fillId="10" borderId="19" xfId="0" applyFont="1" applyFill="1" applyBorder="1" applyAlignment="1" applyProtection="1">
      <alignment horizontal="centerContinuous" vertical="center" wrapText="1"/>
      <protection/>
    </xf>
    <xf numFmtId="0" fontId="50" fillId="10" borderId="20" xfId="0" applyFont="1" applyFill="1" applyBorder="1" applyAlignment="1">
      <alignment horizontal="centerContinuous" vertical="center"/>
    </xf>
    <xf numFmtId="0" fontId="49" fillId="10" borderId="25" xfId="0" applyFont="1" applyFill="1" applyBorder="1" applyAlignment="1">
      <alignment horizontal="center"/>
    </xf>
    <xf numFmtId="0" fontId="49" fillId="10" borderId="16" xfId="0" applyFont="1" applyFill="1" applyBorder="1" applyAlignment="1">
      <alignment/>
    </xf>
    <xf numFmtId="168" fontId="49" fillId="10" borderId="25" xfId="0" applyNumberFormat="1" applyFont="1" applyFill="1" applyBorder="1" applyAlignment="1" applyProtection="1" quotePrefix="1">
      <alignment horizontal="center"/>
      <protection/>
    </xf>
    <xf numFmtId="168" fontId="49" fillId="10" borderId="27" xfId="0" applyNumberFormat="1" applyFont="1" applyFill="1" applyBorder="1" applyAlignment="1" applyProtection="1" quotePrefix="1">
      <alignment horizontal="center"/>
      <protection/>
    </xf>
    <xf numFmtId="7" fontId="49" fillId="10" borderId="17" xfId="0" applyNumberFormat="1" applyFont="1" applyFill="1" applyBorder="1" applyAlignment="1">
      <alignment horizontal="center"/>
    </xf>
    <xf numFmtId="0" fontId="50" fillId="3" borderId="19" xfId="0" applyFont="1" applyFill="1" applyBorder="1" applyAlignment="1" applyProtection="1">
      <alignment horizontal="centerContinuous" vertical="center" wrapText="1"/>
      <protection/>
    </xf>
    <xf numFmtId="0" fontId="50" fillId="3" borderId="20" xfId="0" applyFont="1" applyFill="1" applyBorder="1" applyAlignment="1">
      <alignment horizontal="centerContinuous" vertical="center"/>
    </xf>
    <xf numFmtId="0" fontId="49" fillId="3" borderId="25" xfId="0" applyFont="1" applyFill="1" applyBorder="1" applyAlignment="1">
      <alignment horizontal="center"/>
    </xf>
    <xf numFmtId="0" fontId="49" fillId="3" borderId="16" xfId="0" applyFont="1" applyFill="1" applyBorder="1" applyAlignment="1">
      <alignment/>
    </xf>
    <xf numFmtId="168" fontId="49" fillId="3" borderId="25" xfId="0" applyNumberFormat="1" applyFont="1" applyFill="1" applyBorder="1" applyAlignment="1" applyProtection="1" quotePrefix="1">
      <alignment horizontal="center"/>
      <protection/>
    </xf>
    <xf numFmtId="168" fontId="49" fillId="3" borderId="27" xfId="0" applyNumberFormat="1" applyFont="1" applyFill="1" applyBorder="1" applyAlignment="1" applyProtection="1" quotePrefix="1">
      <alignment horizontal="center"/>
      <protection/>
    </xf>
    <xf numFmtId="7" fontId="49" fillId="3" borderId="17" xfId="0" applyNumberFormat="1" applyFont="1" applyFill="1" applyBorder="1" applyAlignment="1">
      <alignment horizontal="center"/>
    </xf>
    <xf numFmtId="0" fontId="47" fillId="5" borderId="17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/>
    </xf>
    <xf numFmtId="168" fontId="48" fillId="5" borderId="3" xfId="0" applyNumberFormat="1" applyFont="1" applyFill="1" applyBorder="1" applyAlignment="1" applyProtection="1" quotePrefix="1">
      <alignment horizontal="center"/>
      <protection/>
    </xf>
    <xf numFmtId="0" fontId="48" fillId="5" borderId="4" xfId="0" applyFont="1" applyFill="1" applyBorder="1" applyAlignment="1">
      <alignment/>
    </xf>
    <xf numFmtId="7" fontId="48" fillId="5" borderId="17" xfId="0" applyNumberFormat="1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 vertical="center" wrapText="1"/>
    </xf>
    <xf numFmtId="0" fontId="54" fillId="6" borderId="3" xfId="0" applyFont="1" applyFill="1" applyBorder="1" applyAlignment="1">
      <alignment/>
    </xf>
    <xf numFmtId="168" fontId="54" fillId="6" borderId="3" xfId="0" applyNumberFormat="1" applyFont="1" applyFill="1" applyBorder="1" applyAlignment="1" applyProtection="1" quotePrefix="1">
      <alignment horizontal="center"/>
      <protection/>
    </xf>
    <xf numFmtId="0" fontId="54" fillId="6" borderId="4" xfId="0" applyFont="1" applyFill="1" applyBorder="1" applyAlignment="1">
      <alignment/>
    </xf>
    <xf numFmtId="7" fontId="54" fillId="6" borderId="17" xfId="0" applyNumberFormat="1" applyFont="1" applyFill="1" applyBorder="1" applyAlignment="1">
      <alignment horizontal="center"/>
    </xf>
    <xf numFmtId="0" fontId="49" fillId="10" borderId="28" xfId="0" applyFont="1" applyFill="1" applyBorder="1" applyAlignment="1">
      <alignment/>
    </xf>
    <xf numFmtId="0" fontId="49" fillId="10" borderId="29" xfId="0" applyFont="1" applyFill="1" applyBorder="1" applyAlignment="1">
      <alignment/>
    </xf>
    <xf numFmtId="0" fontId="49" fillId="3" borderId="28" xfId="0" applyFont="1" applyFill="1" applyBorder="1" applyAlignment="1">
      <alignment/>
    </xf>
    <xf numFmtId="0" fontId="49" fillId="3" borderId="29" xfId="0" applyFont="1" applyFill="1" applyBorder="1" applyAlignment="1">
      <alignment/>
    </xf>
    <xf numFmtId="0" fontId="55" fillId="0" borderId="7" xfId="0" applyFont="1" applyBorder="1" applyAlignment="1">
      <alignment/>
    </xf>
    <xf numFmtId="0" fontId="56" fillId="2" borderId="3" xfId="0" applyFont="1" applyFill="1" applyBorder="1" applyAlignment="1">
      <alignment/>
    </xf>
    <xf numFmtId="168" fontId="57" fillId="2" borderId="3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5" fillId="0" borderId="8" xfId="0" applyFont="1" applyBorder="1" applyAlignment="1">
      <alignment/>
    </xf>
    <xf numFmtId="0" fontId="58" fillId="0" borderId="0" xfId="0" applyFont="1" applyAlignment="1">
      <alignment horizontal="right" vertical="top"/>
    </xf>
    <xf numFmtId="0" fontId="18" fillId="0" borderId="0" xfId="0" applyFont="1" applyBorder="1" applyAlignment="1">
      <alignment/>
    </xf>
    <xf numFmtId="0" fontId="15" fillId="0" borderId="1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2" xfId="0" applyFont="1" applyFill="1" applyBorder="1" applyAlignment="1">
      <alignment horizontal="centerContinuous"/>
    </xf>
    <xf numFmtId="0" fontId="14" fillId="0" borderId="2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0" xfId="0" applyFont="1" applyBorder="1" applyAlignment="1" applyProtection="1">
      <alignment horizontal="left"/>
      <protection/>
    </xf>
    <xf numFmtId="171" fontId="0" fillId="0" borderId="31" xfId="0" applyNumberFormat="1" applyFont="1" applyBorder="1" applyAlignment="1" applyProtection="1">
      <alignment horizontal="centerContinuous"/>
      <protection/>
    </xf>
    <xf numFmtId="0" fontId="10" fillId="0" borderId="32" xfId="0" applyFont="1" applyBorder="1" applyAlignment="1">
      <alignment horizontal="centerContinuous"/>
    </xf>
    <xf numFmtId="0" fontId="10" fillId="0" borderId="33" xfId="0" applyFont="1" applyFill="1" applyBorder="1" applyAlignment="1">
      <alignment/>
    </xf>
    <xf numFmtId="0" fontId="10" fillId="0" borderId="34" xfId="0" applyFont="1" applyBorder="1" applyAlignment="1" applyProtection="1">
      <alignment horizontal="right"/>
      <protection/>
    </xf>
    <xf numFmtId="173" fontId="1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171" fontId="24" fillId="0" borderId="37" xfId="0" applyNumberFormat="1" applyFont="1" applyBorder="1" applyAlignment="1">
      <alignment horizontal="centerContinuous"/>
    </xf>
    <xf numFmtId="0" fontId="10" fillId="0" borderId="38" xfId="0" applyFont="1" applyBorder="1" applyAlignment="1">
      <alignment horizontal="centerContinuous"/>
    </xf>
    <xf numFmtId="0" fontId="10" fillId="0" borderId="39" xfId="0" applyFont="1" applyFill="1" applyBorder="1" applyAlignment="1">
      <alignment/>
    </xf>
    <xf numFmtId="168" fontId="10" fillId="0" borderId="40" xfId="0" applyNumberFormat="1" applyFont="1" applyBorder="1" applyAlignment="1" applyProtection="1">
      <alignment horizontal="right"/>
      <protection/>
    </xf>
    <xf numFmtId="171" fontId="10" fillId="0" borderId="41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171" fontId="24" fillId="0" borderId="40" xfId="0" applyNumberFormat="1" applyFont="1" applyBorder="1" applyAlignment="1">
      <alignment horizontal="centerContinuous"/>
    </xf>
    <xf numFmtId="0" fontId="10" fillId="0" borderId="43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left"/>
      <protection/>
    </xf>
    <xf numFmtId="7" fontId="10" fillId="0" borderId="44" xfId="0" applyNumberFormat="1" applyFont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/>
      <protection/>
    </xf>
    <xf numFmtId="2" fontId="10" fillId="0" borderId="37" xfId="0" applyNumberFormat="1" applyFont="1" applyBorder="1" applyAlignment="1" applyProtection="1">
      <alignment horizontal="center"/>
      <protection/>
    </xf>
    <xf numFmtId="168" fontId="10" fillId="0" borderId="37" xfId="0" applyNumberFormat="1" applyFont="1" applyBorder="1" applyAlignment="1" applyProtection="1">
      <alignment horizontal="center"/>
      <protection/>
    </xf>
    <xf numFmtId="0" fontId="0" fillId="0" borderId="37" xfId="0" applyBorder="1" applyAlignment="1">
      <alignment horizontal="centerContinuous"/>
    </xf>
    <xf numFmtId="0" fontId="0" fillId="0" borderId="37" xfId="0" applyBorder="1" applyAlignment="1">
      <alignment/>
    </xf>
    <xf numFmtId="7" fontId="18" fillId="0" borderId="46" xfId="0" applyNumberFormat="1" applyFont="1" applyBorder="1" applyAlignment="1">
      <alignment horizontal="center"/>
    </xf>
    <xf numFmtId="0" fontId="10" fillId="0" borderId="47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2" fontId="10" fillId="0" borderId="44" xfId="0" applyNumberFormat="1" applyFont="1" applyBorder="1" applyAlignment="1" applyProtection="1">
      <alignment horizontal="center"/>
      <protection/>
    </xf>
    <xf numFmtId="168" fontId="10" fillId="0" borderId="44" xfId="0" applyNumberFormat="1" applyFont="1" applyBorder="1" applyAlignment="1" applyProtection="1">
      <alignment horizontal="center"/>
      <protection/>
    </xf>
    <xf numFmtId="7" fontId="10" fillId="0" borderId="44" xfId="0" applyNumberFormat="1" applyFont="1" applyBorder="1" applyAlignment="1" applyProtection="1">
      <alignment horizontal="center"/>
      <protection/>
    </xf>
    <xf numFmtId="7" fontId="10" fillId="0" borderId="44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 applyProtection="1">
      <alignment horizontal="centerContinuous"/>
      <protection/>
    </xf>
    <xf numFmtId="0" fontId="10" fillId="0" borderId="44" xfId="0" applyFont="1" applyBorder="1" applyAlignment="1" applyProtection="1">
      <alignment horizontal="right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7" fontId="10" fillId="0" borderId="46" xfId="0" applyNumberFormat="1" applyFont="1" applyBorder="1" applyAlignment="1" applyProtection="1">
      <alignment horizontal="center"/>
      <protection/>
    </xf>
    <xf numFmtId="0" fontId="0" fillId="0" borderId="45" xfId="0" applyBorder="1" applyAlignment="1">
      <alignment horizontal="centerContinuous"/>
    </xf>
    <xf numFmtId="0" fontId="10" fillId="0" borderId="37" xfId="0" applyFont="1" applyBorder="1" applyAlignment="1" applyProtection="1">
      <alignment horizontal="centerContinuous"/>
      <protection/>
    </xf>
    <xf numFmtId="0" fontId="0" fillId="0" borderId="37" xfId="0" applyBorder="1" applyAlignment="1">
      <alignment horizontal="center"/>
    </xf>
    <xf numFmtId="168" fontId="10" fillId="0" borderId="45" xfId="0" applyNumberFormat="1" applyFont="1" applyBorder="1" applyAlignment="1" applyProtection="1">
      <alignment horizontal="centerContinuous"/>
      <protection/>
    </xf>
    <xf numFmtId="2" fontId="21" fillId="0" borderId="52" xfId="0" applyNumberFormat="1" applyFont="1" applyBorder="1" applyAlignment="1">
      <alignment horizontal="centerContinuous"/>
    </xf>
    <xf numFmtId="7" fontId="10" fillId="0" borderId="47" xfId="0" applyNumberFormat="1" applyFont="1" applyBorder="1" applyAlignment="1">
      <alignment horizontal="centerContinuous"/>
    </xf>
    <xf numFmtId="168" fontId="10" fillId="0" borderId="48" xfId="0" applyNumberFormat="1" applyFont="1" applyBorder="1" applyAlignment="1" applyProtection="1" quotePrefix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2" fontId="21" fillId="0" borderId="53" xfId="0" applyNumberFormat="1" applyFont="1" applyBorder="1" applyAlignment="1">
      <alignment horizontal="centerContinuous"/>
    </xf>
    <xf numFmtId="0" fontId="10" fillId="0" borderId="54" xfId="0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7" fontId="10" fillId="0" borderId="54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4" xfId="0" applyNumberFormat="1" applyFont="1" applyBorder="1" applyAlignment="1" applyProtection="1">
      <alignment horizontal="centerContinuous"/>
      <protection/>
    </xf>
    <xf numFmtId="2" fontId="21" fillId="0" borderId="56" xfId="0" applyNumberFormat="1" applyFont="1" applyBorder="1" applyAlignment="1">
      <alignment horizontal="centerContinuous"/>
    </xf>
    <xf numFmtId="7" fontId="10" fillId="0" borderId="50" xfId="0" applyNumberFormat="1" applyFont="1" applyBorder="1" applyAlignment="1">
      <alignment horizontal="centerContinuous"/>
    </xf>
    <xf numFmtId="168" fontId="10" fillId="0" borderId="44" xfId="0" applyNumberFormat="1" applyFont="1" applyBorder="1" applyAlignment="1" applyProtection="1" quotePrefix="1">
      <alignment horizontal="center"/>
      <protection/>
    </xf>
    <xf numFmtId="7" fontId="10" fillId="0" borderId="50" xfId="0" applyNumberFormat="1" applyFont="1" applyBorder="1" applyAlignment="1" applyProtection="1">
      <alignment horizontal="centerContinuous"/>
      <protection/>
    </xf>
    <xf numFmtId="2" fontId="21" fillId="0" borderId="26" xfId="0" applyNumberFormat="1" applyFont="1" applyBorder="1" applyAlignment="1">
      <alignment horizontal="centerContinuous"/>
    </xf>
    <xf numFmtId="7" fontId="10" fillId="0" borderId="45" xfId="0" applyNumberFormat="1" applyFont="1" applyBorder="1" applyAlignment="1" applyProtection="1">
      <alignment horizontal="centerContinuous"/>
      <protection/>
    </xf>
    <xf numFmtId="5" fontId="8" fillId="0" borderId="19" xfId="0" applyNumberFormat="1" applyFont="1" applyBorder="1" applyAlignment="1" applyProtection="1">
      <alignment horizontal="center"/>
      <protection/>
    </xf>
    <xf numFmtId="7" fontId="8" fillId="0" borderId="2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2" fillId="0" borderId="2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37" xfId="0" applyNumberFormat="1" applyFont="1" applyBorder="1" applyAlignment="1" applyProtection="1">
      <alignment horizontal="centerContinuous"/>
      <protection/>
    </xf>
    <xf numFmtId="2" fontId="10" fillId="0" borderId="52" xfId="0" applyNumberFormat="1" applyFont="1" applyBorder="1" applyAlignment="1" applyProtection="1">
      <alignment horizontal="centerContinuous"/>
      <protection/>
    </xf>
    <xf numFmtId="2" fontId="10" fillId="0" borderId="48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44" xfId="0" applyNumberFormat="1" applyFont="1" applyBorder="1" applyAlignment="1" applyProtection="1">
      <alignment horizontal="centerContinuous"/>
      <protection/>
    </xf>
    <xf numFmtId="2" fontId="10" fillId="0" borderId="26" xfId="0" applyNumberFormat="1" applyFont="1" applyBorder="1" applyAlignment="1" applyProtection="1">
      <alignment horizontal="centerContinuous"/>
      <protection/>
    </xf>
    <xf numFmtId="0" fontId="58" fillId="0" borderId="0" xfId="0" applyFont="1" applyFill="1" applyAlignment="1">
      <alignment horizontal="right" vertical="top"/>
    </xf>
    <xf numFmtId="0" fontId="0" fillId="0" borderId="19" xfId="0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>
      <alignment horizontal="centerContinuous" vertical="center"/>
    </xf>
    <xf numFmtId="0" fontId="1" fillId="0" borderId="20" xfId="0" applyFont="1" applyBorder="1" applyAlignment="1" applyProtection="1">
      <alignment horizontal="centerContinuous" vertical="center"/>
      <protection/>
    </xf>
    <xf numFmtId="167" fontId="0" fillId="0" borderId="20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49" fillId="3" borderId="4" xfId="0" applyNumberFormat="1" applyFont="1" applyFill="1" applyBorder="1" applyAlignment="1" applyProtection="1" quotePrefix="1">
      <alignment horizontal="center"/>
      <protection locked="0"/>
    </xf>
    <xf numFmtId="168" fontId="49" fillId="4" borderId="4" xfId="0" applyNumberFormat="1" applyFont="1" applyFill="1" applyBorder="1" applyAlignment="1" applyProtection="1" quotePrefix="1">
      <alignment horizontal="center"/>
      <protection locked="0"/>
    </xf>
    <xf numFmtId="168" fontId="54" fillId="5" borderId="28" xfId="0" applyNumberFormat="1" applyFont="1" applyFill="1" applyBorder="1" applyAlignment="1" applyProtection="1" quotePrefix="1">
      <alignment horizontal="center"/>
      <protection locked="0"/>
    </xf>
    <xf numFmtId="4" fontId="54" fillId="5" borderId="62" xfId="0" applyNumberFormat="1" applyFont="1" applyFill="1" applyBorder="1" applyAlignment="1" applyProtection="1">
      <alignment horizontal="center"/>
      <protection locked="0"/>
    </xf>
    <xf numFmtId="4" fontId="54" fillId="5" borderId="63" xfId="0" applyNumberFormat="1" applyFont="1" applyFill="1" applyBorder="1" applyAlignment="1" applyProtection="1">
      <alignment horizontal="center"/>
      <protection locked="0"/>
    </xf>
    <xf numFmtId="168" fontId="54" fillId="6" borderId="28" xfId="0" applyNumberFormat="1" applyFont="1" applyFill="1" applyBorder="1" applyAlignment="1" applyProtection="1" quotePrefix="1">
      <alignment horizontal="center"/>
      <protection locked="0"/>
    </xf>
    <xf numFmtId="4" fontId="54" fillId="6" borderId="62" xfId="0" applyNumberFormat="1" applyFont="1" applyFill="1" applyBorder="1" applyAlignment="1" applyProtection="1">
      <alignment horizontal="center"/>
      <protection locked="0"/>
    </xf>
    <xf numFmtId="4" fontId="54" fillId="6" borderId="63" xfId="0" applyNumberFormat="1" applyFont="1" applyFill="1" applyBorder="1" applyAlignment="1" applyProtection="1">
      <alignment horizontal="center"/>
      <protection locked="0"/>
    </xf>
    <xf numFmtId="4" fontId="54" fillId="7" borderId="4" xfId="0" applyNumberFormat="1" applyFont="1" applyFill="1" applyBorder="1" applyAlignment="1" applyProtection="1">
      <alignment horizontal="center"/>
      <protection locked="0"/>
    </xf>
    <xf numFmtId="4" fontId="49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1" fillId="3" borderId="3" xfId="0" applyFont="1" applyFill="1" applyBorder="1" applyAlignment="1" applyProtection="1">
      <alignment/>
      <protection locked="0"/>
    </xf>
    <xf numFmtId="0" fontId="51" fillId="4" borderId="3" xfId="0" applyFont="1" applyFill="1" applyBorder="1" applyAlignment="1" applyProtection="1">
      <alignment/>
      <protection locked="0"/>
    </xf>
    <xf numFmtId="0" fontId="53" fillId="5" borderId="25" xfId="0" applyFont="1" applyFill="1" applyBorder="1" applyAlignment="1" applyProtection="1">
      <alignment horizontal="center"/>
      <protection locked="0"/>
    </xf>
    <xf numFmtId="0" fontId="53" fillId="5" borderId="26" xfId="0" applyFont="1" applyFill="1" applyBorder="1" applyAlignment="1" applyProtection="1">
      <alignment/>
      <protection locked="0"/>
    </xf>
    <xf numFmtId="0" fontId="53" fillId="5" borderId="16" xfId="0" applyFont="1" applyFill="1" applyBorder="1" applyAlignment="1" applyProtection="1">
      <alignment/>
      <protection locked="0"/>
    </xf>
    <xf numFmtId="0" fontId="53" fillId="6" borderId="25" xfId="0" applyFont="1" applyFill="1" applyBorder="1" applyAlignment="1" applyProtection="1">
      <alignment horizontal="center"/>
      <protection locked="0"/>
    </xf>
    <xf numFmtId="0" fontId="53" fillId="6" borderId="26" xfId="0" applyFont="1" applyFill="1" applyBorder="1" applyAlignment="1" applyProtection="1">
      <alignment/>
      <protection locked="0"/>
    </xf>
    <xf numFmtId="0" fontId="53" fillId="6" borderId="16" xfId="0" applyFont="1" applyFill="1" applyBorder="1" applyAlignment="1" applyProtection="1">
      <alignment/>
      <protection locked="0"/>
    </xf>
    <xf numFmtId="0" fontId="53" fillId="7" borderId="3" xfId="0" applyFont="1" applyFill="1" applyBorder="1" applyAlignment="1" applyProtection="1">
      <alignment/>
      <protection locked="0"/>
    </xf>
    <xf numFmtId="0" fontId="51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right" vertical="top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2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" xfId="0" applyFont="1" applyFill="1" applyBorder="1" applyAlignment="1" applyProtection="1">
      <alignment/>
      <protection/>
    </xf>
    <xf numFmtId="0" fontId="26" fillId="7" borderId="17" xfId="0" applyFont="1" applyFill="1" applyBorder="1" applyAlignment="1" applyProtection="1">
      <alignment horizontal="center" vertical="center" wrapText="1"/>
      <protection/>
    </xf>
    <xf numFmtId="0" fontId="26" fillId="9" borderId="17" xfId="0" applyFont="1" applyFill="1" applyBorder="1" applyAlignment="1" applyProtection="1">
      <alignment horizontal="center" vertical="center" wrapText="1"/>
      <protection/>
    </xf>
    <xf numFmtId="0" fontId="50" fillId="10" borderId="20" xfId="0" applyFont="1" applyFill="1" applyBorder="1" applyAlignment="1" applyProtection="1">
      <alignment horizontal="centerContinuous" vertical="center"/>
      <protection/>
    </xf>
    <xf numFmtId="0" fontId="50" fillId="3" borderId="20" xfId="0" applyFont="1" applyFill="1" applyBorder="1" applyAlignment="1" applyProtection="1">
      <alignment horizontal="centerContinuous" vertical="center"/>
      <protection/>
    </xf>
    <xf numFmtId="0" fontId="47" fillId="5" borderId="17" xfId="0" applyFont="1" applyFill="1" applyBorder="1" applyAlignment="1" applyProtection="1">
      <alignment horizontal="center" vertical="center" wrapText="1"/>
      <protection/>
    </xf>
    <xf numFmtId="0" fontId="26" fillId="6" borderId="17" xfId="0" applyFont="1" applyFill="1" applyBorder="1" applyAlignment="1" applyProtection="1">
      <alignment horizontal="center" vertical="center" wrapText="1"/>
      <protection/>
    </xf>
    <xf numFmtId="0" fontId="25" fillId="0" borderId="2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/>
      <protection/>
    </xf>
    <xf numFmtId="0" fontId="46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49" fillId="8" borderId="3" xfId="0" applyFont="1" applyFill="1" applyBorder="1" applyAlignment="1" applyProtection="1">
      <alignment/>
      <protection/>
    </xf>
    <xf numFmtId="0" fontId="54" fillId="7" borderId="3" xfId="0" applyFont="1" applyFill="1" applyBorder="1" applyAlignment="1" applyProtection="1">
      <alignment/>
      <protection/>
    </xf>
    <xf numFmtId="0" fontId="54" fillId="9" borderId="3" xfId="0" applyFont="1" applyFill="1" applyBorder="1" applyAlignment="1" applyProtection="1">
      <alignment/>
      <protection/>
    </xf>
    <xf numFmtId="0" fontId="49" fillId="10" borderId="25" xfId="0" applyFont="1" applyFill="1" applyBorder="1" applyAlignment="1" applyProtection="1">
      <alignment horizontal="center"/>
      <protection/>
    </xf>
    <xf numFmtId="0" fontId="49" fillId="10" borderId="16" xfId="0" applyFont="1" applyFill="1" applyBorder="1" applyAlignment="1" applyProtection="1">
      <alignment/>
      <protection/>
    </xf>
    <xf numFmtId="0" fontId="49" fillId="3" borderId="25" xfId="0" applyFont="1" applyFill="1" applyBorder="1" applyAlignment="1" applyProtection="1">
      <alignment horizontal="center"/>
      <protection/>
    </xf>
    <xf numFmtId="0" fontId="49" fillId="3" borderId="16" xfId="0" applyFont="1" applyFill="1" applyBorder="1" applyAlignment="1" applyProtection="1">
      <alignment/>
      <protection/>
    </xf>
    <xf numFmtId="0" fontId="48" fillId="5" borderId="3" xfId="0" applyFont="1" applyFill="1" applyBorder="1" applyAlignment="1" applyProtection="1">
      <alignment/>
      <protection/>
    </xf>
    <xf numFmtId="0" fontId="54" fillId="6" borderId="3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6" fillId="2" borderId="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7" fontId="54" fillId="7" borderId="17" xfId="0" applyNumberFormat="1" applyFont="1" applyFill="1" applyBorder="1" applyAlignment="1" applyProtection="1">
      <alignment horizontal="center"/>
      <protection/>
    </xf>
    <xf numFmtId="7" fontId="54" fillId="9" borderId="17" xfId="0" applyNumberFormat="1" applyFont="1" applyFill="1" applyBorder="1" applyAlignment="1" applyProtection="1">
      <alignment horizontal="center"/>
      <protection/>
    </xf>
    <xf numFmtId="7" fontId="49" fillId="10" borderId="17" xfId="0" applyNumberFormat="1" applyFont="1" applyFill="1" applyBorder="1" applyAlignment="1" applyProtection="1">
      <alignment horizontal="center"/>
      <protection/>
    </xf>
    <xf numFmtId="7" fontId="49" fillId="3" borderId="17" xfId="0" applyNumberFormat="1" applyFont="1" applyFill="1" applyBorder="1" applyAlignment="1" applyProtection="1">
      <alignment horizontal="center"/>
      <protection/>
    </xf>
    <xf numFmtId="7" fontId="48" fillId="5" borderId="17" xfId="0" applyNumberFormat="1" applyFont="1" applyFill="1" applyBorder="1" applyAlignment="1" applyProtection="1">
      <alignment horizontal="center"/>
      <protection/>
    </xf>
    <xf numFmtId="7" fontId="54" fillId="6" borderId="17" xfId="0" applyNumberFormat="1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7" fontId="11" fillId="0" borderId="17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3" fillId="0" borderId="0" xfId="0" applyNumberFormat="1" applyFont="1" applyFill="1" applyBorder="1" applyAlignment="1" applyProtection="1">
      <alignment horizontal="right"/>
      <protection/>
    </xf>
    <xf numFmtId="0" fontId="38" fillId="0" borderId="2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57" xfId="0" applyNumberFormat="1" applyFont="1" applyBorder="1" applyAlignment="1" applyProtection="1" quotePrefix="1">
      <alignment horizontal="center"/>
      <protection locked="0"/>
    </xf>
    <xf numFmtId="2" fontId="7" fillId="0" borderId="57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49" fillId="8" borderId="4" xfId="0" applyFont="1" applyFill="1" applyBorder="1" applyAlignment="1" applyProtection="1">
      <alignment/>
      <protection locked="0"/>
    </xf>
    <xf numFmtId="0" fontId="54" fillId="7" borderId="4" xfId="0" applyFont="1" applyFill="1" applyBorder="1" applyAlignment="1" applyProtection="1">
      <alignment/>
      <protection locked="0"/>
    </xf>
    <xf numFmtId="0" fontId="54" fillId="9" borderId="4" xfId="0" applyFont="1" applyFill="1" applyBorder="1" applyAlignment="1" applyProtection="1">
      <alignment/>
      <protection locked="0"/>
    </xf>
    <xf numFmtId="0" fontId="49" fillId="10" borderId="28" xfId="0" applyFont="1" applyFill="1" applyBorder="1" applyAlignment="1" applyProtection="1">
      <alignment/>
      <protection locked="0"/>
    </xf>
    <xf numFmtId="0" fontId="49" fillId="10" borderId="29" xfId="0" applyFont="1" applyFill="1" applyBorder="1" applyAlignment="1" applyProtection="1">
      <alignment/>
      <protection locked="0"/>
    </xf>
    <xf numFmtId="0" fontId="49" fillId="3" borderId="28" xfId="0" applyFont="1" applyFill="1" applyBorder="1" applyAlignment="1" applyProtection="1">
      <alignment/>
      <protection locked="0"/>
    </xf>
    <xf numFmtId="0" fontId="49" fillId="3" borderId="29" xfId="0" applyFont="1" applyFill="1" applyBorder="1" applyAlignment="1" applyProtection="1">
      <alignment/>
      <protection locked="0"/>
    </xf>
    <xf numFmtId="0" fontId="48" fillId="5" borderId="4" xfId="0" applyFont="1" applyFill="1" applyBorder="1" applyAlignment="1" applyProtection="1">
      <alignment/>
      <protection locked="0"/>
    </xf>
    <xf numFmtId="0" fontId="54" fillId="6" borderId="4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168" fontId="11" fillId="0" borderId="37" xfId="0" applyNumberFormat="1" applyFont="1" applyBorder="1" applyAlignment="1" applyProtection="1">
      <alignment horizontal="center"/>
      <protection/>
    </xf>
    <xf numFmtId="168" fontId="61" fillId="0" borderId="0" xfId="0" applyNumberFormat="1" applyFont="1" applyBorder="1" applyAlignment="1" applyProtection="1" quotePrefix="1">
      <alignment horizontal="left"/>
      <protection/>
    </xf>
    <xf numFmtId="168" fontId="61" fillId="0" borderId="48" xfId="0" applyNumberFormat="1" applyFont="1" applyBorder="1" applyAlignment="1" applyProtection="1" quotePrefix="1">
      <alignment horizontal="left"/>
      <protection/>
    </xf>
    <xf numFmtId="168" fontId="61" fillId="0" borderId="44" xfId="0" applyNumberFormat="1" applyFont="1" applyBorder="1" applyAlignment="1" applyProtection="1" quotePrefix="1">
      <alignment horizontal="left"/>
      <protection/>
    </xf>
    <xf numFmtId="168" fontId="11" fillId="0" borderId="37" xfId="0" applyNumberFormat="1" applyFont="1" applyBorder="1" applyAlignment="1" applyProtection="1">
      <alignment horizontal="left"/>
      <protection/>
    </xf>
    <xf numFmtId="177" fontId="11" fillId="0" borderId="37" xfId="0" applyNumberFormat="1" applyFont="1" applyBorder="1" applyAlignment="1" applyProtection="1">
      <alignment horizontal="right"/>
      <protection/>
    </xf>
    <xf numFmtId="177" fontId="11" fillId="0" borderId="46" xfId="0" applyNumberFormat="1" applyFont="1" applyBorder="1" applyAlignment="1" applyProtection="1">
      <alignment horizontal="right"/>
      <protection/>
    </xf>
    <xf numFmtId="0" fontId="68" fillId="0" borderId="48" xfId="0" applyFont="1" applyBorder="1" applyAlignment="1" applyProtection="1">
      <alignment horizontal="centerContinuous"/>
      <protection/>
    </xf>
    <xf numFmtId="168" fontId="68" fillId="0" borderId="48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Continuous"/>
      <protection/>
    </xf>
    <xf numFmtId="168" fontId="68" fillId="0" borderId="0" xfId="0" applyNumberFormat="1" applyFont="1" applyBorder="1" applyAlignment="1" applyProtection="1">
      <alignment horizontal="center"/>
      <protection/>
    </xf>
    <xf numFmtId="7" fontId="68" fillId="0" borderId="47" xfId="0" applyNumberFormat="1" applyFont="1" applyBorder="1" applyAlignment="1">
      <alignment horizontal="left"/>
    </xf>
    <xf numFmtId="7" fontId="68" fillId="0" borderId="54" xfId="0" applyNumberFormat="1" applyFont="1" applyBorder="1" applyAlignment="1">
      <alignment horizontal="left"/>
    </xf>
    <xf numFmtId="168" fontId="10" fillId="0" borderId="52" xfId="0" applyNumberFormat="1" applyFont="1" applyBorder="1" applyAlignment="1" applyProtection="1">
      <alignment horizontal="center"/>
      <protection/>
    </xf>
    <xf numFmtId="168" fontId="10" fillId="0" borderId="47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0" fillId="0" borderId="52" xfId="0" applyNumberFormat="1" applyBorder="1" applyAlignment="1">
      <alignment horizontal="center"/>
    </xf>
    <xf numFmtId="177" fontId="11" fillId="0" borderId="37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Continuous"/>
    </xf>
    <xf numFmtId="0" fontId="7" fillId="0" borderId="57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8" fontId="11" fillId="0" borderId="17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49" fillId="3" borderId="3" xfId="0" applyNumberFormat="1" applyFont="1" applyFill="1" applyBorder="1" applyAlignment="1" applyProtection="1">
      <alignment horizontal="center"/>
      <protection/>
    </xf>
    <xf numFmtId="2" fontId="49" fillId="4" borderId="3" xfId="0" applyNumberFormat="1" applyFont="1" applyFill="1" applyBorder="1" applyAlignment="1" applyProtection="1">
      <alignment horizontal="center"/>
      <protection/>
    </xf>
    <xf numFmtId="168" fontId="54" fillId="5" borderId="25" xfId="0" applyNumberFormat="1" applyFont="1" applyFill="1" applyBorder="1" applyAlignment="1" applyProtection="1" quotePrefix="1">
      <alignment horizontal="center"/>
      <protection/>
    </xf>
    <xf numFmtId="168" fontId="54" fillId="5" borderId="26" xfId="0" applyNumberFormat="1" applyFont="1" applyFill="1" applyBorder="1" applyAlignment="1" applyProtection="1" quotePrefix="1">
      <alignment horizontal="center"/>
      <protection/>
    </xf>
    <xf numFmtId="4" fontId="54" fillId="5" borderId="16" xfId="0" applyNumberFormat="1" applyFont="1" applyFill="1" applyBorder="1" applyAlignment="1" applyProtection="1">
      <alignment horizontal="center"/>
      <protection/>
    </xf>
    <xf numFmtId="168" fontId="54" fillId="6" borderId="25" xfId="0" applyNumberFormat="1" applyFont="1" applyFill="1" applyBorder="1" applyAlignment="1" applyProtection="1" quotePrefix="1">
      <alignment horizontal="center"/>
      <protection/>
    </xf>
    <xf numFmtId="168" fontId="54" fillId="6" borderId="26" xfId="0" applyNumberFormat="1" applyFont="1" applyFill="1" applyBorder="1" applyAlignment="1" applyProtection="1" quotePrefix="1">
      <alignment horizontal="center"/>
      <protection/>
    </xf>
    <xf numFmtId="4" fontId="54" fillId="6" borderId="16" xfId="0" applyNumberFormat="1" applyFont="1" applyFill="1" applyBorder="1" applyAlignment="1" applyProtection="1">
      <alignment horizontal="center"/>
      <protection/>
    </xf>
    <xf numFmtId="4" fontId="54" fillId="7" borderId="3" xfId="0" applyNumberFormat="1" applyFont="1" applyFill="1" applyBorder="1" applyAlignment="1" applyProtection="1">
      <alignment horizontal="center"/>
      <protection/>
    </xf>
    <xf numFmtId="4" fontId="49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4" fillId="7" borderId="3" xfId="0" applyNumberFormat="1" applyFont="1" applyFill="1" applyBorder="1" applyAlignment="1" applyProtection="1">
      <alignment horizontal="center"/>
      <protection/>
    </xf>
    <xf numFmtId="2" fontId="54" fillId="9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52" fillId="0" borderId="0" xfId="0" applyFont="1" applyBorder="1" applyAlignment="1">
      <alignment/>
    </xf>
    <xf numFmtId="0" fontId="52" fillId="0" borderId="1" xfId="0" applyFont="1" applyBorder="1" applyAlignment="1">
      <alignment/>
    </xf>
    <xf numFmtId="0" fontId="52" fillId="0" borderId="64" xfId="0" applyFont="1" applyBorder="1" applyAlignment="1">
      <alignment/>
    </xf>
    <xf numFmtId="0" fontId="52" fillId="0" borderId="2" xfId="0" applyFont="1" applyBorder="1" applyAlignment="1">
      <alignment/>
    </xf>
    <xf numFmtId="0" fontId="52" fillId="0" borderId="0" xfId="0" applyFont="1" applyAlignment="1">
      <alignment/>
    </xf>
    <xf numFmtId="165" fontId="7" fillId="0" borderId="57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/>
      <protection locked="0"/>
    </xf>
    <xf numFmtId="2" fontId="49" fillId="3" borderId="4" xfId="0" applyNumberFormat="1" applyFont="1" applyFill="1" applyBorder="1" applyAlignment="1">
      <alignment horizontal="center"/>
    </xf>
    <xf numFmtId="2" fontId="49" fillId="4" borderId="4" xfId="0" applyNumberFormat="1" applyFont="1" applyFill="1" applyBorder="1" applyAlignment="1">
      <alignment horizontal="center"/>
    </xf>
    <xf numFmtId="168" fontId="54" fillId="5" borderId="4" xfId="0" applyNumberFormat="1" applyFont="1" applyFill="1" applyBorder="1" applyAlignment="1" applyProtection="1" quotePrefix="1">
      <alignment horizontal="center"/>
      <protection/>
    </xf>
    <xf numFmtId="4" fontId="54" fillId="5" borderId="4" xfId="0" applyNumberFormat="1" applyFont="1" applyFill="1" applyBorder="1" applyAlignment="1">
      <alignment horizontal="center"/>
    </xf>
    <xf numFmtId="168" fontId="54" fillId="6" borderId="4" xfId="0" applyNumberFormat="1" applyFont="1" applyFill="1" applyBorder="1" applyAlignment="1" applyProtection="1" quotePrefix="1">
      <alignment horizontal="center"/>
      <protection/>
    </xf>
    <xf numFmtId="4" fontId="54" fillId="6" borderId="4" xfId="0" applyNumberFormat="1" applyFont="1" applyFill="1" applyBorder="1" applyAlignment="1">
      <alignment horizontal="center"/>
    </xf>
    <xf numFmtId="168" fontId="54" fillId="7" borderId="4" xfId="0" applyNumberFormat="1" applyFont="1" applyFill="1" applyBorder="1" applyAlignment="1" applyProtection="1" quotePrefix="1">
      <alignment horizontal="center"/>
      <protection/>
    </xf>
    <xf numFmtId="4" fontId="49" fillId="8" borderId="4" xfId="0" applyNumberFormat="1" applyFont="1" applyFill="1" applyBorder="1" applyAlignment="1">
      <alignment horizontal="center"/>
    </xf>
    <xf numFmtId="0" fontId="7" fillId="0" borderId="65" xfId="0" applyFont="1" applyBorder="1" applyAlignment="1" applyProtection="1">
      <alignment horizontal="center"/>
      <protection locked="0"/>
    </xf>
    <xf numFmtId="2" fontId="7" fillId="0" borderId="66" xfId="0" applyNumberFormat="1" applyFont="1" applyBorder="1" applyAlignment="1" applyProtection="1">
      <alignment horizontal="center"/>
      <protection locked="0"/>
    </xf>
    <xf numFmtId="168" fontId="57" fillId="2" borderId="61" xfId="0" applyNumberFormat="1" applyFont="1" applyFill="1" applyBorder="1" applyAlignment="1" applyProtection="1">
      <alignment horizontal="center"/>
      <protection/>
    </xf>
    <xf numFmtId="22" fontId="7" fillId="0" borderId="61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/>
    </xf>
    <xf numFmtId="1" fontId="7" fillId="0" borderId="61" xfId="0" applyNumberFormat="1" applyFont="1" applyBorder="1" applyAlignment="1" applyProtection="1">
      <alignment horizontal="center"/>
      <protection/>
    </xf>
    <xf numFmtId="168" fontId="7" fillId="0" borderId="61" xfId="0" applyNumberFormat="1" applyFont="1" applyBorder="1" applyAlignment="1" applyProtection="1">
      <alignment horizontal="center"/>
      <protection locked="0"/>
    </xf>
    <xf numFmtId="168" fontId="7" fillId="0" borderId="61" xfId="0" applyNumberFormat="1" applyFont="1" applyBorder="1" applyAlignment="1" applyProtection="1" quotePrefix="1">
      <alignment horizontal="center"/>
      <protection/>
    </xf>
    <xf numFmtId="2" fontId="49" fillId="3" borderId="61" xfId="0" applyNumberFormat="1" applyFont="1" applyFill="1" applyBorder="1" applyAlignment="1" applyProtection="1">
      <alignment horizontal="center"/>
      <protection/>
    </xf>
    <xf numFmtId="2" fontId="49" fillId="4" borderId="61" xfId="0" applyNumberFormat="1" applyFont="1" applyFill="1" applyBorder="1" applyAlignment="1" applyProtection="1">
      <alignment horizontal="center"/>
      <protection/>
    </xf>
    <xf numFmtId="168" fontId="54" fillId="5" borderId="67" xfId="0" applyNumberFormat="1" applyFont="1" applyFill="1" applyBorder="1" applyAlignment="1" applyProtection="1" quotePrefix="1">
      <alignment horizontal="center"/>
      <protection/>
    </xf>
    <xf numFmtId="168" fontId="54" fillId="5" borderId="68" xfId="0" applyNumberFormat="1" applyFont="1" applyFill="1" applyBorder="1" applyAlignment="1" applyProtection="1" quotePrefix="1">
      <alignment horizontal="center"/>
      <protection/>
    </xf>
    <xf numFmtId="4" fontId="54" fillId="5" borderId="65" xfId="0" applyNumberFormat="1" applyFont="1" applyFill="1" applyBorder="1" applyAlignment="1" applyProtection="1">
      <alignment horizontal="center"/>
      <protection/>
    </xf>
    <xf numFmtId="168" fontId="54" fillId="6" borderId="67" xfId="0" applyNumberFormat="1" applyFont="1" applyFill="1" applyBorder="1" applyAlignment="1" applyProtection="1" quotePrefix="1">
      <alignment horizontal="center"/>
      <protection/>
    </xf>
    <xf numFmtId="168" fontId="54" fillId="6" borderId="68" xfId="0" applyNumberFormat="1" applyFont="1" applyFill="1" applyBorder="1" applyAlignment="1" applyProtection="1" quotePrefix="1">
      <alignment horizontal="center"/>
      <protection/>
    </xf>
    <xf numFmtId="4" fontId="54" fillId="6" borderId="65" xfId="0" applyNumberFormat="1" applyFont="1" applyFill="1" applyBorder="1" applyAlignment="1" applyProtection="1">
      <alignment horizontal="center"/>
      <protection/>
    </xf>
    <xf numFmtId="4" fontId="54" fillId="7" borderId="61" xfId="0" applyNumberFormat="1" applyFont="1" applyFill="1" applyBorder="1" applyAlignment="1" applyProtection="1">
      <alignment horizontal="center"/>
      <protection/>
    </xf>
    <xf numFmtId="4" fontId="49" fillId="8" borderId="61" xfId="0" applyNumberFormat="1" applyFont="1" applyFill="1" applyBorder="1" applyAlignment="1" applyProtection="1">
      <alignment horizontal="center"/>
      <protection/>
    </xf>
    <xf numFmtId="4" fontId="7" fillId="0" borderId="61" xfId="0" applyNumberFormat="1" applyFont="1" applyBorder="1" applyAlignment="1" applyProtection="1">
      <alignment horizontal="center"/>
      <protection/>
    </xf>
    <xf numFmtId="0" fontId="68" fillId="0" borderId="21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applyProtection="1">
      <alignment horizontal="left"/>
      <protection/>
    </xf>
    <xf numFmtId="0" fontId="68" fillId="0" borderId="21" xfId="0" applyFont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70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1" fillId="0" borderId="0" xfId="0" applyFont="1" applyBorder="1" applyAlignment="1">
      <alignment horizontal="centerContinuous"/>
    </xf>
    <xf numFmtId="0" fontId="72" fillId="0" borderId="0" xfId="0" applyFont="1" applyBorder="1" applyAlignment="1" applyProtection="1">
      <alignment horizontal="left"/>
      <protection/>
    </xf>
    <xf numFmtId="0" fontId="73" fillId="0" borderId="0" xfId="0" applyFont="1" applyBorder="1" applyAlignment="1" applyProtection="1">
      <alignment horizontal="centerContinuous"/>
      <protection/>
    </xf>
    <xf numFmtId="0" fontId="73" fillId="0" borderId="0" xfId="0" applyFont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4" fillId="0" borderId="8" xfId="0" applyFont="1" applyBorder="1" applyAlignment="1">
      <alignment/>
    </xf>
    <xf numFmtId="0" fontId="0" fillId="0" borderId="9" xfId="0" applyBorder="1" applyAlignment="1">
      <alignment/>
    </xf>
    <xf numFmtId="0" fontId="7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4" xfId="0" applyBorder="1" applyAlignment="1">
      <alignment/>
    </xf>
    <xf numFmtId="0" fontId="74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60" xfId="0" applyFont="1" applyFill="1" applyBorder="1" applyAlignment="1">
      <alignment horizontal="centerContinuous" vertical="center"/>
    </xf>
    <xf numFmtId="0" fontId="75" fillId="11" borderId="69" xfId="0" applyFont="1" applyFill="1" applyBorder="1" applyAlignment="1" applyProtection="1">
      <alignment horizontal="centerContinuous" vertical="center"/>
      <protection/>
    </xf>
    <xf numFmtId="0" fontId="75" fillId="11" borderId="69" xfId="0" applyFont="1" applyFill="1" applyBorder="1" applyAlignment="1" applyProtection="1">
      <alignment horizontal="centerContinuous" vertical="center" wrapText="1"/>
      <protection/>
    </xf>
    <xf numFmtId="168" fontId="75" fillId="11" borderId="17" xfId="0" applyNumberFormat="1" applyFont="1" applyFill="1" applyBorder="1" applyAlignment="1" applyProtection="1">
      <alignment horizontal="centerContinuous" vertical="center" wrapText="1"/>
      <protection/>
    </xf>
    <xf numFmtId="17" fontId="75" fillId="11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4" fillId="12" borderId="70" xfId="0" applyFont="1" applyFill="1" applyBorder="1" applyAlignment="1">
      <alignment/>
    </xf>
    <xf numFmtId="0" fontId="74" fillId="12" borderId="71" xfId="0" applyFont="1" applyFill="1" applyBorder="1" applyAlignment="1">
      <alignment/>
    </xf>
    <xf numFmtId="0" fontId="0" fillId="13" borderId="72" xfId="0" applyFont="1" applyFill="1" applyBorder="1" applyAlignment="1">
      <alignment/>
    </xf>
    <xf numFmtId="0" fontId="0" fillId="0" borderId="72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73" xfId="0" applyFont="1" applyFill="1" applyBorder="1" applyAlignment="1" applyProtection="1">
      <alignment horizontal="center"/>
      <protection/>
    </xf>
    <xf numFmtId="2" fontId="7" fillId="12" borderId="57" xfId="0" applyNumberFormat="1" applyFont="1" applyFill="1" applyBorder="1" applyAlignment="1" applyProtection="1">
      <alignment horizontal="center"/>
      <protection/>
    </xf>
    <xf numFmtId="1" fontId="7" fillId="13" borderId="74" xfId="0" applyNumberFormat="1" applyFont="1" applyFill="1" applyBorder="1" applyAlignment="1">
      <alignment horizontal="center"/>
    </xf>
    <xf numFmtId="0" fontId="0" fillId="0" borderId="71" xfId="0" applyBorder="1" applyAlignment="1">
      <alignment/>
    </xf>
    <xf numFmtId="0" fontId="10" fillId="14" borderId="5" xfId="0" applyFont="1" applyFill="1" applyBorder="1" applyAlignment="1">
      <alignment horizontal="center"/>
    </xf>
    <xf numFmtId="0" fontId="7" fillId="12" borderId="60" xfId="0" applyFont="1" applyFill="1" applyBorder="1" applyAlignment="1">
      <alignment horizontal="center"/>
    </xf>
    <xf numFmtId="0" fontId="7" fillId="12" borderId="67" xfId="0" applyFont="1" applyFill="1" applyBorder="1" applyAlignment="1" applyProtection="1">
      <alignment horizontal="left"/>
      <protection/>
    </xf>
    <xf numFmtId="0" fontId="7" fillId="12" borderId="67" xfId="0" applyFont="1" applyFill="1" applyBorder="1" applyAlignment="1" applyProtection="1">
      <alignment horizontal="center"/>
      <protection/>
    </xf>
    <xf numFmtId="2" fontId="7" fillId="12" borderId="61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right"/>
      <protection/>
    </xf>
    <xf numFmtId="168" fontId="5" fillId="0" borderId="61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17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17" xfId="0" applyNumberFormat="1" applyFont="1" applyFill="1" applyBorder="1" applyAlignment="1">
      <alignment horizontal="center"/>
    </xf>
    <xf numFmtId="0" fontId="7" fillId="12" borderId="7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6" fillId="0" borderId="1" xfId="0" applyFont="1" applyBorder="1" applyAlignment="1">
      <alignment/>
    </xf>
    <xf numFmtId="0" fontId="0" fillId="13" borderId="7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2" fontId="77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14" borderId="73" xfId="0" applyFont="1" applyFill="1" applyBorder="1" applyAlignment="1" applyProtection="1">
      <alignment horizontal="center"/>
      <protection/>
    </xf>
    <xf numFmtId="2" fontId="10" fillId="14" borderId="57" xfId="0" applyNumberFormat="1" applyFont="1" applyFill="1" applyBorder="1" applyAlignment="1" applyProtection="1">
      <alignment horizontal="center"/>
      <protection/>
    </xf>
    <xf numFmtId="0" fontId="10" fillId="12" borderId="5" xfId="0" applyFont="1" applyFill="1" applyBorder="1" applyAlignment="1">
      <alignment horizontal="center"/>
    </xf>
    <xf numFmtId="0" fontId="10" fillId="12" borderId="73" xfId="0" applyFont="1" applyFill="1" applyBorder="1" applyAlignment="1" applyProtection="1">
      <alignment horizontal="center"/>
      <protection/>
    </xf>
    <xf numFmtId="2" fontId="10" fillId="12" borderId="57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1000125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3</xdr:col>
      <xdr:colOff>133350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38450"/>
          <a:ext cx="2895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714375</xdr:colOff>
      <xdr:row>0</xdr:row>
      <xdr:rowOff>0</xdr:rowOff>
    </xdr:from>
    <xdr:to>
      <xdr:col>1</xdr:col>
      <xdr:colOff>400050</xdr:colOff>
      <xdr:row>1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79082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723900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  <cell r="DN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M18">
            <v>3</v>
          </cell>
          <cell r="GQ18">
            <v>1</v>
          </cell>
          <cell r="GR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R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O25">
            <v>2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L26">
            <v>1</v>
          </cell>
          <cell r="GR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T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  <cell r="GR34" t="str">
            <v>XXXX</v>
          </cell>
          <cell r="GS34" t="str">
            <v>XXXX</v>
          </cell>
          <cell r="GT34" t="str">
            <v>XXXX</v>
          </cell>
          <cell r="GU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  <cell r="GQ35" t="str">
            <v>XXXX</v>
          </cell>
          <cell r="GR35" t="str">
            <v>XXXX</v>
          </cell>
          <cell r="GS35" t="str">
            <v>XXXX</v>
          </cell>
          <cell r="GT35" t="str">
            <v>XXXX</v>
          </cell>
          <cell r="GU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GP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J38" t="str">
            <v>XXXX</v>
          </cell>
          <cell r="GK38" t="str">
            <v>XXXX</v>
          </cell>
          <cell r="GL38" t="str">
            <v>XXXX</v>
          </cell>
          <cell r="GM38">
            <v>1</v>
          </cell>
          <cell r="GP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J44" t="str">
            <v>XXXX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  <cell r="GR47" t="str">
            <v>XXXX</v>
          </cell>
          <cell r="GS47" t="str">
            <v>XXXX</v>
          </cell>
          <cell r="GT47" t="str">
            <v>XXXX</v>
          </cell>
          <cell r="GU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  <cell r="GJ48">
            <v>1</v>
          </cell>
          <cell r="GS48">
            <v>2</v>
          </cell>
          <cell r="GU48">
            <v>1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O49">
            <v>1</v>
          </cell>
          <cell r="GS49">
            <v>1</v>
          </cell>
        </row>
        <row r="50">
          <cell r="C50">
            <v>22</v>
          </cell>
          <cell r="D50" t="str">
            <v>SAN ANTONIO OESTE -VIEDMA-SAN ANTONIO ESTE</v>
          </cell>
          <cell r="E50">
            <v>132</v>
          </cell>
          <cell r="F50">
            <v>185.6</v>
          </cell>
          <cell r="GO50">
            <v>3</v>
          </cell>
          <cell r="GS50">
            <v>5</v>
          </cell>
        </row>
        <row r="51">
          <cell r="GJ51" t="str">
            <v>XXXX</v>
          </cell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  <cell r="GR51" t="str">
            <v>XXXX</v>
          </cell>
          <cell r="GS51" t="str">
            <v>XXXX</v>
          </cell>
          <cell r="GT51" t="str">
            <v>XXXX</v>
          </cell>
          <cell r="GU51" t="str">
            <v>XXXX</v>
          </cell>
        </row>
        <row r="72">
          <cell r="GJ72">
            <v>1.18</v>
          </cell>
          <cell r="GK72">
            <v>1.22</v>
          </cell>
          <cell r="GL72">
            <v>1.11</v>
          </cell>
          <cell r="GM72">
            <v>0.87</v>
          </cell>
          <cell r="GN72">
            <v>0.93</v>
          </cell>
          <cell r="GO72">
            <v>1.03</v>
          </cell>
          <cell r="GP72">
            <v>1.24</v>
          </cell>
          <cell r="GQ72">
            <v>1.27</v>
          </cell>
          <cell r="GR72">
            <v>1.2</v>
          </cell>
          <cell r="GS72">
            <v>1.2</v>
          </cell>
          <cell r="GT72">
            <v>1.44</v>
          </cell>
          <cell r="GU72">
            <v>1.37</v>
          </cell>
          <cell r="GV72">
            <v>1.27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47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3.421875" style="9" customWidth="1"/>
    <col min="2" max="2" width="5.28125" style="9" customWidth="1"/>
    <col min="3" max="3" width="9.8515625" style="9" customWidth="1"/>
    <col min="4" max="4" width="10.7109375" style="9" customWidth="1"/>
    <col min="5" max="5" width="10.57421875" style="9" customWidth="1"/>
    <col min="6" max="6" width="15.7109375" style="9" customWidth="1"/>
    <col min="7" max="7" width="24.28125" style="9" customWidth="1"/>
    <col min="8" max="8" width="11.00390625" style="9" customWidth="1"/>
    <col min="9" max="9" width="15.7109375" style="9" customWidth="1"/>
    <col min="10" max="10" width="6.28125" style="9" customWidth="1"/>
    <col min="11" max="11" width="15.7109375" style="9" customWidth="1"/>
    <col min="12" max="13" width="11.421875" style="9" customWidth="1"/>
    <col min="14" max="14" width="14.140625" style="9" customWidth="1"/>
    <col min="15" max="15" width="11.421875" style="9" customWidth="1"/>
    <col min="16" max="16" width="14.7109375" style="9" customWidth="1"/>
    <col min="17" max="17" width="11.421875" style="9" customWidth="1"/>
    <col min="18" max="18" width="12.00390625" style="9" customWidth="1"/>
    <col min="19" max="16384" width="11.421875" style="9" customWidth="1"/>
  </cols>
  <sheetData>
    <row r="1" spans="2:11" s="94" customFormat="1" ht="26.25">
      <c r="B1" s="95"/>
      <c r="K1" s="348"/>
    </row>
    <row r="2" spans="2:10" s="94" customFormat="1" ht="26.25">
      <c r="B2" s="95" t="s">
        <v>167</v>
      </c>
      <c r="C2" s="112"/>
      <c r="D2" s="96"/>
      <c r="E2" s="96"/>
      <c r="F2" s="96"/>
      <c r="G2" s="96"/>
      <c r="H2" s="96"/>
      <c r="I2" s="96"/>
      <c r="J2" s="96"/>
    </row>
    <row r="3" spans="3:19" ht="17.25" customHeight="1">
      <c r="C3"/>
      <c r="D3" s="30"/>
      <c r="E3" s="30"/>
      <c r="F3" s="30"/>
      <c r="G3" s="30"/>
      <c r="H3" s="30"/>
      <c r="I3" s="30"/>
      <c r="J3" s="30"/>
      <c r="P3" s="7"/>
      <c r="Q3" s="7"/>
      <c r="R3" s="7"/>
      <c r="S3" s="7"/>
    </row>
    <row r="4" spans="1:19" s="97" customFormat="1" ht="11.25">
      <c r="A4" s="113" t="s">
        <v>21</v>
      </c>
      <c r="B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s="97" customFormat="1" ht="11.25">
      <c r="A5" s="113" t="s">
        <v>22</v>
      </c>
      <c r="B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2:19" s="94" customFormat="1" ht="26.25">
      <c r="B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2:19" s="99" customFormat="1" ht="21">
      <c r="B7" s="152" t="s">
        <v>0</v>
      </c>
      <c r="C7" s="118"/>
      <c r="D7" s="119"/>
      <c r="E7" s="119"/>
      <c r="F7" s="120"/>
      <c r="G7" s="120"/>
      <c r="H7" s="120"/>
      <c r="I7" s="120"/>
      <c r="J7" s="120"/>
      <c r="K7" s="36"/>
      <c r="L7" s="36"/>
      <c r="M7" s="36"/>
      <c r="N7" s="36"/>
      <c r="O7" s="36"/>
      <c r="P7" s="36"/>
      <c r="Q7" s="36"/>
      <c r="R7" s="36"/>
      <c r="S7" s="36"/>
    </row>
    <row r="8" spans="9:19" ht="12.75"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99" customFormat="1" ht="21">
      <c r="B9" s="152" t="s">
        <v>1</v>
      </c>
      <c r="C9" s="118"/>
      <c r="D9" s="119"/>
      <c r="E9" s="119"/>
      <c r="F9" s="119"/>
      <c r="G9" s="119"/>
      <c r="H9" s="119"/>
      <c r="I9" s="120"/>
      <c r="J9" s="120"/>
      <c r="K9" s="36"/>
      <c r="L9" s="36"/>
      <c r="M9" s="36"/>
      <c r="N9" s="36"/>
      <c r="O9" s="36"/>
      <c r="P9" s="36"/>
      <c r="Q9" s="36"/>
      <c r="R9" s="36"/>
      <c r="S9" s="36"/>
    </row>
    <row r="10" spans="4:19" ht="12.75">
      <c r="D10" s="121"/>
      <c r="E10" s="12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s="99" customFormat="1" ht="20.25">
      <c r="B11" s="152" t="s">
        <v>166</v>
      </c>
      <c r="C11" s="72"/>
      <c r="D11" s="31"/>
      <c r="E11" s="31"/>
      <c r="F11" s="119"/>
      <c r="G11" s="119"/>
      <c r="H11" s="119"/>
      <c r="I11" s="120"/>
      <c r="J11" s="120"/>
      <c r="K11" s="36"/>
      <c r="L11" s="36"/>
      <c r="M11" s="36"/>
      <c r="N11" s="36"/>
      <c r="O11" s="36"/>
      <c r="P11" s="36"/>
      <c r="Q11" s="36"/>
      <c r="R11" s="36"/>
      <c r="S11" s="36"/>
    </row>
    <row r="12" spans="4:19" s="122" customFormat="1" ht="16.5" thickBot="1">
      <c r="D12" s="6"/>
      <c r="E12" s="6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2:19" s="122" customFormat="1" ht="16.5" thickTop="1">
      <c r="B13" s="342">
        <v>1</v>
      </c>
      <c r="C13" s="347"/>
      <c r="D13" s="124"/>
      <c r="E13" s="124"/>
      <c r="F13" s="124"/>
      <c r="G13" s="124"/>
      <c r="H13" s="124"/>
      <c r="I13" s="124"/>
      <c r="J13" s="125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2:19" s="106" customFormat="1" ht="19.5">
      <c r="B14" s="206" t="s">
        <v>136</v>
      </c>
      <c r="C14" s="126"/>
      <c r="D14" s="127"/>
      <c r="E14" s="128"/>
      <c r="F14" s="128"/>
      <c r="G14" s="128"/>
      <c r="H14" s="128"/>
      <c r="I14" s="102"/>
      <c r="J14" s="105"/>
      <c r="K14" s="38"/>
      <c r="L14" s="38"/>
      <c r="M14" s="38"/>
      <c r="N14" s="38"/>
      <c r="O14" s="38"/>
      <c r="P14" s="38"/>
      <c r="Q14" s="38"/>
      <c r="R14" s="38"/>
      <c r="S14" s="38"/>
    </row>
    <row r="15" spans="2:19" s="106" customFormat="1" ht="9" customHeight="1">
      <c r="B15" s="129"/>
      <c r="C15" s="130"/>
      <c r="D15" s="130"/>
      <c r="E15" s="38"/>
      <c r="F15" s="131"/>
      <c r="G15" s="131"/>
      <c r="H15" s="131"/>
      <c r="I15" s="38"/>
      <c r="J15" s="132"/>
      <c r="K15" s="38"/>
      <c r="L15" s="38"/>
      <c r="M15" s="38"/>
      <c r="N15" s="38"/>
      <c r="O15" s="38"/>
      <c r="P15" s="38"/>
      <c r="Q15" s="38"/>
      <c r="R15" s="38"/>
      <c r="S15" s="38"/>
    </row>
    <row r="16" spans="2:18" s="106" customFormat="1" ht="9" customHeight="1">
      <c r="B16" s="206">
        <f>IF(B13=2,"Sanciones duplicadas por tasa de falla &gt; 4 Sal. x año/100km.","")</f>
      </c>
      <c r="C16" s="209"/>
      <c r="D16" s="209"/>
      <c r="E16" s="102"/>
      <c r="F16" s="128"/>
      <c r="G16" s="128"/>
      <c r="H16" s="102"/>
      <c r="I16" s="72"/>
      <c r="J16" s="105"/>
      <c r="K16" s="38"/>
      <c r="L16" s="38"/>
      <c r="M16" s="38"/>
      <c r="N16" s="38"/>
      <c r="O16" s="38"/>
      <c r="P16" s="38"/>
      <c r="Q16" s="38"/>
      <c r="R16" s="38"/>
    </row>
    <row r="17" spans="2:18" s="106" customFormat="1" ht="9" customHeight="1">
      <c r="B17" s="129"/>
      <c r="C17" s="130"/>
      <c r="D17" s="130"/>
      <c r="E17" s="38"/>
      <c r="F17" s="131"/>
      <c r="G17" s="131"/>
      <c r="H17" s="38"/>
      <c r="I17"/>
      <c r="J17" s="132"/>
      <c r="K17" s="38"/>
      <c r="L17" s="38"/>
      <c r="M17" s="38"/>
      <c r="N17" s="38"/>
      <c r="O17" s="38"/>
      <c r="P17" s="38"/>
      <c r="Q17" s="38"/>
      <c r="R17" s="38"/>
    </row>
    <row r="18" spans="2:19" s="106" customFormat="1" ht="19.5">
      <c r="B18" s="129"/>
      <c r="C18" s="133" t="s">
        <v>23</v>
      </c>
      <c r="D18" s="134" t="s">
        <v>24</v>
      </c>
      <c r="E18" s="38"/>
      <c r="F18" s="131"/>
      <c r="G18" s="131"/>
      <c r="H18" s="131"/>
      <c r="I18" s="37"/>
      <c r="J18" s="132"/>
      <c r="K18" s="38"/>
      <c r="L18" s="38"/>
      <c r="M18" s="38"/>
      <c r="N18" s="38"/>
      <c r="O18" s="38"/>
      <c r="P18" s="38"/>
      <c r="Q18" s="38"/>
      <c r="R18" s="38"/>
      <c r="S18" s="38"/>
    </row>
    <row r="19" spans="2:19" s="106" customFormat="1" ht="19.5">
      <c r="B19" s="129"/>
      <c r="C19"/>
      <c r="D19" s="133" t="s">
        <v>25</v>
      </c>
      <c r="E19" s="134" t="s">
        <v>26</v>
      </c>
      <c r="F19" s="131"/>
      <c r="G19" s="131"/>
      <c r="H19" s="131"/>
      <c r="I19" s="37">
        <f>'LI-04 (1)'!AA33</f>
        <v>23515.01</v>
      </c>
      <c r="J19" s="132"/>
      <c r="K19" s="38"/>
      <c r="L19" s="38"/>
      <c r="M19" s="38"/>
      <c r="N19" s="38"/>
      <c r="O19" s="38"/>
      <c r="P19" s="38"/>
      <c r="Q19" s="38"/>
      <c r="R19" s="38"/>
      <c r="S19" s="38"/>
    </row>
    <row r="20" spans="2:19" s="106" customFormat="1" ht="19.5">
      <c r="B20" s="129"/>
      <c r="C20" s="133"/>
      <c r="D20" s="133" t="s">
        <v>27</v>
      </c>
      <c r="E20" s="134" t="s">
        <v>29</v>
      </c>
      <c r="F20" s="131"/>
      <c r="G20" s="131"/>
      <c r="H20" s="131"/>
      <c r="I20" s="37">
        <f>'LI-SPSE-04 (1)'!AA43</f>
        <v>9284.54</v>
      </c>
      <c r="J20" s="132"/>
      <c r="K20" s="38"/>
      <c r="L20" s="38"/>
      <c r="M20" s="38"/>
      <c r="N20" s="38"/>
      <c r="O20" s="38"/>
      <c r="P20" s="38"/>
      <c r="Q20" s="38"/>
      <c r="R20" s="38"/>
      <c r="S20" s="38"/>
    </row>
    <row r="21" spans="2:19" ht="13.5">
      <c r="B21" s="35"/>
      <c r="C21" s="135"/>
      <c r="D21" s="136"/>
      <c r="E21" s="7"/>
      <c r="F21" s="137"/>
      <c r="G21" s="137"/>
      <c r="H21" s="137"/>
      <c r="I21" s="138"/>
      <c r="J21" s="10"/>
      <c r="K21" s="7"/>
      <c r="L21" s="7"/>
      <c r="M21" s="7"/>
      <c r="N21" s="7"/>
      <c r="O21" s="7"/>
      <c r="P21" s="7"/>
      <c r="Q21" s="7"/>
      <c r="R21" s="7"/>
      <c r="S21" s="7"/>
    </row>
    <row r="22" spans="2:19" s="106" customFormat="1" ht="19.5">
      <c r="B22" s="129"/>
      <c r="C22" s="133" t="s">
        <v>30</v>
      </c>
      <c r="D22" s="134" t="s">
        <v>31</v>
      </c>
      <c r="E22" s="38"/>
      <c r="F22" s="131"/>
      <c r="G22" s="131"/>
      <c r="H22" s="131"/>
      <c r="I22" s="37"/>
      <c r="J22" s="132"/>
      <c r="K22" s="38"/>
      <c r="L22" s="38"/>
      <c r="M22" s="38"/>
      <c r="N22" s="38"/>
      <c r="O22" s="38"/>
      <c r="P22" s="38"/>
      <c r="Q22" s="38"/>
      <c r="R22" s="38"/>
      <c r="S22" s="38"/>
    </row>
    <row r="23" spans="2:19" ht="8.25" customHeight="1">
      <c r="B23" s="35"/>
      <c r="C23" s="135"/>
      <c r="D23" s="135"/>
      <c r="E23" s="7"/>
      <c r="F23" s="137"/>
      <c r="G23" s="137"/>
      <c r="H23" s="137"/>
      <c r="I23" s="139"/>
      <c r="J23" s="10"/>
      <c r="K23" s="7"/>
      <c r="L23" s="7"/>
      <c r="M23" s="7"/>
      <c r="N23" s="7"/>
      <c r="O23" s="7"/>
      <c r="P23" s="7"/>
      <c r="Q23" s="7"/>
      <c r="R23" s="7"/>
      <c r="S23" s="7"/>
    </row>
    <row r="24" spans="2:19" s="106" customFormat="1" ht="19.5">
      <c r="B24" s="129"/>
      <c r="C24" s="133"/>
      <c r="D24" s="133" t="s">
        <v>32</v>
      </c>
      <c r="E24" s="8" t="s">
        <v>33</v>
      </c>
      <c r="F24" s="131"/>
      <c r="G24" s="131"/>
      <c r="H24" s="131"/>
      <c r="I24" s="37"/>
      <c r="J24" s="132"/>
      <c r="K24" s="38"/>
      <c r="L24" s="38"/>
      <c r="M24" s="38"/>
      <c r="N24" s="38"/>
      <c r="O24" s="38"/>
      <c r="P24" s="38"/>
      <c r="Q24" s="38"/>
      <c r="R24" s="38"/>
      <c r="S24" s="38"/>
    </row>
    <row r="25" spans="2:19" s="106" customFormat="1" ht="19.5">
      <c r="B25" s="129"/>
      <c r="C25" s="133"/>
      <c r="D25" s="133"/>
      <c r="E25" s="133" t="s">
        <v>34</v>
      </c>
      <c r="F25" s="134" t="s">
        <v>26</v>
      </c>
      <c r="G25" s="131"/>
      <c r="H25" s="131"/>
      <c r="I25" s="37">
        <f>'TR-04 (1)'!AC34</f>
        <v>20.31</v>
      </c>
      <c r="J25" s="132"/>
      <c r="K25" s="38"/>
      <c r="L25" s="38"/>
      <c r="M25" s="38"/>
      <c r="N25" s="38"/>
      <c r="O25" s="38"/>
      <c r="P25" s="38"/>
      <c r="Q25" s="38"/>
      <c r="R25" s="38"/>
      <c r="S25" s="38"/>
    </row>
    <row r="26" spans="2:19" s="106" customFormat="1" ht="19.5">
      <c r="B26" s="129"/>
      <c r="C26" s="133"/>
      <c r="D26" s="133"/>
      <c r="E26" s="133" t="s">
        <v>35</v>
      </c>
      <c r="F26" s="134" t="s">
        <v>28</v>
      </c>
      <c r="G26" s="131"/>
      <c r="H26" s="131"/>
      <c r="I26" s="37">
        <f>'TR-EDERSA-04 (1)'!AC34</f>
        <v>6.51</v>
      </c>
      <c r="J26" s="132"/>
      <c r="K26" s="38"/>
      <c r="L26" s="38"/>
      <c r="M26" s="38"/>
      <c r="N26" s="38"/>
      <c r="O26" s="38"/>
      <c r="P26" s="38"/>
      <c r="Q26" s="38"/>
      <c r="R26" s="38"/>
      <c r="S26" s="38"/>
    </row>
    <row r="27" spans="2:19" ht="13.5">
      <c r="B27" s="35"/>
      <c r="C27" s="135"/>
      <c r="D27" s="135"/>
      <c r="E27" s="7"/>
      <c r="F27" s="137"/>
      <c r="G27" s="137"/>
      <c r="H27" s="137"/>
      <c r="I27" s="139"/>
      <c r="J27" s="10"/>
      <c r="K27" s="7"/>
      <c r="L27" s="7"/>
      <c r="M27" s="7"/>
      <c r="N27" s="7"/>
      <c r="O27" s="7"/>
      <c r="P27" s="7"/>
      <c r="Q27" s="7"/>
      <c r="R27" s="7"/>
      <c r="S27" s="7"/>
    </row>
    <row r="28" spans="2:19" s="106" customFormat="1" ht="19.5">
      <c r="B28" s="129"/>
      <c r="C28" s="133"/>
      <c r="D28" s="134"/>
      <c r="E28" s="38"/>
      <c r="F28" s="131"/>
      <c r="G28" s="131"/>
      <c r="H28" s="131"/>
      <c r="I28" s="37"/>
      <c r="J28" s="132"/>
      <c r="K28" s="38"/>
      <c r="L28" s="38"/>
      <c r="M28" s="38"/>
      <c r="N28" s="38"/>
      <c r="O28" s="38"/>
      <c r="P28" s="38"/>
      <c r="Q28" s="38"/>
      <c r="R28" s="38"/>
      <c r="S28" s="38"/>
    </row>
    <row r="29" spans="2:19" s="106" customFormat="1" ht="19.5">
      <c r="B29" s="129"/>
      <c r="C29" s="133" t="s">
        <v>36</v>
      </c>
      <c r="D29" s="8" t="s">
        <v>37</v>
      </c>
      <c r="E29" s="131"/>
      <c r="F29"/>
      <c r="G29" s="131"/>
      <c r="H29" s="131"/>
      <c r="I29" s="37"/>
      <c r="J29" s="132"/>
      <c r="K29" s="38"/>
      <c r="L29" s="38"/>
      <c r="M29" s="38"/>
      <c r="N29" s="38"/>
      <c r="O29" s="38"/>
      <c r="P29" s="38"/>
      <c r="Q29" s="38"/>
      <c r="R29" s="38"/>
      <c r="S29" s="38"/>
    </row>
    <row r="30" spans="2:19" s="106" customFormat="1" ht="19.5">
      <c r="B30" s="129"/>
      <c r="C30" s="133"/>
      <c r="D30" s="133" t="s">
        <v>38</v>
      </c>
      <c r="E30" s="134" t="s">
        <v>28</v>
      </c>
      <c r="F30"/>
      <c r="G30" s="131"/>
      <c r="H30" s="131"/>
      <c r="I30" s="37">
        <f>'SUP-EDERSA'!I57</f>
        <v>1.6275</v>
      </c>
      <c r="J30" s="132"/>
      <c r="K30" s="38"/>
      <c r="L30" s="38"/>
      <c r="M30" s="38"/>
      <c r="N30" s="38"/>
      <c r="O30" s="38"/>
      <c r="P30" s="38"/>
      <c r="Q30" s="38"/>
      <c r="R30" s="38"/>
      <c r="S30" s="38"/>
    </row>
    <row r="31" spans="2:19" s="106" customFormat="1" ht="19.5">
      <c r="B31" s="129"/>
      <c r="C31" s="133"/>
      <c r="D31" s="133" t="s">
        <v>39</v>
      </c>
      <c r="E31" s="134" t="s">
        <v>29</v>
      </c>
      <c r="F31"/>
      <c r="G31" s="131"/>
      <c r="H31" s="131"/>
      <c r="I31" s="37">
        <f>'SUP-SPSE'!I52</f>
        <v>2321.135</v>
      </c>
      <c r="J31" s="132"/>
      <c r="K31" s="38"/>
      <c r="L31" s="38"/>
      <c r="M31" s="38"/>
      <c r="N31" s="38"/>
      <c r="O31" s="38"/>
      <c r="P31" s="38"/>
      <c r="Q31" s="38"/>
      <c r="R31" s="38"/>
      <c r="S31" s="38"/>
    </row>
    <row r="32" spans="2:19" s="106" customFormat="1" ht="20.25" thickBot="1">
      <c r="B32" s="129"/>
      <c r="C32" s="130"/>
      <c r="D32" s="130"/>
      <c r="E32" s="38"/>
      <c r="F32" s="131"/>
      <c r="G32" s="131"/>
      <c r="H32" s="131"/>
      <c r="I32" s="38"/>
      <c r="J32" s="132"/>
      <c r="K32" s="38"/>
      <c r="L32" s="38"/>
      <c r="M32" s="38"/>
      <c r="N32" s="38"/>
      <c r="O32" s="38"/>
      <c r="P32" s="38"/>
      <c r="Q32" s="38"/>
      <c r="R32" s="38"/>
      <c r="S32" s="38"/>
    </row>
    <row r="33" spans="2:19" s="106" customFormat="1" ht="20.25" thickBot="1" thickTop="1">
      <c r="B33" s="129"/>
      <c r="C33" s="133"/>
      <c r="D33" s="133"/>
      <c r="F33" s="140" t="s">
        <v>40</v>
      </c>
      <c r="G33" s="141">
        <f>SUM(I19:I31)</f>
        <v>35149.13250000001</v>
      </c>
      <c r="H33" s="208"/>
      <c r="J33" s="132"/>
      <c r="K33" s="38"/>
      <c r="L33" s="38"/>
      <c r="M33" s="38"/>
      <c r="N33" s="38"/>
      <c r="O33" s="38"/>
      <c r="P33" s="38"/>
      <c r="Q33" s="38"/>
      <c r="R33" s="38"/>
      <c r="S33" s="38"/>
    </row>
    <row r="34" spans="2:19" s="106" customFormat="1" ht="8.25" customHeight="1" thickTop="1">
      <c r="B34" s="129"/>
      <c r="C34" s="133"/>
      <c r="D34" s="133"/>
      <c r="F34" s="583"/>
      <c r="G34" s="208"/>
      <c r="H34" s="208"/>
      <c r="J34" s="132"/>
      <c r="K34" s="38"/>
      <c r="L34" s="38"/>
      <c r="M34" s="38"/>
      <c r="N34" s="38"/>
      <c r="O34" s="38"/>
      <c r="P34" s="38"/>
      <c r="Q34" s="38"/>
      <c r="R34" s="38"/>
      <c r="S34" s="38"/>
    </row>
    <row r="35" spans="2:19" s="106" customFormat="1" ht="18.75">
      <c r="B35" s="129"/>
      <c r="C35" s="584" t="s">
        <v>165</v>
      </c>
      <c r="D35" s="133"/>
      <c r="F35" s="583"/>
      <c r="G35" s="208"/>
      <c r="H35" s="208"/>
      <c r="J35" s="132"/>
      <c r="K35" s="38"/>
      <c r="L35" s="38"/>
      <c r="M35" s="38"/>
      <c r="N35" s="38"/>
      <c r="O35" s="38"/>
      <c r="P35" s="38"/>
      <c r="Q35" s="38"/>
      <c r="R35" s="38"/>
      <c r="S35" s="38"/>
    </row>
    <row r="36" spans="2:19" s="122" customFormat="1" ht="6.75" customHeight="1" thickBot="1">
      <c r="B36" s="142"/>
      <c r="C36" s="143"/>
      <c r="D36" s="143"/>
      <c r="E36" s="144"/>
      <c r="F36" s="144"/>
      <c r="G36" s="144"/>
      <c r="H36" s="144"/>
      <c r="I36" s="144"/>
      <c r="J36" s="145"/>
      <c r="K36" s="123"/>
      <c r="L36" s="123"/>
      <c r="M36" s="71"/>
      <c r="N36" s="146"/>
      <c r="O36" s="146"/>
      <c r="P36" s="147"/>
      <c r="Q36" s="148"/>
      <c r="R36" s="123"/>
      <c r="S36" s="123"/>
    </row>
    <row r="37" spans="4:19" ht="13.5" thickTop="1">
      <c r="D37" s="7"/>
      <c r="F37" s="7"/>
      <c r="G37" s="7"/>
      <c r="H37" s="7"/>
      <c r="I37" s="7"/>
      <c r="J37" s="7"/>
      <c r="K37" s="7"/>
      <c r="L37" s="7"/>
      <c r="M37" s="25"/>
      <c r="N37" s="149"/>
      <c r="O37" s="149"/>
      <c r="P37" s="7"/>
      <c r="Q37" s="27"/>
      <c r="R37" s="7"/>
      <c r="S37" s="7"/>
    </row>
    <row r="38" spans="4:19" ht="12.75">
      <c r="D38" s="7"/>
      <c r="F38" s="7"/>
      <c r="G38" s="7"/>
      <c r="H38" s="7"/>
      <c r="I38" s="7"/>
      <c r="J38" s="7"/>
      <c r="K38" s="7"/>
      <c r="L38" s="7"/>
      <c r="M38" s="7"/>
      <c r="N38" s="150"/>
      <c r="O38" s="150"/>
      <c r="P38" s="151"/>
      <c r="Q38" s="27"/>
      <c r="R38" s="7"/>
      <c r="S38" s="7"/>
    </row>
    <row r="39" spans="4:19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150"/>
      <c r="O39" s="150"/>
      <c r="P39" s="151"/>
      <c r="Q39" s="27"/>
      <c r="R39" s="7"/>
      <c r="S39" s="7"/>
    </row>
    <row r="40" spans="4:19" ht="12.75">
      <c r="D40" s="7"/>
      <c r="E40" s="7"/>
      <c r="L40" s="7"/>
      <c r="M40" s="7"/>
      <c r="N40" s="7"/>
      <c r="O40" s="7"/>
      <c r="P40" s="7"/>
      <c r="Q40" s="7"/>
      <c r="R40" s="7"/>
      <c r="S40" s="7"/>
    </row>
    <row r="41" spans="4:19" ht="12.75">
      <c r="D41" s="7"/>
      <c r="E41" s="7"/>
      <c r="P41" s="7"/>
      <c r="Q41" s="7"/>
      <c r="R41" s="7"/>
      <c r="S41" s="7"/>
    </row>
    <row r="42" spans="4:19" ht="12.75">
      <c r="D42" s="7"/>
      <c r="E42" s="7"/>
      <c r="P42" s="7"/>
      <c r="Q42" s="7"/>
      <c r="R42" s="7"/>
      <c r="S42" s="7"/>
    </row>
    <row r="43" spans="4:19" ht="12.75">
      <c r="D43" s="7"/>
      <c r="E43" s="7"/>
      <c r="P43" s="7"/>
      <c r="Q43" s="7"/>
      <c r="R43" s="7"/>
      <c r="S43" s="7"/>
    </row>
    <row r="44" spans="4:19" ht="12.75">
      <c r="D44" s="7"/>
      <c r="E44" s="7"/>
      <c r="P44" s="7"/>
      <c r="Q44" s="7"/>
      <c r="R44" s="7"/>
      <c r="S44" s="7"/>
    </row>
    <row r="45" spans="4:19" ht="12.75">
      <c r="D45" s="7"/>
      <c r="E45" s="7"/>
      <c r="P45" s="7"/>
      <c r="Q45" s="7"/>
      <c r="R45" s="7"/>
      <c r="S45" s="7"/>
    </row>
    <row r="46" spans="16:19" ht="12.75">
      <c r="P46" s="7"/>
      <c r="Q46" s="7"/>
      <c r="R46" s="7"/>
      <c r="S46" s="7"/>
    </row>
    <row r="47" spans="16:19" ht="12.75">
      <c r="P47" s="7"/>
      <c r="Q47" s="7"/>
      <c r="R47" s="7"/>
      <c r="S47" s="7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7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81"/>
  <sheetViews>
    <sheetView zoomScale="70" zoomScaleNormal="70" workbookViewId="0" topLeftCell="A1">
      <selection activeCell="A43" sqref="A43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8.57421875" style="0" hidden="1" customWidth="1"/>
    <col min="10" max="11" width="15.7109375" style="0" customWidth="1"/>
    <col min="12" max="14" width="9.7109375" style="0" customWidth="1"/>
    <col min="16" max="17" width="12.140625" style="0" hidden="1" customWidth="1"/>
    <col min="18" max="18" width="11.421875" style="0" hidden="1" customWidth="1"/>
    <col min="19" max="19" width="10.140625" style="0" hidden="1" customWidth="1"/>
    <col min="20" max="20" width="6.00390625" style="0" hidden="1" customWidth="1"/>
    <col min="21" max="22" width="6.8515625" style="0" hidden="1" customWidth="1"/>
    <col min="23" max="23" width="6.00390625" style="0" hidden="1" customWidth="1"/>
    <col min="24" max="25" width="11.7109375" style="0" hidden="1" customWidth="1"/>
    <col min="26" max="26" width="14.140625" style="0" customWidth="1"/>
    <col min="27" max="27" width="13.421875" style="0" customWidth="1"/>
    <col min="28" max="28" width="4.28125" style="0" customWidth="1"/>
  </cols>
  <sheetData>
    <row r="1" s="94" customFormat="1" ht="26.25">
      <c r="AB1" s="348"/>
    </row>
    <row r="2" spans="2:28" s="94" customFormat="1" ht="26.25">
      <c r="B2" s="95" t="str">
        <f>+'TOT-0411'!B2</f>
        <v>ANEXO IV al Memorandum D.T.E.E.  N° 482 /2012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="9" customFormat="1" ht="12.75"/>
    <row r="4" spans="1:3" s="97" customFormat="1" ht="11.25">
      <c r="A4" s="613" t="s">
        <v>21</v>
      </c>
      <c r="C4" s="612"/>
    </row>
    <row r="5" spans="1:3" s="97" customFormat="1" ht="11.25">
      <c r="A5" s="613" t="s">
        <v>132</v>
      </c>
      <c r="C5" s="612"/>
    </row>
    <row r="6" s="9" customFormat="1" ht="13.5" thickBot="1"/>
    <row r="7" spans="1:28" s="9" customFormat="1" ht="13.5" thickTop="1">
      <c r="A7" s="7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</row>
    <row r="8" spans="1:28" s="99" customFormat="1" ht="20.25">
      <c r="A8" s="36"/>
      <c r="B8" s="98"/>
      <c r="C8" s="36"/>
      <c r="D8" s="36"/>
      <c r="E8" s="36"/>
      <c r="F8" s="19" t="s">
        <v>41</v>
      </c>
      <c r="G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100"/>
    </row>
    <row r="9" spans="1:28" s="9" customFormat="1" ht="12.75">
      <c r="A9" s="7"/>
      <c r="B9" s="35"/>
      <c r="C9" s="7"/>
      <c r="D9" s="7"/>
      <c r="E9" s="7"/>
      <c r="F9" s="111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99" customFormat="1" ht="20.25">
      <c r="A10" s="36"/>
      <c r="B10" s="98"/>
      <c r="C10" s="36"/>
      <c r="D10" s="36"/>
      <c r="E10" s="36"/>
      <c r="F10" s="19" t="s">
        <v>42</v>
      </c>
      <c r="G10" s="19"/>
      <c r="H10" s="36"/>
      <c r="I10" s="101"/>
      <c r="J10" s="101"/>
      <c r="K10" s="101"/>
      <c r="L10" s="101"/>
      <c r="M10" s="101"/>
      <c r="N10" s="101"/>
      <c r="O10" s="101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00"/>
    </row>
    <row r="11" spans="1:28" s="9" customFormat="1" ht="12.75">
      <c r="A11" s="7"/>
      <c r="B11" s="35"/>
      <c r="C11" s="7"/>
      <c r="D11" s="7"/>
      <c r="E11" s="7"/>
      <c r="F11" s="110"/>
      <c r="G11" s="108"/>
      <c r="H11" s="7"/>
      <c r="I11" s="107"/>
      <c r="J11" s="107"/>
      <c r="K11" s="107"/>
      <c r="L11" s="107"/>
      <c r="M11" s="107"/>
      <c r="N11" s="107"/>
      <c r="O11" s="10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99" customFormat="1" ht="20.25">
      <c r="A12" s="36"/>
      <c r="B12" s="98"/>
      <c r="C12" s="36"/>
      <c r="D12" s="36"/>
      <c r="E12" s="36"/>
      <c r="F12" s="19" t="s">
        <v>43</v>
      </c>
      <c r="G12" s="19"/>
      <c r="H12" s="36"/>
      <c r="I12" s="101"/>
      <c r="J12" s="101"/>
      <c r="K12" s="101"/>
      <c r="L12" s="101"/>
      <c r="M12" s="101"/>
      <c r="N12" s="101"/>
      <c r="O12" s="10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100"/>
    </row>
    <row r="13" spans="1:28" s="9" customFormat="1" ht="12.75">
      <c r="A13" s="7"/>
      <c r="B13" s="35"/>
      <c r="C13" s="7"/>
      <c r="D13" s="7"/>
      <c r="E13" s="7"/>
      <c r="F13" s="110"/>
      <c r="G13" s="108"/>
      <c r="H13" s="7"/>
      <c r="I13" s="107"/>
      <c r="J13" s="107"/>
      <c r="K13" s="107"/>
      <c r="L13" s="107"/>
      <c r="M13" s="107"/>
      <c r="N13" s="107"/>
      <c r="O13" s="10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/>
    </row>
    <row r="14" spans="1:28" s="106" customFormat="1" ht="19.5">
      <c r="A14" s="38"/>
      <c r="B14" s="73" t="str">
        <f>+'TOT-0411'!B14</f>
        <v>Desde el 01 al 30 de abril de 2011</v>
      </c>
      <c r="C14" s="102"/>
      <c r="D14" s="102"/>
      <c r="E14" s="102"/>
      <c r="F14" s="102"/>
      <c r="G14" s="103"/>
      <c r="H14" s="103"/>
      <c r="I14" s="104"/>
      <c r="J14" s="104"/>
      <c r="K14" s="104"/>
      <c r="L14" s="104"/>
      <c r="M14" s="104"/>
      <c r="N14" s="104"/>
      <c r="O14" s="104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5"/>
    </row>
    <row r="15" spans="1:28" s="9" customFormat="1" ht="13.5" thickBot="1">
      <c r="A15" s="7"/>
      <c r="B15" s="35"/>
      <c r="C15" s="7"/>
      <c r="D15" s="7"/>
      <c r="E15" s="7"/>
      <c r="F15" s="7"/>
      <c r="G15" s="108"/>
      <c r="H15" s="109"/>
      <c r="I15" s="107"/>
      <c r="J15" s="107"/>
      <c r="K15" s="107"/>
      <c r="L15" s="107"/>
      <c r="M15" s="107"/>
      <c r="N15" s="107"/>
      <c r="O15" s="10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0"/>
    </row>
    <row r="16" spans="1:28" s="80" customFormat="1" ht="16.5" customHeight="1" thickBot="1" thickTop="1">
      <c r="A16" s="77"/>
      <c r="B16" s="78"/>
      <c r="C16" s="77"/>
      <c r="D16" s="77"/>
      <c r="E16" s="77"/>
      <c r="F16" s="442" t="s">
        <v>44</v>
      </c>
      <c r="G16" s="443">
        <v>72.965</v>
      </c>
      <c r="H16" s="444"/>
      <c r="I16" s="81"/>
      <c r="J16" s="81"/>
      <c r="K16" s="81"/>
      <c r="L16" s="81"/>
      <c r="M16" s="81"/>
      <c r="N16" s="81"/>
      <c r="O16" s="81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9"/>
    </row>
    <row r="17" spans="1:28" s="80" customFormat="1" ht="16.5" customHeight="1" thickBot="1" thickTop="1">
      <c r="A17" s="77"/>
      <c r="B17" s="78"/>
      <c r="C17" s="77"/>
      <c r="D17" s="77"/>
      <c r="E17" s="77"/>
      <c r="F17" s="442" t="s">
        <v>45</v>
      </c>
      <c r="G17" s="443">
        <v>69.722</v>
      </c>
      <c r="H17" s="445"/>
      <c r="I17" s="77"/>
      <c r="K17" s="82" t="s">
        <v>46</v>
      </c>
      <c r="L17" s="83">
        <f>30*'TOT-0411'!B13</f>
        <v>30</v>
      </c>
      <c r="M17" s="207" t="str">
        <f>IF(L17=30," ",IF(L17=60,"Coeficiente duplicado por tasa de falla &gt;4 Sal. x año/100 km.","REVISAR COEFICIENTE"))</f>
        <v> 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9"/>
    </row>
    <row r="18" spans="1:28" s="635" customFormat="1" ht="14.25" thickBot="1" thickTop="1">
      <c r="A18" s="631"/>
      <c r="B18" s="632"/>
      <c r="C18" s="633">
        <v>3</v>
      </c>
      <c r="D18" s="633">
        <v>4</v>
      </c>
      <c r="E18" s="633">
        <v>5</v>
      </c>
      <c r="F18" s="633">
        <v>6</v>
      </c>
      <c r="G18" s="633">
        <v>7</v>
      </c>
      <c r="H18" s="633">
        <v>8</v>
      </c>
      <c r="I18" s="633">
        <v>9</v>
      </c>
      <c r="J18" s="633">
        <v>10</v>
      </c>
      <c r="K18" s="633">
        <v>11</v>
      </c>
      <c r="L18" s="633">
        <v>12</v>
      </c>
      <c r="M18" s="633">
        <v>13</v>
      </c>
      <c r="N18" s="633">
        <v>14</v>
      </c>
      <c r="O18" s="633">
        <v>15</v>
      </c>
      <c r="P18" s="633">
        <v>16</v>
      </c>
      <c r="Q18" s="633">
        <v>17</v>
      </c>
      <c r="R18" s="633">
        <v>18</v>
      </c>
      <c r="S18" s="633">
        <v>19</v>
      </c>
      <c r="T18" s="633">
        <v>20</v>
      </c>
      <c r="U18" s="633">
        <v>21</v>
      </c>
      <c r="V18" s="633">
        <v>22</v>
      </c>
      <c r="W18" s="633">
        <v>23</v>
      </c>
      <c r="X18" s="633">
        <v>24</v>
      </c>
      <c r="Y18" s="633">
        <v>25</v>
      </c>
      <c r="Z18" s="633">
        <v>26</v>
      </c>
      <c r="AA18" s="633">
        <v>27</v>
      </c>
      <c r="AB18" s="634"/>
    </row>
    <row r="19" spans="1:28" s="93" customFormat="1" ht="33.75" customHeight="1" thickBot="1" thickTop="1">
      <c r="A19" s="84"/>
      <c r="B19" s="85"/>
      <c r="C19" s="86" t="s">
        <v>47</v>
      </c>
      <c r="D19" s="86" t="s">
        <v>131</v>
      </c>
      <c r="E19" s="86" t="s">
        <v>130</v>
      </c>
      <c r="F19" s="87" t="s">
        <v>24</v>
      </c>
      <c r="G19" s="88" t="s">
        <v>48</v>
      </c>
      <c r="H19" s="89" t="s">
        <v>49</v>
      </c>
      <c r="I19" s="235" t="s">
        <v>50</v>
      </c>
      <c r="J19" s="87" t="s">
        <v>51</v>
      </c>
      <c r="K19" s="87" t="s">
        <v>52</v>
      </c>
      <c r="L19" s="88" t="s">
        <v>53</v>
      </c>
      <c r="M19" s="88" t="s">
        <v>54</v>
      </c>
      <c r="N19" s="90" t="s">
        <v>55</v>
      </c>
      <c r="O19" s="88" t="s">
        <v>56</v>
      </c>
      <c r="P19" s="261" t="s">
        <v>57</v>
      </c>
      <c r="Q19" s="264" t="s">
        <v>58</v>
      </c>
      <c r="R19" s="267" t="s">
        <v>59</v>
      </c>
      <c r="S19" s="268"/>
      <c r="T19" s="269"/>
      <c r="U19" s="278" t="s">
        <v>60</v>
      </c>
      <c r="V19" s="279"/>
      <c r="W19" s="280"/>
      <c r="X19" s="287" t="s">
        <v>61</v>
      </c>
      <c r="Y19" s="290" t="s">
        <v>62</v>
      </c>
      <c r="Z19" s="91" t="s">
        <v>63</v>
      </c>
      <c r="AA19" s="91" t="s">
        <v>64</v>
      </c>
      <c r="AB19" s="92"/>
    </row>
    <row r="20" spans="1:28" ht="16.5" customHeight="1" thickTop="1">
      <c r="A20" s="1"/>
      <c r="B20" s="2"/>
      <c r="C20" s="468"/>
      <c r="D20" s="610"/>
      <c r="E20" s="610"/>
      <c r="F20" s="468"/>
      <c r="G20" s="469"/>
      <c r="H20" s="469"/>
      <c r="I20" s="343"/>
      <c r="J20" s="468"/>
      <c r="K20" s="470"/>
      <c r="L20" s="76"/>
      <c r="M20" s="76"/>
      <c r="N20" s="471"/>
      <c r="O20" s="468"/>
      <c r="P20" s="472"/>
      <c r="Q20" s="473"/>
      <c r="R20" s="474"/>
      <c r="S20" s="475"/>
      <c r="T20" s="476"/>
      <c r="U20" s="477"/>
      <c r="V20" s="478"/>
      <c r="W20" s="479"/>
      <c r="X20" s="480"/>
      <c r="Y20" s="481"/>
      <c r="Z20" s="482"/>
      <c r="AA20" s="76"/>
      <c r="AB20" s="3"/>
    </row>
    <row r="21" spans="1:28" ht="16.5" customHeight="1">
      <c r="A21" s="1"/>
      <c r="B21" s="2"/>
      <c r="C21" s="446">
        <v>1</v>
      </c>
      <c r="D21" s="446">
        <v>233252</v>
      </c>
      <c r="E21" s="446">
        <v>1637</v>
      </c>
      <c r="F21" s="447" t="s">
        <v>137</v>
      </c>
      <c r="G21" s="448">
        <v>330</v>
      </c>
      <c r="H21" s="449">
        <v>550</v>
      </c>
      <c r="I21" s="344">
        <f>IF(H21&gt;25,H21,25)*IF(G21=330,$G$16,$G$17)/100</f>
        <v>401.3075</v>
      </c>
      <c r="J21" s="454">
        <v>40637.35486111111</v>
      </c>
      <c r="K21" s="454">
        <v>40637.68680555555</v>
      </c>
      <c r="L21" s="11">
        <f>IF(F21="","",(K21-J21)*24)</f>
        <v>7.96666666661622</v>
      </c>
      <c r="M21" s="12">
        <f>IF(F21="","",ROUND((K21-J21)*24*60,0))</f>
        <v>478</v>
      </c>
      <c r="N21" s="455" t="s">
        <v>138</v>
      </c>
      <c r="O21" s="630" t="s">
        <v>140</v>
      </c>
      <c r="P21" s="616">
        <f>IF(N21="P",ROUND(M21/60,2)*I21*$L$17*0.01,"--")</f>
        <v>959.5262325000001</v>
      </c>
      <c r="Q21" s="617" t="str">
        <f>IF(N21="RP",ROUND(M21/60,2)*I21*$L$17*0.01*O21/100,"--")</f>
        <v>--</v>
      </c>
      <c r="R21" s="618" t="str">
        <f>IF(N21="F",I21*$L$17,"--")</f>
        <v>--</v>
      </c>
      <c r="S21" s="619" t="str">
        <f>IF(AND(M21&gt;10,N21="F"),I21*$L$17*IF(M21&gt;180,3,ROUND(M21/60,2)),"--")</f>
        <v>--</v>
      </c>
      <c r="T21" s="620" t="str">
        <f>IF(AND(M21&gt;180,N21="F"),(ROUND(M21/60,2)-3)*I21*$L$17*0.1,"--")</f>
        <v>--</v>
      </c>
      <c r="U21" s="621" t="str">
        <f>IF(N21="R",I21*$L$17*O21/100,"--")</f>
        <v>--</v>
      </c>
      <c r="V21" s="622" t="str">
        <f>IF(AND(M21&gt;10,N21="R"),I21*$L$17*O21/100*IF(M21&gt;180,3,ROUND(M21/60,2)),"--")</f>
        <v>--</v>
      </c>
      <c r="W21" s="623" t="str">
        <f>IF(AND(M21&gt;180,N21="R"),(ROUND(M21/60,2)-3)*O21/100*I21*$L$17*0.1,"--")</f>
        <v>--</v>
      </c>
      <c r="X21" s="624" t="str">
        <f>IF(N21="RF",ROUND(M21/60,2)*I21*$L$17*0.1,"--")</f>
        <v>--</v>
      </c>
      <c r="Y21" s="625" t="str">
        <f>IF(N21="RR",ROUND(M21/60,2)*O21/100*I21*$L$17*0.1,"--")</f>
        <v>--</v>
      </c>
      <c r="Z21" s="626" t="s">
        <v>139</v>
      </c>
      <c r="AA21" s="46">
        <f>IF(F21="","",SUM(P21:Y21)*IF(Z21="SI",1,2))</f>
        <v>959.5262325000001</v>
      </c>
      <c r="AB21" s="3"/>
    </row>
    <row r="22" spans="1:28" ht="16.5" customHeight="1">
      <c r="A22" s="1"/>
      <c r="B22" s="2"/>
      <c r="C22" s="446">
        <v>2</v>
      </c>
      <c r="D22" s="446">
        <v>233252</v>
      </c>
      <c r="E22" s="446">
        <v>1637</v>
      </c>
      <c r="F22" s="447" t="s">
        <v>141</v>
      </c>
      <c r="G22" s="448">
        <v>330</v>
      </c>
      <c r="H22" s="449">
        <v>550</v>
      </c>
      <c r="I22" s="344">
        <f aca="true" t="shared" si="0" ref="I22:I32">IF(H22&gt;25,H22,25)*IF(G22=330,$G$16,$G$17)/100</f>
        <v>401.3075</v>
      </c>
      <c r="J22" s="454">
        <v>40637.913194444445</v>
      </c>
      <c r="K22" s="454">
        <v>40637.94652777778</v>
      </c>
      <c r="L22" s="11">
        <f aca="true" t="shared" si="1" ref="L22:L32">IF(F22="","",(K22-J22)*24)</f>
        <v>0.7999999999883585</v>
      </c>
      <c r="M22" s="12">
        <f aca="true" t="shared" si="2" ref="M22:M32">IF(F22="","",ROUND((K22-J22)*24*60,0))</f>
        <v>48</v>
      </c>
      <c r="N22" s="455" t="s">
        <v>142</v>
      </c>
      <c r="O22" s="630" t="s">
        <v>140</v>
      </c>
      <c r="P22" s="616" t="str">
        <f aca="true" t="shared" si="3" ref="P22:P32">IF(N22="P",ROUND(M22/60,2)*I22*$L$17*0.01,"--")</f>
        <v>--</v>
      </c>
      <c r="Q22" s="617" t="str">
        <f aca="true" t="shared" si="4" ref="Q22:Q32">IF(N22="RP",ROUND(M22/60,2)*I22*$L$17*0.01*O22/100,"--")</f>
        <v>--</v>
      </c>
      <c r="R22" s="618">
        <f aca="true" t="shared" si="5" ref="R22:R32">IF(N22="F",I22*$L$17,"--")</f>
        <v>12039.225</v>
      </c>
      <c r="S22" s="619">
        <f aca="true" t="shared" si="6" ref="S22:S32">IF(AND(M22&gt;10,N22="F"),I22*$L$17*IF(M22&gt;180,3,ROUND(M22/60,2)),"--")</f>
        <v>9631.380000000001</v>
      </c>
      <c r="T22" s="620" t="str">
        <f aca="true" t="shared" si="7" ref="T22:T32">IF(AND(M22&gt;180,N22="F"),(ROUND(M22/60,2)-3)*I22*$L$17*0.1,"--")</f>
        <v>--</v>
      </c>
      <c r="U22" s="621" t="str">
        <f aca="true" t="shared" si="8" ref="U22:U32">IF(N22="R",I22*$L$17*O22/100,"--")</f>
        <v>--</v>
      </c>
      <c r="V22" s="622" t="str">
        <f aca="true" t="shared" si="9" ref="V22:V32">IF(AND(M22&gt;10,N22="R"),I22*$L$17*O22/100*IF(M22&gt;180,3,ROUND(M22/60,2)),"--")</f>
        <v>--</v>
      </c>
      <c r="W22" s="623" t="str">
        <f aca="true" t="shared" si="10" ref="W22:W32">IF(AND(M22&gt;180,N22="R"),(ROUND(M22/60,2)-3)*O22/100*I22*$L$17*0.1,"--")</f>
        <v>--</v>
      </c>
      <c r="X22" s="624" t="str">
        <f aca="true" t="shared" si="11" ref="X22:X32">IF(N22="RF",ROUND(M22/60,2)*I22*$L$17*0.1,"--")</f>
        <v>--</v>
      </c>
      <c r="Y22" s="625" t="str">
        <f aca="true" t="shared" si="12" ref="Y22:Y32">IF(N22="RR",ROUND(M22/60,2)*O22/100*I22*$L$17*0.1,"--")</f>
        <v>--</v>
      </c>
      <c r="Z22" s="626" t="s">
        <v>139</v>
      </c>
      <c r="AA22" s="46">
        <f aca="true" t="shared" si="13" ref="AA22:AA32">IF(F22="","",SUM(P22:Y22)*IF(Z22="SI",1,2))</f>
        <v>21670.605000000003</v>
      </c>
      <c r="AB22" s="3"/>
    </row>
    <row r="23" spans="1:28" ht="16.5" customHeight="1">
      <c r="A23" s="1"/>
      <c r="B23" s="2"/>
      <c r="C23" s="446">
        <v>3</v>
      </c>
      <c r="D23" s="446">
        <v>233657</v>
      </c>
      <c r="E23" s="446">
        <v>1637</v>
      </c>
      <c r="F23" s="447" t="s">
        <v>141</v>
      </c>
      <c r="G23" s="448">
        <v>330</v>
      </c>
      <c r="H23" s="449">
        <v>550</v>
      </c>
      <c r="I23" s="344">
        <f t="shared" si="0"/>
        <v>401.3075</v>
      </c>
      <c r="J23" s="454">
        <v>40644.353472222225</v>
      </c>
      <c r="K23" s="454">
        <v>40644.65972222222</v>
      </c>
      <c r="L23" s="11">
        <f t="shared" si="1"/>
        <v>7.349999999860302</v>
      </c>
      <c r="M23" s="12">
        <f t="shared" si="2"/>
        <v>441</v>
      </c>
      <c r="N23" s="455" t="s">
        <v>138</v>
      </c>
      <c r="O23" s="630" t="s">
        <v>140</v>
      </c>
      <c r="P23" s="616">
        <f t="shared" si="3"/>
        <v>884.8830374999999</v>
      </c>
      <c r="Q23" s="617" t="str">
        <f t="shared" si="4"/>
        <v>--</v>
      </c>
      <c r="R23" s="618" t="str">
        <f t="shared" si="5"/>
        <v>--</v>
      </c>
      <c r="S23" s="619" t="str">
        <f t="shared" si="6"/>
        <v>--</v>
      </c>
      <c r="T23" s="620" t="str">
        <f t="shared" si="7"/>
        <v>--</v>
      </c>
      <c r="U23" s="621" t="str">
        <f t="shared" si="8"/>
        <v>--</v>
      </c>
      <c r="V23" s="622" t="str">
        <f t="shared" si="9"/>
        <v>--</v>
      </c>
      <c r="W23" s="623" t="str">
        <f t="shared" si="10"/>
        <v>--</v>
      </c>
      <c r="X23" s="624" t="str">
        <f t="shared" si="11"/>
        <v>--</v>
      </c>
      <c r="Y23" s="625" t="str">
        <f t="shared" si="12"/>
        <v>--</v>
      </c>
      <c r="Z23" s="626" t="s">
        <v>139</v>
      </c>
      <c r="AA23" s="46">
        <f t="shared" si="13"/>
        <v>884.8830374999999</v>
      </c>
      <c r="AB23" s="3"/>
    </row>
    <row r="24" spans="1:28" ht="16.5" customHeight="1">
      <c r="A24" s="1"/>
      <c r="B24" s="2"/>
      <c r="C24" s="446"/>
      <c r="D24" s="446"/>
      <c r="E24" s="446"/>
      <c r="F24" s="447"/>
      <c r="G24" s="448"/>
      <c r="H24" s="449"/>
      <c r="I24" s="344">
        <f t="shared" si="0"/>
        <v>17.4305</v>
      </c>
      <c r="J24" s="454"/>
      <c r="K24" s="454"/>
      <c r="L24" s="11">
        <f t="shared" si="1"/>
      </c>
      <c r="M24" s="12">
        <f t="shared" si="2"/>
      </c>
      <c r="N24" s="455"/>
      <c r="O24" s="615">
        <f aca="true" t="shared" si="14" ref="O24:O32">IF(F24="","","--")</f>
      </c>
      <c r="P24" s="616" t="str">
        <f t="shared" si="3"/>
        <v>--</v>
      </c>
      <c r="Q24" s="617" t="str">
        <f t="shared" si="4"/>
        <v>--</v>
      </c>
      <c r="R24" s="618" t="str">
        <f t="shared" si="5"/>
        <v>--</v>
      </c>
      <c r="S24" s="619" t="str">
        <f t="shared" si="6"/>
        <v>--</v>
      </c>
      <c r="T24" s="620" t="str">
        <f t="shared" si="7"/>
        <v>--</v>
      </c>
      <c r="U24" s="621" t="str">
        <f t="shared" si="8"/>
        <v>--</v>
      </c>
      <c r="V24" s="622" t="str">
        <f t="shared" si="9"/>
        <v>--</v>
      </c>
      <c r="W24" s="623" t="str">
        <f t="shared" si="10"/>
        <v>--</v>
      </c>
      <c r="X24" s="624" t="str">
        <f t="shared" si="11"/>
        <v>--</v>
      </c>
      <c r="Y24" s="625" t="str">
        <f t="shared" si="12"/>
        <v>--</v>
      </c>
      <c r="Z24" s="626">
        <f aca="true" t="shared" si="15" ref="Z24:Z32">IF(F24="","","SI")</f>
      </c>
      <c r="AA24" s="46">
        <f t="shared" si="13"/>
      </c>
      <c r="AB24" s="3"/>
    </row>
    <row r="25" spans="1:28" ht="16.5" customHeight="1">
      <c r="A25" s="1"/>
      <c r="B25" s="2"/>
      <c r="C25" s="446"/>
      <c r="D25" s="446"/>
      <c r="E25" s="446"/>
      <c r="F25" s="447"/>
      <c r="G25" s="448"/>
      <c r="H25" s="449"/>
      <c r="I25" s="344">
        <f t="shared" si="0"/>
        <v>17.4305</v>
      </c>
      <c r="J25" s="454"/>
      <c r="K25" s="454"/>
      <c r="L25" s="11">
        <f t="shared" si="1"/>
      </c>
      <c r="M25" s="12">
        <f t="shared" si="2"/>
      </c>
      <c r="N25" s="455"/>
      <c r="O25" s="615">
        <f t="shared" si="14"/>
      </c>
      <c r="P25" s="616" t="str">
        <f t="shared" si="3"/>
        <v>--</v>
      </c>
      <c r="Q25" s="617" t="str">
        <f t="shared" si="4"/>
        <v>--</v>
      </c>
      <c r="R25" s="618" t="str">
        <f t="shared" si="5"/>
        <v>--</v>
      </c>
      <c r="S25" s="619" t="str">
        <f t="shared" si="6"/>
        <v>--</v>
      </c>
      <c r="T25" s="620" t="str">
        <f t="shared" si="7"/>
        <v>--</v>
      </c>
      <c r="U25" s="621" t="str">
        <f t="shared" si="8"/>
        <v>--</v>
      </c>
      <c r="V25" s="622" t="str">
        <f t="shared" si="9"/>
        <v>--</v>
      </c>
      <c r="W25" s="623" t="str">
        <f t="shared" si="10"/>
        <v>--</v>
      </c>
      <c r="X25" s="624" t="str">
        <f t="shared" si="11"/>
        <v>--</v>
      </c>
      <c r="Y25" s="625" t="str">
        <f t="shared" si="12"/>
        <v>--</v>
      </c>
      <c r="Z25" s="626">
        <f t="shared" si="15"/>
      </c>
      <c r="AA25" s="46">
        <f t="shared" si="13"/>
      </c>
      <c r="AB25" s="3"/>
    </row>
    <row r="26" spans="1:28" ht="16.5" customHeight="1">
      <c r="A26" s="1"/>
      <c r="B26" s="2"/>
      <c r="C26" s="446"/>
      <c r="D26" s="446"/>
      <c r="E26" s="446"/>
      <c r="F26" s="447"/>
      <c r="G26" s="448"/>
      <c r="H26" s="449"/>
      <c r="I26" s="344">
        <f t="shared" si="0"/>
        <v>17.4305</v>
      </c>
      <c r="J26" s="454"/>
      <c r="K26" s="454"/>
      <c r="L26" s="11">
        <f t="shared" si="1"/>
      </c>
      <c r="M26" s="12">
        <f t="shared" si="2"/>
      </c>
      <c r="N26" s="455"/>
      <c r="O26" s="615">
        <f t="shared" si="14"/>
      </c>
      <c r="P26" s="616" t="str">
        <f t="shared" si="3"/>
        <v>--</v>
      </c>
      <c r="Q26" s="617" t="str">
        <f t="shared" si="4"/>
        <v>--</v>
      </c>
      <c r="R26" s="618" t="str">
        <f t="shared" si="5"/>
        <v>--</v>
      </c>
      <c r="S26" s="619" t="str">
        <f t="shared" si="6"/>
        <v>--</v>
      </c>
      <c r="T26" s="620" t="str">
        <f t="shared" si="7"/>
        <v>--</v>
      </c>
      <c r="U26" s="621" t="str">
        <f t="shared" si="8"/>
        <v>--</v>
      </c>
      <c r="V26" s="622" t="str">
        <f t="shared" si="9"/>
        <v>--</v>
      </c>
      <c r="W26" s="623" t="str">
        <f t="shared" si="10"/>
        <v>--</v>
      </c>
      <c r="X26" s="624" t="str">
        <f t="shared" si="11"/>
        <v>--</v>
      </c>
      <c r="Y26" s="625" t="str">
        <f t="shared" si="12"/>
        <v>--</v>
      </c>
      <c r="Z26" s="626">
        <f t="shared" si="15"/>
      </c>
      <c r="AA26" s="46">
        <f t="shared" si="13"/>
      </c>
      <c r="AB26" s="3"/>
    </row>
    <row r="27" spans="1:28" ht="16.5" customHeight="1">
      <c r="A27" s="1"/>
      <c r="B27" s="2"/>
      <c r="C27" s="446"/>
      <c r="D27" s="446"/>
      <c r="E27" s="446"/>
      <c r="F27" s="447"/>
      <c r="G27" s="448"/>
      <c r="H27" s="449"/>
      <c r="I27" s="344">
        <f t="shared" si="0"/>
        <v>17.4305</v>
      </c>
      <c r="J27" s="454"/>
      <c r="K27" s="454"/>
      <c r="L27" s="11">
        <f t="shared" si="1"/>
      </c>
      <c r="M27" s="12">
        <f t="shared" si="2"/>
      </c>
      <c r="N27" s="455"/>
      <c r="O27" s="615">
        <f t="shared" si="14"/>
      </c>
      <c r="P27" s="616" t="str">
        <f t="shared" si="3"/>
        <v>--</v>
      </c>
      <c r="Q27" s="617" t="str">
        <f t="shared" si="4"/>
        <v>--</v>
      </c>
      <c r="R27" s="618" t="str">
        <f t="shared" si="5"/>
        <v>--</v>
      </c>
      <c r="S27" s="619" t="str">
        <f t="shared" si="6"/>
        <v>--</v>
      </c>
      <c r="T27" s="620" t="str">
        <f t="shared" si="7"/>
        <v>--</v>
      </c>
      <c r="U27" s="621" t="str">
        <f t="shared" si="8"/>
        <v>--</v>
      </c>
      <c r="V27" s="622" t="str">
        <f t="shared" si="9"/>
        <v>--</v>
      </c>
      <c r="W27" s="623" t="str">
        <f t="shared" si="10"/>
        <v>--</v>
      </c>
      <c r="X27" s="624" t="str">
        <f t="shared" si="11"/>
        <v>--</v>
      </c>
      <c r="Y27" s="625" t="str">
        <f t="shared" si="12"/>
        <v>--</v>
      </c>
      <c r="Z27" s="626">
        <f t="shared" si="15"/>
      </c>
      <c r="AA27" s="46">
        <f t="shared" si="13"/>
      </c>
      <c r="AB27" s="3"/>
    </row>
    <row r="28" spans="1:28" ht="16.5" customHeight="1">
      <c r="A28" s="1"/>
      <c r="B28" s="2"/>
      <c r="C28" s="446"/>
      <c r="D28" s="446"/>
      <c r="E28" s="446"/>
      <c r="F28" s="447"/>
      <c r="G28" s="448"/>
      <c r="H28" s="449"/>
      <c r="I28" s="344">
        <f t="shared" si="0"/>
        <v>17.4305</v>
      </c>
      <c r="J28" s="454"/>
      <c r="K28" s="454"/>
      <c r="L28" s="11">
        <f t="shared" si="1"/>
      </c>
      <c r="M28" s="12">
        <f t="shared" si="2"/>
      </c>
      <c r="N28" s="455"/>
      <c r="O28" s="615">
        <f t="shared" si="14"/>
      </c>
      <c r="P28" s="616" t="str">
        <f t="shared" si="3"/>
        <v>--</v>
      </c>
      <c r="Q28" s="617" t="str">
        <f t="shared" si="4"/>
        <v>--</v>
      </c>
      <c r="R28" s="618" t="str">
        <f t="shared" si="5"/>
        <v>--</v>
      </c>
      <c r="S28" s="619" t="str">
        <f t="shared" si="6"/>
        <v>--</v>
      </c>
      <c r="T28" s="620" t="str">
        <f t="shared" si="7"/>
        <v>--</v>
      </c>
      <c r="U28" s="621" t="str">
        <f t="shared" si="8"/>
        <v>--</v>
      </c>
      <c r="V28" s="622" t="str">
        <f t="shared" si="9"/>
        <v>--</v>
      </c>
      <c r="W28" s="623" t="str">
        <f t="shared" si="10"/>
        <v>--</v>
      </c>
      <c r="X28" s="624" t="str">
        <f t="shared" si="11"/>
        <v>--</v>
      </c>
      <c r="Y28" s="625" t="str">
        <f t="shared" si="12"/>
        <v>--</v>
      </c>
      <c r="Z28" s="626">
        <f t="shared" si="15"/>
      </c>
      <c r="AA28" s="46">
        <f t="shared" si="13"/>
      </c>
      <c r="AB28" s="3"/>
    </row>
    <row r="29" spans="2:28" ht="16.5" customHeight="1">
      <c r="B29" s="47"/>
      <c r="C29" s="446"/>
      <c r="D29" s="446"/>
      <c r="E29" s="446"/>
      <c r="F29" s="447"/>
      <c r="G29" s="448"/>
      <c r="H29" s="449"/>
      <c r="I29" s="344">
        <f t="shared" si="0"/>
        <v>17.4305</v>
      </c>
      <c r="J29" s="454"/>
      <c r="K29" s="454"/>
      <c r="L29" s="11">
        <f t="shared" si="1"/>
      </c>
      <c r="M29" s="12">
        <f t="shared" si="2"/>
      </c>
      <c r="N29" s="455"/>
      <c r="O29" s="615">
        <f t="shared" si="14"/>
      </c>
      <c r="P29" s="616" t="str">
        <f t="shared" si="3"/>
        <v>--</v>
      </c>
      <c r="Q29" s="617" t="str">
        <f t="shared" si="4"/>
        <v>--</v>
      </c>
      <c r="R29" s="618" t="str">
        <f t="shared" si="5"/>
        <v>--</v>
      </c>
      <c r="S29" s="619" t="str">
        <f t="shared" si="6"/>
        <v>--</v>
      </c>
      <c r="T29" s="620" t="str">
        <f t="shared" si="7"/>
        <v>--</v>
      </c>
      <c r="U29" s="621" t="str">
        <f t="shared" si="8"/>
        <v>--</v>
      </c>
      <c r="V29" s="622" t="str">
        <f t="shared" si="9"/>
        <v>--</v>
      </c>
      <c r="W29" s="623" t="str">
        <f t="shared" si="10"/>
        <v>--</v>
      </c>
      <c r="X29" s="624" t="str">
        <f t="shared" si="11"/>
        <v>--</v>
      </c>
      <c r="Y29" s="625" t="str">
        <f t="shared" si="12"/>
        <v>--</v>
      </c>
      <c r="Z29" s="626">
        <f t="shared" si="15"/>
      </c>
      <c r="AA29" s="46">
        <f t="shared" si="13"/>
      </c>
      <c r="AB29" s="3"/>
    </row>
    <row r="30" spans="2:28" ht="16.5" customHeight="1">
      <c r="B30" s="47"/>
      <c r="C30" s="446"/>
      <c r="D30" s="446"/>
      <c r="E30" s="446"/>
      <c r="F30" s="447"/>
      <c r="G30" s="448"/>
      <c r="H30" s="449"/>
      <c r="I30" s="344">
        <f t="shared" si="0"/>
        <v>17.4305</v>
      </c>
      <c r="J30" s="454"/>
      <c r="K30" s="454"/>
      <c r="L30" s="11">
        <f t="shared" si="1"/>
      </c>
      <c r="M30" s="12">
        <f t="shared" si="2"/>
      </c>
      <c r="N30" s="455"/>
      <c r="O30" s="615">
        <f t="shared" si="14"/>
      </c>
      <c r="P30" s="616" t="str">
        <f t="shared" si="3"/>
        <v>--</v>
      </c>
      <c r="Q30" s="617" t="str">
        <f t="shared" si="4"/>
        <v>--</v>
      </c>
      <c r="R30" s="618" t="str">
        <f t="shared" si="5"/>
        <v>--</v>
      </c>
      <c r="S30" s="619" t="str">
        <f t="shared" si="6"/>
        <v>--</v>
      </c>
      <c r="T30" s="620" t="str">
        <f t="shared" si="7"/>
        <v>--</v>
      </c>
      <c r="U30" s="621" t="str">
        <f t="shared" si="8"/>
        <v>--</v>
      </c>
      <c r="V30" s="622" t="str">
        <f t="shared" si="9"/>
        <v>--</v>
      </c>
      <c r="W30" s="623" t="str">
        <f t="shared" si="10"/>
        <v>--</v>
      </c>
      <c r="X30" s="624" t="str">
        <f t="shared" si="11"/>
        <v>--</v>
      </c>
      <c r="Y30" s="625" t="str">
        <f t="shared" si="12"/>
        <v>--</v>
      </c>
      <c r="Z30" s="626">
        <f t="shared" si="15"/>
      </c>
      <c r="AA30" s="46">
        <f t="shared" si="13"/>
      </c>
      <c r="AB30" s="3"/>
    </row>
    <row r="31" spans="2:28" ht="16.5" customHeight="1">
      <c r="B31" s="47"/>
      <c r="C31" s="446"/>
      <c r="D31" s="446"/>
      <c r="E31" s="446"/>
      <c r="F31" s="447"/>
      <c r="G31" s="448"/>
      <c r="H31" s="449"/>
      <c r="I31" s="344">
        <f t="shared" si="0"/>
        <v>17.4305</v>
      </c>
      <c r="J31" s="454"/>
      <c r="K31" s="454"/>
      <c r="L31" s="11">
        <f t="shared" si="1"/>
      </c>
      <c r="M31" s="12">
        <f t="shared" si="2"/>
      </c>
      <c r="N31" s="455"/>
      <c r="O31" s="615">
        <f t="shared" si="14"/>
      </c>
      <c r="P31" s="616" t="str">
        <f t="shared" si="3"/>
        <v>--</v>
      </c>
      <c r="Q31" s="617" t="str">
        <f t="shared" si="4"/>
        <v>--</v>
      </c>
      <c r="R31" s="618" t="str">
        <f t="shared" si="5"/>
        <v>--</v>
      </c>
      <c r="S31" s="619" t="str">
        <f t="shared" si="6"/>
        <v>--</v>
      </c>
      <c r="T31" s="620" t="str">
        <f t="shared" si="7"/>
        <v>--</v>
      </c>
      <c r="U31" s="621" t="str">
        <f t="shared" si="8"/>
        <v>--</v>
      </c>
      <c r="V31" s="622" t="str">
        <f t="shared" si="9"/>
        <v>--</v>
      </c>
      <c r="W31" s="623" t="str">
        <f t="shared" si="10"/>
        <v>--</v>
      </c>
      <c r="X31" s="624" t="str">
        <f t="shared" si="11"/>
        <v>--</v>
      </c>
      <c r="Y31" s="625" t="str">
        <f t="shared" si="12"/>
        <v>--</v>
      </c>
      <c r="Z31" s="626">
        <f t="shared" si="15"/>
      </c>
      <c r="AA31" s="46">
        <f t="shared" si="13"/>
      </c>
      <c r="AB31" s="3"/>
    </row>
    <row r="32" spans="2:28" ht="16.5" customHeight="1" thickBot="1">
      <c r="B32" s="47"/>
      <c r="C32" s="446"/>
      <c r="D32" s="451"/>
      <c r="E32" s="451"/>
      <c r="F32" s="451"/>
      <c r="G32" s="646"/>
      <c r="H32" s="647"/>
      <c r="I32" s="648">
        <f t="shared" si="0"/>
        <v>17.4305</v>
      </c>
      <c r="J32" s="649"/>
      <c r="K32" s="649"/>
      <c r="L32" s="650">
        <f t="shared" si="1"/>
      </c>
      <c r="M32" s="651">
        <f t="shared" si="2"/>
      </c>
      <c r="N32" s="652"/>
      <c r="O32" s="653">
        <f t="shared" si="14"/>
      </c>
      <c r="P32" s="654" t="str">
        <f t="shared" si="3"/>
        <v>--</v>
      </c>
      <c r="Q32" s="655" t="str">
        <f t="shared" si="4"/>
        <v>--</v>
      </c>
      <c r="R32" s="656" t="str">
        <f t="shared" si="5"/>
        <v>--</v>
      </c>
      <c r="S32" s="657" t="str">
        <f t="shared" si="6"/>
        <v>--</v>
      </c>
      <c r="T32" s="658" t="str">
        <f t="shared" si="7"/>
        <v>--</v>
      </c>
      <c r="U32" s="659" t="str">
        <f t="shared" si="8"/>
        <v>--</v>
      </c>
      <c r="V32" s="660" t="str">
        <f t="shared" si="9"/>
        <v>--</v>
      </c>
      <c r="W32" s="661" t="str">
        <f t="shared" si="10"/>
        <v>--</v>
      </c>
      <c r="X32" s="662" t="str">
        <f t="shared" si="11"/>
        <v>--</v>
      </c>
      <c r="Y32" s="663" t="str">
        <f t="shared" si="12"/>
        <v>--</v>
      </c>
      <c r="Z32" s="664">
        <f t="shared" si="15"/>
      </c>
      <c r="AA32" s="46">
        <f t="shared" si="13"/>
      </c>
      <c r="AB32" s="3"/>
    </row>
    <row r="33" spans="1:28" ht="16.5" customHeight="1" thickBot="1" thickTop="1">
      <c r="A33" s="1"/>
      <c r="B33" s="2"/>
      <c r="C33" s="665" t="s">
        <v>148</v>
      </c>
      <c r="D33" s="666" t="s">
        <v>147</v>
      </c>
      <c r="E33" s="611"/>
      <c r="F33" s="212"/>
      <c r="G33" s="14"/>
      <c r="H33" s="15"/>
      <c r="I33" s="49"/>
      <c r="J33" s="49"/>
      <c r="K33" s="49"/>
      <c r="L33" s="49"/>
      <c r="M33" s="49"/>
      <c r="N33" s="49"/>
      <c r="O33" s="50"/>
      <c r="P33" s="638">
        <f aca="true" t="shared" si="16" ref="P33:Y33">ROUND(SUM(P20:P32),2)</f>
        <v>1844.41</v>
      </c>
      <c r="Q33" s="639">
        <f t="shared" si="16"/>
        <v>0</v>
      </c>
      <c r="R33" s="640">
        <f t="shared" si="16"/>
        <v>12039.23</v>
      </c>
      <c r="S33" s="640">
        <f t="shared" si="16"/>
        <v>9631.38</v>
      </c>
      <c r="T33" s="641">
        <f t="shared" si="16"/>
        <v>0</v>
      </c>
      <c r="U33" s="642">
        <f t="shared" si="16"/>
        <v>0</v>
      </c>
      <c r="V33" s="642">
        <f t="shared" si="16"/>
        <v>0</v>
      </c>
      <c r="W33" s="643">
        <f t="shared" si="16"/>
        <v>0</v>
      </c>
      <c r="X33" s="644">
        <f t="shared" si="16"/>
        <v>0</v>
      </c>
      <c r="Y33" s="645">
        <f t="shared" si="16"/>
        <v>0</v>
      </c>
      <c r="Z33" s="51"/>
      <c r="AA33" s="614">
        <f>ROUND(SUM(AA20:AA32),2)</f>
        <v>23515.01</v>
      </c>
      <c r="AB33" s="52"/>
    </row>
    <row r="34" spans="1:28" s="226" customFormat="1" ht="9.75" thickTop="1">
      <c r="A34" s="215"/>
      <c r="B34" s="216"/>
      <c r="C34" s="213"/>
      <c r="D34" s="213"/>
      <c r="E34" s="213"/>
      <c r="F34" s="214"/>
      <c r="G34" s="217"/>
      <c r="H34" s="218"/>
      <c r="I34" s="219"/>
      <c r="J34" s="219"/>
      <c r="K34" s="219"/>
      <c r="L34" s="219"/>
      <c r="M34" s="219"/>
      <c r="N34" s="219"/>
      <c r="O34" s="220"/>
      <c r="P34" s="221"/>
      <c r="Q34" s="221"/>
      <c r="R34" s="222"/>
      <c r="S34" s="222"/>
      <c r="T34" s="223"/>
      <c r="U34" s="223"/>
      <c r="V34" s="223"/>
      <c r="W34" s="223"/>
      <c r="X34" s="223"/>
      <c r="Y34" s="223"/>
      <c r="Z34" s="223"/>
      <c r="AA34" s="224"/>
      <c r="AB34" s="225"/>
    </row>
    <row r="35" spans="1:28" s="9" customFormat="1" ht="16.5" customHeight="1" thickBot="1">
      <c r="A35" s="7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</row>
    <row r="36" spans="1:28" ht="13.5" thickTop="1">
      <c r="A36" s="1"/>
      <c r="B36" s="1"/>
      <c r="AB36" s="1"/>
    </row>
    <row r="81" spans="1:2" ht="12.75">
      <c r="A81" s="1"/>
      <c r="B8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37"/>
  <sheetViews>
    <sheetView zoomScale="70" zoomScaleNormal="70" workbookViewId="0" topLeftCell="A1">
      <selection activeCell="A43" sqref="A43"/>
    </sheetView>
  </sheetViews>
  <sheetFormatPr defaultColWidth="11.421875" defaultRowHeight="12.75"/>
  <cols>
    <col min="1" max="2" width="4.140625" style="565" customWidth="1"/>
    <col min="3" max="3" width="5.57421875" style="565" customWidth="1"/>
    <col min="4" max="4" width="12.00390625" style="565" customWidth="1"/>
    <col min="5" max="5" width="12.140625" style="565" customWidth="1"/>
    <col min="6" max="7" width="25.7109375" style="565" customWidth="1"/>
    <col min="8" max="8" width="7.7109375" style="565" customWidth="1"/>
    <col min="9" max="9" width="12.7109375" style="565" customWidth="1"/>
    <col min="10" max="10" width="11.8515625" style="565" hidden="1" customWidth="1"/>
    <col min="11" max="12" width="15.7109375" style="565" customWidth="1"/>
    <col min="13" max="15" width="9.7109375" style="565" customWidth="1"/>
    <col min="16" max="16" width="5.8515625" style="565" customWidth="1"/>
    <col min="17" max="18" width="7.00390625" style="565" customWidth="1"/>
    <col min="19" max="19" width="11.7109375" style="565" hidden="1" customWidth="1"/>
    <col min="20" max="21" width="14.00390625" style="565" hidden="1" customWidth="1"/>
    <col min="22" max="22" width="14.28125" style="565" hidden="1" customWidth="1"/>
    <col min="23" max="27" width="14.140625" style="565" hidden="1" customWidth="1"/>
    <col min="28" max="28" width="9.00390625" style="565" customWidth="1"/>
    <col min="29" max="29" width="13.00390625" style="565" customWidth="1"/>
    <col min="30" max="30" width="4.140625" style="565" customWidth="1"/>
    <col min="31" max="16384" width="11.421875" style="565" customWidth="1"/>
  </cols>
  <sheetData>
    <row r="1" spans="1:30" s="485" customFormat="1" ht="26.25">
      <c r="A1" s="94"/>
      <c r="B1" s="94"/>
      <c r="C1" s="94"/>
      <c r="D1" s="94"/>
      <c r="E1" s="94"/>
      <c r="F1" s="94"/>
      <c r="G1" s="94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4"/>
    </row>
    <row r="2" spans="1:30" s="485" customFormat="1" ht="26.25">
      <c r="A2" s="94"/>
      <c r="B2" s="95" t="str">
        <f>+'TOT-0411'!B2</f>
        <v>ANEXO IV al Memorandum D.T.E.E.  N° 482 /2012</v>
      </c>
      <c r="C2" s="96"/>
      <c r="D2" s="96"/>
      <c r="E2" s="96"/>
      <c r="F2" s="96"/>
      <c r="G2" s="9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</row>
    <row r="3" spans="1:30" s="488" customFormat="1" ht="12.75">
      <c r="A3" s="9"/>
      <c r="B3" s="9"/>
      <c r="C3" s="9"/>
      <c r="D3" s="9"/>
      <c r="E3" s="9"/>
      <c r="F3" s="9"/>
      <c r="G3" s="9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</row>
    <row r="4" spans="1:30" s="490" customFormat="1" ht="11.25">
      <c r="A4" s="613" t="s">
        <v>21</v>
      </c>
      <c r="B4" s="97"/>
      <c r="C4" s="612"/>
      <c r="D4" s="612"/>
      <c r="E4" s="612"/>
      <c r="F4" s="97"/>
      <c r="G4" s="97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</row>
    <row r="5" spans="1:30" s="490" customFormat="1" ht="11.25">
      <c r="A5" s="613" t="s">
        <v>132</v>
      </c>
      <c r="B5" s="97"/>
      <c r="C5" s="612"/>
      <c r="D5" s="612"/>
      <c r="E5" s="612"/>
      <c r="F5" s="97"/>
      <c r="G5" s="97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</row>
    <row r="6" spans="1:30" s="488" customFormat="1" ht="13.5" thickBo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</row>
    <row r="7" spans="1:30" s="488" customFormat="1" ht="13.5" thickTop="1">
      <c r="A7" s="487"/>
      <c r="B7" s="491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3"/>
    </row>
    <row r="8" spans="1:30" s="497" customFormat="1" ht="20.25">
      <c r="A8" s="494"/>
      <c r="B8" s="495"/>
      <c r="C8" s="175"/>
      <c r="D8" s="175"/>
      <c r="E8" s="175"/>
      <c r="F8" s="496" t="s">
        <v>41</v>
      </c>
      <c r="H8" s="175"/>
      <c r="I8" s="494"/>
      <c r="J8" s="494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498"/>
    </row>
    <row r="9" spans="1:30" s="488" customFormat="1" ht="12.75">
      <c r="A9" s="487"/>
      <c r="B9" s="499"/>
      <c r="C9" s="162"/>
      <c r="D9" s="162"/>
      <c r="E9" s="162"/>
      <c r="F9" s="162"/>
      <c r="G9" s="162"/>
      <c r="H9" s="162"/>
      <c r="I9" s="487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500"/>
    </row>
    <row r="10" spans="1:30" s="497" customFormat="1" ht="20.25">
      <c r="A10" s="494"/>
      <c r="B10" s="495"/>
      <c r="C10" s="175"/>
      <c r="D10" s="175"/>
      <c r="E10" s="175"/>
      <c r="F10" s="496" t="s">
        <v>65</v>
      </c>
      <c r="G10" s="175"/>
      <c r="H10" s="175"/>
      <c r="I10" s="49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498"/>
    </row>
    <row r="11" spans="1:30" s="488" customFormat="1" ht="12.75">
      <c r="A11" s="487"/>
      <c r="B11" s="499"/>
      <c r="C11" s="162"/>
      <c r="D11" s="162"/>
      <c r="E11" s="162"/>
      <c r="F11" s="501"/>
      <c r="G11" s="162"/>
      <c r="H11" s="162"/>
      <c r="I11" s="487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500"/>
    </row>
    <row r="12" spans="1:30" s="497" customFormat="1" ht="20.25">
      <c r="A12" s="494"/>
      <c r="B12" s="495"/>
      <c r="C12" s="175"/>
      <c r="D12" s="175"/>
      <c r="E12" s="175"/>
      <c r="F12" s="496" t="s">
        <v>66</v>
      </c>
      <c r="G12" s="502"/>
      <c r="H12" s="494"/>
      <c r="I12" s="494"/>
      <c r="J12" s="175"/>
      <c r="K12" s="175"/>
      <c r="L12" s="494"/>
      <c r="M12" s="494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498"/>
    </row>
    <row r="13" spans="1:30" s="488" customFormat="1" ht="12.75">
      <c r="A13" s="487"/>
      <c r="B13" s="499"/>
      <c r="C13" s="162"/>
      <c r="D13" s="162"/>
      <c r="E13" s="162"/>
      <c r="F13" s="503"/>
      <c r="G13" s="504"/>
      <c r="H13" s="487"/>
      <c r="I13" s="487"/>
      <c r="J13" s="162"/>
      <c r="K13" s="162"/>
      <c r="L13" s="487"/>
      <c r="M13" s="487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500"/>
    </row>
    <row r="14" spans="1:30" s="497" customFormat="1" ht="20.25">
      <c r="A14" s="494"/>
      <c r="B14" s="495"/>
      <c r="C14" s="175"/>
      <c r="D14" s="175"/>
      <c r="E14" s="175"/>
      <c r="F14" s="496" t="s">
        <v>67</v>
      </c>
      <c r="G14" s="176"/>
      <c r="H14" s="176"/>
      <c r="I14" s="177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498"/>
    </row>
    <row r="15" spans="1:30" s="488" customFormat="1" ht="12.75">
      <c r="A15" s="487"/>
      <c r="B15" s="499"/>
      <c r="C15" s="162"/>
      <c r="D15" s="162"/>
      <c r="E15" s="162"/>
      <c r="F15" s="505"/>
      <c r="G15" s="163"/>
      <c r="H15" s="163"/>
      <c r="I15" s="164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500"/>
    </row>
    <row r="16" spans="1:30" s="511" customFormat="1" ht="19.5">
      <c r="A16" s="506"/>
      <c r="B16" s="73" t="str">
        <f>+'TOT-0411'!B14</f>
        <v>Desde el 01 al 30 de abril de 2011</v>
      </c>
      <c r="C16" s="507"/>
      <c r="D16" s="507"/>
      <c r="E16" s="507"/>
      <c r="F16" s="507"/>
      <c r="G16" s="507"/>
      <c r="H16" s="507"/>
      <c r="I16" s="508"/>
      <c r="J16" s="507"/>
      <c r="K16" s="509"/>
      <c r="L16" s="509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10"/>
    </row>
    <row r="17" spans="1:30" s="488" customFormat="1" ht="14.25" thickBot="1">
      <c r="A17" s="487"/>
      <c r="B17" s="499"/>
      <c r="C17" s="162"/>
      <c r="D17" s="162"/>
      <c r="E17" s="162"/>
      <c r="F17" s="162"/>
      <c r="G17" s="162"/>
      <c r="H17" s="162"/>
      <c r="I17" s="28"/>
      <c r="J17" s="162"/>
      <c r="K17" s="512"/>
      <c r="L17" s="513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500"/>
    </row>
    <row r="18" spans="1:30" s="488" customFormat="1" ht="16.5" customHeight="1" thickBot="1" thickTop="1">
      <c r="A18" s="487"/>
      <c r="B18" s="499"/>
      <c r="C18" s="162"/>
      <c r="D18" s="162"/>
      <c r="E18" s="162"/>
      <c r="F18" s="182" t="s">
        <v>68</v>
      </c>
      <c r="G18" s="183"/>
      <c r="H18" s="514"/>
      <c r="I18" s="515">
        <v>0.243</v>
      </c>
      <c r="J18" s="487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500"/>
    </row>
    <row r="19" spans="1:30" s="488" customFormat="1" ht="16.5" customHeight="1" thickBot="1" thickTop="1">
      <c r="A19" s="487"/>
      <c r="B19" s="499"/>
      <c r="C19" s="162"/>
      <c r="D19" s="162"/>
      <c r="E19" s="162"/>
      <c r="F19" s="186" t="s">
        <v>69</v>
      </c>
      <c r="G19" s="187"/>
      <c r="H19" s="187"/>
      <c r="I19" s="188">
        <v>30</v>
      </c>
      <c r="J19" s="162"/>
      <c r="K19" s="207" t="str">
        <f>IF(I19=30," ",IF(I19=60,"Coeficiente duplicado por tasa de falla &gt;4 Sal. x año/100 km.","REVISAR COEFICIENTE"))</f>
        <v> 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516"/>
      <c r="X19" s="516"/>
      <c r="Y19" s="516"/>
      <c r="Z19" s="516"/>
      <c r="AA19" s="516"/>
      <c r="AB19" s="516"/>
      <c r="AC19" s="516"/>
      <c r="AD19" s="500"/>
    </row>
    <row r="20" spans="1:30" s="526" customFormat="1" ht="33.75" customHeight="1" thickBot="1" thickTop="1">
      <c r="A20" s="517"/>
      <c r="B20" s="518"/>
      <c r="C20" s="198" t="s">
        <v>47</v>
      </c>
      <c r="D20" s="86" t="s">
        <v>131</v>
      </c>
      <c r="E20" s="86" t="s">
        <v>130</v>
      </c>
      <c r="F20" s="197" t="s">
        <v>70</v>
      </c>
      <c r="G20" s="193" t="s">
        <v>19</v>
      </c>
      <c r="H20" s="194" t="s">
        <v>71</v>
      </c>
      <c r="I20" s="197" t="s">
        <v>48</v>
      </c>
      <c r="J20" s="235" t="s">
        <v>50</v>
      </c>
      <c r="K20" s="196" t="s">
        <v>72</v>
      </c>
      <c r="L20" s="196" t="s">
        <v>73</v>
      </c>
      <c r="M20" s="197" t="s">
        <v>74</v>
      </c>
      <c r="N20" s="197" t="s">
        <v>75</v>
      </c>
      <c r="O20" s="90" t="s">
        <v>55</v>
      </c>
      <c r="P20" s="198" t="s">
        <v>76</v>
      </c>
      <c r="Q20" s="197" t="s">
        <v>77</v>
      </c>
      <c r="R20" s="193" t="s">
        <v>78</v>
      </c>
      <c r="S20" s="301" t="s">
        <v>79</v>
      </c>
      <c r="T20" s="519" t="s">
        <v>57</v>
      </c>
      <c r="U20" s="520" t="s">
        <v>58</v>
      </c>
      <c r="V20" s="314" t="s">
        <v>80</v>
      </c>
      <c r="W20" s="521"/>
      <c r="X20" s="321" t="s">
        <v>80</v>
      </c>
      <c r="Y20" s="522"/>
      <c r="Z20" s="523" t="s">
        <v>61</v>
      </c>
      <c r="AA20" s="524" t="s">
        <v>62</v>
      </c>
      <c r="AB20" s="197" t="s">
        <v>63</v>
      </c>
      <c r="AC20" s="197" t="s">
        <v>64</v>
      </c>
      <c r="AD20" s="525"/>
    </row>
    <row r="21" spans="1:30" s="488" customFormat="1" ht="16.5" customHeight="1" thickTop="1">
      <c r="A21" s="487"/>
      <c r="B21" s="499"/>
      <c r="C21" s="527"/>
      <c r="D21" s="527"/>
      <c r="E21" s="527"/>
      <c r="F21" s="528"/>
      <c r="G21" s="528"/>
      <c r="H21" s="528"/>
      <c r="I21" s="528"/>
      <c r="J21" s="529"/>
      <c r="K21" s="530"/>
      <c r="L21" s="528"/>
      <c r="M21" s="530"/>
      <c r="N21" s="530"/>
      <c r="O21" s="528"/>
      <c r="P21" s="528"/>
      <c r="Q21" s="528"/>
      <c r="R21" s="528"/>
      <c r="S21" s="531"/>
      <c r="T21" s="532"/>
      <c r="U21" s="533"/>
      <c r="V21" s="534"/>
      <c r="W21" s="535"/>
      <c r="X21" s="536"/>
      <c r="Y21" s="537"/>
      <c r="Z21" s="538"/>
      <c r="AA21" s="539"/>
      <c r="AB21" s="528"/>
      <c r="AC21" s="540"/>
      <c r="AD21" s="500"/>
    </row>
    <row r="22" spans="1:30" s="488" customFormat="1" ht="16.5" customHeight="1">
      <c r="A22" s="487"/>
      <c r="B22" s="499"/>
      <c r="C22" s="568">
        <v>4</v>
      </c>
      <c r="D22" s="568">
        <v>234017</v>
      </c>
      <c r="E22" s="568">
        <v>1794</v>
      </c>
      <c r="F22" s="447" t="s">
        <v>143</v>
      </c>
      <c r="G22" s="446" t="s">
        <v>144</v>
      </c>
      <c r="H22" s="569">
        <v>20</v>
      </c>
      <c r="I22" s="608" t="s">
        <v>145</v>
      </c>
      <c r="J22" s="238">
        <f aca="true" t="shared" si="0" ref="J22:J32">H22*$I$18</f>
        <v>4.859999999999999</v>
      </c>
      <c r="K22" s="572">
        <v>40660.370833333334</v>
      </c>
      <c r="L22" s="572">
        <v>40660.61388888889</v>
      </c>
      <c r="M22" s="22">
        <f aca="true" t="shared" si="1" ref="M22:M32">IF(F22="","",(L22-K22)*24)</f>
        <v>5.833333333313931</v>
      </c>
      <c r="N22" s="23">
        <f aca="true" t="shared" si="2" ref="N22:N32">IF(F22="","",ROUND((L22-K22)*24*60,0))</f>
        <v>350</v>
      </c>
      <c r="O22" s="573" t="s">
        <v>138</v>
      </c>
      <c r="P22" s="21" t="str">
        <f aca="true" t="shared" si="3" ref="P22:P32">IF(F22="","",IF(OR(O22="P",O22="RP"),"--","NO"))</f>
        <v>--</v>
      </c>
      <c r="Q22" s="627" t="str">
        <f aca="true" t="shared" si="4" ref="Q22:Q32">IF(F22="","","--")</f>
        <v>--</v>
      </c>
      <c r="R22" s="21" t="str">
        <f aca="true" t="shared" si="5" ref="R22:R32">IF(F22="","","NO")</f>
        <v>NO</v>
      </c>
      <c r="S22" s="303">
        <f aca="true" t="shared" si="6" ref="S22:S32">$I$19*IF(OR(O22="P",O22="RP"),0.1,1)*IF(R22="SI",1,0.1)</f>
        <v>0.30000000000000004</v>
      </c>
      <c r="T22" s="628">
        <f aca="true" t="shared" si="7" ref="T22:T32">IF(O22="P",J22*S22*ROUND(N22/60,2),"--")</f>
        <v>8.50014</v>
      </c>
      <c r="U22" s="629" t="str">
        <f aca="true" t="shared" si="8" ref="U22:U32">IF(O22="RP",J22*S22*ROUND(N22/60,2)*Q22/100,"--")</f>
        <v>--</v>
      </c>
      <c r="V22" s="318" t="str">
        <f aca="true" t="shared" si="9" ref="V22:V32">IF(AND(O22="F",P22="NO"),J22*S22,"--")</f>
        <v>--</v>
      </c>
      <c r="W22" s="319" t="str">
        <f aca="true" t="shared" si="10" ref="W22:W32">IF(O22="F",J22*S22*ROUND(N22/60,2),"--")</f>
        <v>--</v>
      </c>
      <c r="X22" s="325" t="str">
        <f aca="true" t="shared" si="11" ref="X22:X32">IF(AND(O22="R",P22="NO"),J22*S22*Q22/100,"--")</f>
        <v>--</v>
      </c>
      <c r="Y22" s="326" t="str">
        <f aca="true" t="shared" si="12" ref="Y22:Y32">IF(O22="R",J22*S22*ROUND(N22/60,2)*Q22/100,"--")</f>
        <v>--</v>
      </c>
      <c r="Z22" s="330" t="str">
        <f aca="true" t="shared" si="13" ref="Z22:Z32">IF(O22="RF",J22*S22*ROUND(N22/60,2),"--")</f>
        <v>--</v>
      </c>
      <c r="AA22" s="335" t="str">
        <f aca="true" t="shared" si="14" ref="AA22:AA32">IF(O22="RR",J22*S22*ROUND(N22/60,2)*Q22/100,"--")</f>
        <v>--</v>
      </c>
      <c r="AB22" s="21" t="s">
        <v>139</v>
      </c>
      <c r="AC22" s="541">
        <f aca="true" t="shared" si="15" ref="AC22:AC32">IF(F22="","",SUM(T22:AA22)*IF(AB22="SI",1,2))</f>
        <v>8.50014</v>
      </c>
      <c r="AD22" s="542"/>
    </row>
    <row r="23" spans="1:30" s="488" customFormat="1" ht="16.5" customHeight="1">
      <c r="A23" s="487"/>
      <c r="B23" s="499"/>
      <c r="C23" s="568">
        <v>5</v>
      </c>
      <c r="D23" s="568">
        <v>234019</v>
      </c>
      <c r="E23" s="568">
        <v>1794</v>
      </c>
      <c r="F23" s="447" t="s">
        <v>143</v>
      </c>
      <c r="G23" s="446" t="s">
        <v>144</v>
      </c>
      <c r="H23" s="569">
        <v>20</v>
      </c>
      <c r="I23" s="608" t="s">
        <v>145</v>
      </c>
      <c r="J23" s="238">
        <f t="shared" si="0"/>
        <v>4.859999999999999</v>
      </c>
      <c r="K23" s="572">
        <v>40661.274305555555</v>
      </c>
      <c r="L23" s="572">
        <v>40661.611805555556</v>
      </c>
      <c r="M23" s="22">
        <f t="shared" si="1"/>
        <v>8.100000000034925</v>
      </c>
      <c r="N23" s="23">
        <f t="shared" si="2"/>
        <v>486</v>
      </c>
      <c r="O23" s="573" t="s">
        <v>138</v>
      </c>
      <c r="P23" s="21" t="str">
        <f t="shared" si="3"/>
        <v>--</v>
      </c>
      <c r="Q23" s="627" t="str">
        <f t="shared" si="4"/>
        <v>--</v>
      </c>
      <c r="R23" s="21" t="str">
        <f t="shared" si="5"/>
        <v>NO</v>
      </c>
      <c r="S23" s="303">
        <f t="shared" si="6"/>
        <v>0.30000000000000004</v>
      </c>
      <c r="T23" s="628">
        <f t="shared" si="7"/>
        <v>11.8098</v>
      </c>
      <c r="U23" s="629" t="str">
        <f t="shared" si="8"/>
        <v>--</v>
      </c>
      <c r="V23" s="318" t="str">
        <f t="shared" si="9"/>
        <v>--</v>
      </c>
      <c r="W23" s="319" t="str">
        <f t="shared" si="10"/>
        <v>--</v>
      </c>
      <c r="X23" s="325" t="str">
        <f t="shared" si="11"/>
        <v>--</v>
      </c>
      <c r="Y23" s="326" t="str">
        <f t="shared" si="12"/>
        <v>--</v>
      </c>
      <c r="Z23" s="330" t="str">
        <f t="shared" si="13"/>
        <v>--</v>
      </c>
      <c r="AA23" s="335" t="str">
        <f t="shared" si="14"/>
        <v>--</v>
      </c>
      <c r="AB23" s="21" t="s">
        <v>139</v>
      </c>
      <c r="AC23" s="541">
        <f t="shared" si="15"/>
        <v>11.8098</v>
      </c>
      <c r="AD23" s="542"/>
    </row>
    <row r="24" spans="1:30" s="488" customFormat="1" ht="16.5" customHeight="1">
      <c r="A24" s="487"/>
      <c r="B24" s="499"/>
      <c r="C24" s="568"/>
      <c r="D24" s="568"/>
      <c r="E24" s="568"/>
      <c r="F24" s="447"/>
      <c r="G24" s="446"/>
      <c r="H24" s="569"/>
      <c r="I24" s="570"/>
      <c r="J24" s="238">
        <f t="shared" si="0"/>
        <v>0</v>
      </c>
      <c r="K24" s="572"/>
      <c r="L24" s="572"/>
      <c r="M24" s="22">
        <f t="shared" si="1"/>
      </c>
      <c r="N24" s="23">
        <f t="shared" si="2"/>
      </c>
      <c r="O24" s="573"/>
      <c r="P24" s="21">
        <f t="shared" si="3"/>
      </c>
      <c r="Q24" s="627">
        <f t="shared" si="4"/>
      </c>
      <c r="R24" s="21">
        <f t="shared" si="5"/>
      </c>
      <c r="S24" s="303">
        <f t="shared" si="6"/>
        <v>3</v>
      </c>
      <c r="T24" s="628" t="str">
        <f t="shared" si="7"/>
        <v>--</v>
      </c>
      <c r="U24" s="629" t="str">
        <f t="shared" si="8"/>
        <v>--</v>
      </c>
      <c r="V24" s="318" t="str">
        <f t="shared" si="9"/>
        <v>--</v>
      </c>
      <c r="W24" s="319" t="str">
        <f t="shared" si="10"/>
        <v>--</v>
      </c>
      <c r="X24" s="325" t="str">
        <f t="shared" si="11"/>
        <v>--</v>
      </c>
      <c r="Y24" s="326" t="str">
        <f t="shared" si="12"/>
        <v>--</v>
      </c>
      <c r="Z24" s="330" t="str">
        <f t="shared" si="13"/>
        <v>--</v>
      </c>
      <c r="AA24" s="335" t="str">
        <f t="shared" si="14"/>
        <v>--</v>
      </c>
      <c r="AB24" s="21">
        <f aca="true" t="shared" si="16" ref="AB24:AB32">IF(F24="","","SI")</f>
      </c>
      <c r="AC24" s="541">
        <f t="shared" si="15"/>
      </c>
      <c r="AD24" s="542"/>
    </row>
    <row r="25" spans="1:30" s="488" customFormat="1" ht="16.5" customHeight="1">
      <c r="A25" s="487"/>
      <c r="B25" s="499"/>
      <c r="C25" s="568"/>
      <c r="D25" s="568"/>
      <c r="E25" s="568"/>
      <c r="F25" s="447"/>
      <c r="G25" s="446"/>
      <c r="H25" s="569"/>
      <c r="I25" s="570"/>
      <c r="J25" s="238">
        <f t="shared" si="0"/>
        <v>0</v>
      </c>
      <c r="K25" s="572"/>
      <c r="L25" s="572"/>
      <c r="M25" s="22">
        <f t="shared" si="1"/>
      </c>
      <c r="N25" s="23">
        <f t="shared" si="2"/>
      </c>
      <c r="O25" s="573"/>
      <c r="P25" s="21">
        <f t="shared" si="3"/>
      </c>
      <c r="Q25" s="627">
        <f t="shared" si="4"/>
      </c>
      <c r="R25" s="21">
        <f t="shared" si="5"/>
      </c>
      <c r="S25" s="303">
        <f t="shared" si="6"/>
        <v>3</v>
      </c>
      <c r="T25" s="628" t="str">
        <f t="shared" si="7"/>
        <v>--</v>
      </c>
      <c r="U25" s="629" t="str">
        <f t="shared" si="8"/>
        <v>--</v>
      </c>
      <c r="V25" s="318" t="str">
        <f t="shared" si="9"/>
        <v>--</v>
      </c>
      <c r="W25" s="319" t="str">
        <f t="shared" si="10"/>
        <v>--</v>
      </c>
      <c r="X25" s="325" t="str">
        <f t="shared" si="11"/>
        <v>--</v>
      </c>
      <c r="Y25" s="326" t="str">
        <f t="shared" si="12"/>
        <v>--</v>
      </c>
      <c r="Z25" s="330" t="str">
        <f t="shared" si="13"/>
        <v>--</v>
      </c>
      <c r="AA25" s="335" t="str">
        <f t="shared" si="14"/>
        <v>--</v>
      </c>
      <c r="AB25" s="21">
        <f t="shared" si="16"/>
      </c>
      <c r="AC25" s="541">
        <f t="shared" si="15"/>
      </c>
      <c r="AD25" s="542"/>
    </row>
    <row r="26" spans="1:30" s="488" customFormat="1" ht="16.5" customHeight="1">
      <c r="A26" s="487"/>
      <c r="B26" s="499"/>
      <c r="C26" s="568"/>
      <c r="D26" s="568"/>
      <c r="E26" s="568"/>
      <c r="F26" s="447"/>
      <c r="G26" s="446"/>
      <c r="H26" s="569"/>
      <c r="I26" s="570"/>
      <c r="J26" s="238">
        <f t="shared" si="0"/>
        <v>0</v>
      </c>
      <c r="K26" s="572"/>
      <c r="L26" s="572"/>
      <c r="M26" s="22">
        <f t="shared" si="1"/>
      </c>
      <c r="N26" s="23">
        <f t="shared" si="2"/>
      </c>
      <c r="O26" s="573"/>
      <c r="P26" s="21">
        <f t="shared" si="3"/>
      </c>
      <c r="Q26" s="627">
        <f t="shared" si="4"/>
      </c>
      <c r="R26" s="21">
        <f t="shared" si="5"/>
      </c>
      <c r="S26" s="303">
        <f t="shared" si="6"/>
        <v>3</v>
      </c>
      <c r="T26" s="628" t="str">
        <f t="shared" si="7"/>
        <v>--</v>
      </c>
      <c r="U26" s="629" t="str">
        <f t="shared" si="8"/>
        <v>--</v>
      </c>
      <c r="V26" s="318" t="str">
        <f t="shared" si="9"/>
        <v>--</v>
      </c>
      <c r="W26" s="319" t="str">
        <f t="shared" si="10"/>
        <v>--</v>
      </c>
      <c r="X26" s="325" t="str">
        <f t="shared" si="11"/>
        <v>--</v>
      </c>
      <c r="Y26" s="326" t="str">
        <f t="shared" si="12"/>
        <v>--</v>
      </c>
      <c r="Z26" s="330" t="str">
        <f t="shared" si="13"/>
        <v>--</v>
      </c>
      <c r="AA26" s="335" t="str">
        <f t="shared" si="14"/>
        <v>--</v>
      </c>
      <c r="AB26" s="21">
        <f t="shared" si="16"/>
      </c>
      <c r="AC26" s="541">
        <f t="shared" si="15"/>
      </c>
      <c r="AD26" s="542"/>
    </row>
    <row r="27" spans="1:30" s="488" customFormat="1" ht="16.5" customHeight="1">
      <c r="A27" s="487"/>
      <c r="B27" s="499"/>
      <c r="C27" s="568"/>
      <c r="D27" s="568"/>
      <c r="E27" s="568"/>
      <c r="F27" s="447"/>
      <c r="G27" s="446"/>
      <c r="H27" s="569"/>
      <c r="I27" s="608"/>
      <c r="J27" s="238">
        <f t="shared" si="0"/>
        <v>0</v>
      </c>
      <c r="K27" s="572"/>
      <c r="L27" s="572"/>
      <c r="M27" s="22">
        <f t="shared" si="1"/>
      </c>
      <c r="N27" s="23">
        <f t="shared" si="2"/>
      </c>
      <c r="O27" s="573"/>
      <c r="P27" s="21">
        <f t="shared" si="3"/>
      </c>
      <c r="Q27" s="627">
        <f t="shared" si="4"/>
      </c>
      <c r="R27" s="21">
        <f t="shared" si="5"/>
      </c>
      <c r="S27" s="303">
        <f t="shared" si="6"/>
        <v>3</v>
      </c>
      <c r="T27" s="628" t="str">
        <f t="shared" si="7"/>
        <v>--</v>
      </c>
      <c r="U27" s="629" t="str">
        <f t="shared" si="8"/>
        <v>--</v>
      </c>
      <c r="V27" s="318" t="str">
        <f t="shared" si="9"/>
        <v>--</v>
      </c>
      <c r="W27" s="319" t="str">
        <f t="shared" si="10"/>
        <v>--</v>
      </c>
      <c r="X27" s="325" t="str">
        <f t="shared" si="11"/>
        <v>--</v>
      </c>
      <c r="Y27" s="326" t="str">
        <f t="shared" si="12"/>
        <v>--</v>
      </c>
      <c r="Z27" s="330" t="str">
        <f t="shared" si="13"/>
        <v>--</v>
      </c>
      <c r="AA27" s="335" t="str">
        <f t="shared" si="14"/>
        <v>--</v>
      </c>
      <c r="AB27" s="21">
        <f t="shared" si="16"/>
      </c>
      <c r="AC27" s="541">
        <f t="shared" si="15"/>
      </c>
      <c r="AD27" s="542"/>
    </row>
    <row r="28" spans="1:30" s="488" customFormat="1" ht="16.5" customHeight="1">
      <c r="A28" s="487"/>
      <c r="B28" s="499"/>
      <c r="C28" s="568"/>
      <c r="D28" s="568"/>
      <c r="E28" s="568"/>
      <c r="F28" s="447"/>
      <c r="G28" s="446"/>
      <c r="H28" s="569"/>
      <c r="I28" s="570"/>
      <c r="J28" s="238">
        <f t="shared" si="0"/>
        <v>0</v>
      </c>
      <c r="K28" s="572"/>
      <c r="L28" s="572"/>
      <c r="M28" s="22">
        <f t="shared" si="1"/>
      </c>
      <c r="N28" s="23">
        <f t="shared" si="2"/>
      </c>
      <c r="O28" s="573"/>
      <c r="P28" s="21">
        <f t="shared" si="3"/>
      </c>
      <c r="Q28" s="627">
        <f t="shared" si="4"/>
      </c>
      <c r="R28" s="21">
        <f t="shared" si="5"/>
      </c>
      <c r="S28" s="303">
        <f t="shared" si="6"/>
        <v>3</v>
      </c>
      <c r="T28" s="628" t="str">
        <f t="shared" si="7"/>
        <v>--</v>
      </c>
      <c r="U28" s="629" t="str">
        <f t="shared" si="8"/>
        <v>--</v>
      </c>
      <c r="V28" s="318" t="str">
        <f t="shared" si="9"/>
        <v>--</v>
      </c>
      <c r="W28" s="319" t="str">
        <f t="shared" si="10"/>
        <v>--</v>
      </c>
      <c r="X28" s="325" t="str">
        <f t="shared" si="11"/>
        <v>--</v>
      </c>
      <c r="Y28" s="326" t="str">
        <f t="shared" si="12"/>
        <v>--</v>
      </c>
      <c r="Z28" s="330" t="str">
        <f t="shared" si="13"/>
        <v>--</v>
      </c>
      <c r="AA28" s="335" t="str">
        <f t="shared" si="14"/>
        <v>--</v>
      </c>
      <c r="AB28" s="21">
        <f t="shared" si="16"/>
      </c>
      <c r="AC28" s="541">
        <f t="shared" si="15"/>
      </c>
      <c r="AD28" s="500"/>
    </row>
    <row r="29" spans="1:30" s="488" customFormat="1" ht="16.5" customHeight="1">
      <c r="A29" s="487"/>
      <c r="B29" s="499"/>
      <c r="C29" s="568"/>
      <c r="D29" s="568"/>
      <c r="E29" s="568"/>
      <c r="F29" s="447"/>
      <c r="G29" s="446"/>
      <c r="H29" s="569"/>
      <c r="I29" s="570"/>
      <c r="J29" s="238">
        <f t="shared" si="0"/>
        <v>0</v>
      </c>
      <c r="K29" s="572"/>
      <c r="L29" s="572"/>
      <c r="M29" s="22">
        <f t="shared" si="1"/>
      </c>
      <c r="N29" s="23">
        <f t="shared" si="2"/>
      </c>
      <c r="O29" s="573"/>
      <c r="P29" s="21">
        <f t="shared" si="3"/>
      </c>
      <c r="Q29" s="627">
        <f t="shared" si="4"/>
      </c>
      <c r="R29" s="21">
        <f t="shared" si="5"/>
      </c>
      <c r="S29" s="303">
        <f t="shared" si="6"/>
        <v>3</v>
      </c>
      <c r="T29" s="628" t="str">
        <f t="shared" si="7"/>
        <v>--</v>
      </c>
      <c r="U29" s="629" t="str">
        <f t="shared" si="8"/>
        <v>--</v>
      </c>
      <c r="V29" s="318" t="str">
        <f t="shared" si="9"/>
        <v>--</v>
      </c>
      <c r="W29" s="319" t="str">
        <f t="shared" si="10"/>
        <v>--</v>
      </c>
      <c r="X29" s="325" t="str">
        <f t="shared" si="11"/>
        <v>--</v>
      </c>
      <c r="Y29" s="326" t="str">
        <f t="shared" si="12"/>
        <v>--</v>
      </c>
      <c r="Z29" s="330" t="str">
        <f t="shared" si="13"/>
        <v>--</v>
      </c>
      <c r="AA29" s="335" t="str">
        <f t="shared" si="14"/>
        <v>--</v>
      </c>
      <c r="AB29" s="21">
        <f t="shared" si="16"/>
      </c>
      <c r="AC29" s="541">
        <f t="shared" si="15"/>
      </c>
      <c r="AD29" s="500"/>
    </row>
    <row r="30" spans="1:30" s="488" customFormat="1" ht="16.5" customHeight="1">
      <c r="A30" s="487"/>
      <c r="B30" s="499"/>
      <c r="C30" s="568"/>
      <c r="D30" s="568"/>
      <c r="E30" s="568"/>
      <c r="F30" s="447"/>
      <c r="G30" s="446"/>
      <c r="H30" s="569"/>
      <c r="I30" s="570"/>
      <c r="J30" s="238">
        <f t="shared" si="0"/>
        <v>0</v>
      </c>
      <c r="K30" s="572"/>
      <c r="L30" s="572"/>
      <c r="M30" s="22">
        <f t="shared" si="1"/>
      </c>
      <c r="N30" s="23">
        <f t="shared" si="2"/>
      </c>
      <c r="O30" s="573"/>
      <c r="P30" s="21">
        <f t="shared" si="3"/>
      </c>
      <c r="Q30" s="627">
        <f t="shared" si="4"/>
      </c>
      <c r="R30" s="21">
        <f t="shared" si="5"/>
      </c>
      <c r="S30" s="303">
        <f t="shared" si="6"/>
        <v>3</v>
      </c>
      <c r="T30" s="628" t="str">
        <f t="shared" si="7"/>
        <v>--</v>
      </c>
      <c r="U30" s="629" t="str">
        <f t="shared" si="8"/>
        <v>--</v>
      </c>
      <c r="V30" s="318" t="str">
        <f t="shared" si="9"/>
        <v>--</v>
      </c>
      <c r="W30" s="319" t="str">
        <f t="shared" si="10"/>
        <v>--</v>
      </c>
      <c r="X30" s="325" t="str">
        <f t="shared" si="11"/>
        <v>--</v>
      </c>
      <c r="Y30" s="326" t="str">
        <f t="shared" si="12"/>
        <v>--</v>
      </c>
      <c r="Z30" s="330" t="str">
        <f t="shared" si="13"/>
        <v>--</v>
      </c>
      <c r="AA30" s="335" t="str">
        <f t="shared" si="14"/>
        <v>--</v>
      </c>
      <c r="AB30" s="21">
        <f t="shared" si="16"/>
      </c>
      <c r="AC30" s="541">
        <f t="shared" si="15"/>
      </c>
      <c r="AD30" s="500"/>
    </row>
    <row r="31" spans="1:30" s="488" customFormat="1" ht="16.5" customHeight="1">
      <c r="A31" s="487"/>
      <c r="B31" s="499"/>
      <c r="C31" s="568"/>
      <c r="D31" s="568"/>
      <c r="E31" s="568"/>
      <c r="F31" s="447"/>
      <c r="G31" s="446"/>
      <c r="H31" s="569"/>
      <c r="I31" s="570"/>
      <c r="J31" s="238">
        <f t="shared" si="0"/>
        <v>0</v>
      </c>
      <c r="K31" s="572"/>
      <c r="L31" s="572"/>
      <c r="M31" s="22">
        <f t="shared" si="1"/>
      </c>
      <c r="N31" s="23">
        <f t="shared" si="2"/>
      </c>
      <c r="O31" s="573"/>
      <c r="P31" s="21">
        <f t="shared" si="3"/>
      </c>
      <c r="Q31" s="627">
        <f t="shared" si="4"/>
      </c>
      <c r="R31" s="21">
        <f t="shared" si="5"/>
      </c>
      <c r="S31" s="303">
        <f t="shared" si="6"/>
        <v>3</v>
      </c>
      <c r="T31" s="628" t="str">
        <f t="shared" si="7"/>
        <v>--</v>
      </c>
      <c r="U31" s="629" t="str">
        <f t="shared" si="8"/>
        <v>--</v>
      </c>
      <c r="V31" s="318" t="str">
        <f t="shared" si="9"/>
        <v>--</v>
      </c>
      <c r="W31" s="319" t="str">
        <f t="shared" si="10"/>
        <v>--</v>
      </c>
      <c r="X31" s="325" t="str">
        <f t="shared" si="11"/>
        <v>--</v>
      </c>
      <c r="Y31" s="326" t="str">
        <f t="shared" si="12"/>
        <v>--</v>
      </c>
      <c r="Z31" s="330" t="str">
        <f t="shared" si="13"/>
        <v>--</v>
      </c>
      <c r="AA31" s="335" t="str">
        <f t="shared" si="14"/>
        <v>--</v>
      </c>
      <c r="AB31" s="21">
        <f t="shared" si="16"/>
      </c>
      <c r="AC31" s="541">
        <f t="shared" si="15"/>
      </c>
      <c r="AD31" s="500"/>
    </row>
    <row r="32" spans="1:30" s="488" customFormat="1" ht="16.5" customHeight="1">
      <c r="A32" s="487"/>
      <c r="B32" s="499"/>
      <c r="C32" s="568"/>
      <c r="D32" s="568"/>
      <c r="E32" s="568"/>
      <c r="F32" s="447"/>
      <c r="G32" s="446"/>
      <c r="H32" s="569"/>
      <c r="I32" s="570"/>
      <c r="J32" s="238">
        <f t="shared" si="0"/>
        <v>0</v>
      </c>
      <c r="K32" s="572"/>
      <c r="L32" s="572"/>
      <c r="M32" s="22">
        <f t="shared" si="1"/>
      </c>
      <c r="N32" s="23">
        <f t="shared" si="2"/>
      </c>
      <c r="O32" s="573"/>
      <c r="P32" s="21">
        <f t="shared" si="3"/>
      </c>
      <c r="Q32" s="627">
        <f t="shared" si="4"/>
      </c>
      <c r="R32" s="21">
        <f t="shared" si="5"/>
      </c>
      <c r="S32" s="303">
        <f t="shared" si="6"/>
        <v>3</v>
      </c>
      <c r="T32" s="628" t="str">
        <f t="shared" si="7"/>
        <v>--</v>
      </c>
      <c r="U32" s="629" t="str">
        <f t="shared" si="8"/>
        <v>--</v>
      </c>
      <c r="V32" s="318" t="str">
        <f t="shared" si="9"/>
        <v>--</v>
      </c>
      <c r="W32" s="319" t="str">
        <f t="shared" si="10"/>
        <v>--</v>
      </c>
      <c r="X32" s="325" t="str">
        <f t="shared" si="11"/>
        <v>--</v>
      </c>
      <c r="Y32" s="326" t="str">
        <f t="shared" si="12"/>
        <v>--</v>
      </c>
      <c r="Z32" s="330" t="str">
        <f t="shared" si="13"/>
        <v>--</v>
      </c>
      <c r="AA32" s="335" t="str">
        <f t="shared" si="14"/>
        <v>--</v>
      </c>
      <c r="AB32" s="21">
        <f t="shared" si="16"/>
      </c>
      <c r="AC32" s="541">
        <f t="shared" si="15"/>
      </c>
      <c r="AD32" s="500"/>
    </row>
    <row r="33" spans="1:30" s="488" customFormat="1" ht="16.5" customHeight="1" thickBot="1">
      <c r="A33" s="487"/>
      <c r="B33" s="499"/>
      <c r="C33" s="571"/>
      <c r="D33" s="571"/>
      <c r="E33" s="571"/>
      <c r="F33" s="571"/>
      <c r="G33" s="637"/>
      <c r="H33" s="571"/>
      <c r="I33" s="571"/>
      <c r="J33" s="544"/>
      <c r="K33" s="571"/>
      <c r="L33" s="571"/>
      <c r="M33" s="543"/>
      <c r="N33" s="543"/>
      <c r="O33" s="571"/>
      <c r="P33" s="571"/>
      <c r="Q33" s="571"/>
      <c r="R33" s="571"/>
      <c r="S33" s="574"/>
      <c r="T33" s="575"/>
      <c r="U33" s="576"/>
      <c r="V33" s="577"/>
      <c r="W33" s="578"/>
      <c r="X33" s="579"/>
      <c r="Y33" s="580"/>
      <c r="Z33" s="581"/>
      <c r="AA33" s="582"/>
      <c r="AB33" s="571"/>
      <c r="AC33" s="545"/>
      <c r="AD33" s="500"/>
    </row>
    <row r="34" spans="1:30" s="488" customFormat="1" ht="16.5" customHeight="1" thickBot="1" thickTop="1">
      <c r="A34" s="487"/>
      <c r="B34" s="499"/>
      <c r="C34" s="668" t="s">
        <v>148</v>
      </c>
      <c r="D34" s="667" t="s">
        <v>149</v>
      </c>
      <c r="E34" s="217"/>
      <c r="F34" s="21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546">
        <f aca="true" t="shared" si="17" ref="T34:AA34">SUM(T21:T33)</f>
        <v>20.309939999999997</v>
      </c>
      <c r="U34" s="547">
        <f t="shared" si="17"/>
        <v>0</v>
      </c>
      <c r="V34" s="548">
        <f t="shared" si="17"/>
        <v>0</v>
      </c>
      <c r="W34" s="548">
        <f t="shared" si="17"/>
        <v>0</v>
      </c>
      <c r="X34" s="549">
        <f t="shared" si="17"/>
        <v>0</v>
      </c>
      <c r="Y34" s="549">
        <f t="shared" si="17"/>
        <v>0</v>
      </c>
      <c r="Z34" s="550">
        <f t="shared" si="17"/>
        <v>0</v>
      </c>
      <c r="AA34" s="551">
        <f t="shared" si="17"/>
        <v>0</v>
      </c>
      <c r="AB34" s="552"/>
      <c r="AC34" s="553">
        <f>ROUND(SUM(AC21:AC33),2)</f>
        <v>20.31</v>
      </c>
      <c r="AD34" s="500"/>
    </row>
    <row r="35" spans="1:30" s="561" customFormat="1" ht="9.75" thickTop="1">
      <c r="A35" s="554"/>
      <c r="B35" s="555"/>
      <c r="C35" s="556"/>
      <c r="D35" s="556"/>
      <c r="E35" s="556"/>
      <c r="F35" s="214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8"/>
      <c r="U35" s="558"/>
      <c r="V35" s="558"/>
      <c r="W35" s="558"/>
      <c r="X35" s="558"/>
      <c r="Y35" s="558"/>
      <c r="Z35" s="558"/>
      <c r="AA35" s="558"/>
      <c r="AB35" s="557"/>
      <c r="AC35" s="559"/>
      <c r="AD35" s="560"/>
    </row>
    <row r="36" spans="1:30" s="488" customFormat="1" ht="16.5" customHeight="1" thickBot="1">
      <c r="A36" s="487"/>
      <c r="B36" s="562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4"/>
    </row>
    <row r="37" spans="2:30" ht="16.5" customHeight="1" thickTop="1"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7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37"/>
  <sheetViews>
    <sheetView zoomScale="70" zoomScaleNormal="70" workbookViewId="0" topLeftCell="A1">
      <selection activeCell="A43" sqref="A43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4" width="12.140625" style="0" customWidth="1"/>
    <col min="5" max="5" width="12.5742187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3.28125" style="0" customWidth="1"/>
    <col min="30" max="30" width="4.00390625" style="0" customWidth="1"/>
  </cols>
  <sheetData>
    <row r="1" spans="5:30" s="94" customFormat="1" ht="26.25"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441"/>
    </row>
    <row r="2" spans="2:30" s="94" customFormat="1" ht="26.25">
      <c r="B2" s="95" t="str">
        <f>+'TOT-0411'!B2</f>
        <v>ANEXO IV al Memorandum D.T.E.E.  N° 482 /2012</v>
      </c>
      <c r="C2" s="96"/>
      <c r="D2" s="96"/>
      <c r="E2" s="155"/>
      <c r="F2" s="155"/>
      <c r="G2" s="9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5:30" s="9" customFormat="1" ht="12.75"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97" customFormat="1" ht="11.25">
      <c r="A4" s="613" t="s">
        <v>21</v>
      </c>
      <c r="C4" s="612"/>
      <c r="D4" s="612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</row>
    <row r="5" spans="1:30" s="97" customFormat="1" ht="11.25">
      <c r="A5" s="613" t="s">
        <v>132</v>
      </c>
      <c r="C5" s="612"/>
      <c r="D5" s="612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30" s="9" customFormat="1" ht="13.5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1:30" s="9" customFormat="1" ht="13.5" thickTop="1">
      <c r="A7" s="153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8"/>
    </row>
    <row r="8" spans="1:30" s="99" customFormat="1" ht="20.25">
      <c r="A8" s="172"/>
      <c r="B8" s="173"/>
      <c r="C8" s="161"/>
      <c r="D8" s="161"/>
      <c r="E8" s="161"/>
      <c r="F8" s="19" t="s">
        <v>41</v>
      </c>
      <c r="H8" s="161"/>
      <c r="I8" s="172"/>
      <c r="J8" s="172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74"/>
    </row>
    <row r="9" spans="1:30" s="99" customFormat="1" ht="7.5" customHeight="1">
      <c r="A9" s="172"/>
      <c r="B9" s="173"/>
      <c r="C9" s="161"/>
      <c r="D9" s="161"/>
      <c r="E9" s="161"/>
      <c r="F9" s="19"/>
      <c r="H9" s="161"/>
      <c r="I9" s="172"/>
      <c r="J9" s="172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74"/>
    </row>
    <row r="10" spans="1:30" s="9" customFormat="1" ht="7.5" customHeight="1">
      <c r="A10" s="153"/>
      <c r="B10" s="159"/>
      <c r="C10" s="25"/>
      <c r="D10" s="25"/>
      <c r="E10" s="25"/>
      <c r="F10" s="25"/>
      <c r="G10" s="25"/>
      <c r="H10" s="25"/>
      <c r="I10" s="153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9"/>
    </row>
    <row r="11" spans="1:30" s="99" customFormat="1" ht="20.25">
      <c r="A11" s="172"/>
      <c r="B11" s="173"/>
      <c r="C11" s="161"/>
      <c r="D11" s="161"/>
      <c r="E11" s="161"/>
      <c r="F11" s="201" t="s">
        <v>81</v>
      </c>
      <c r="G11" s="161"/>
      <c r="H11" s="161"/>
      <c r="I11" s="172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74"/>
    </row>
    <row r="12" spans="1:30" s="99" customFormat="1" ht="8.25" customHeight="1">
      <c r="A12" s="172"/>
      <c r="B12" s="173"/>
      <c r="C12" s="161"/>
      <c r="D12" s="161"/>
      <c r="E12" s="161"/>
      <c r="F12" s="201"/>
      <c r="G12" s="161"/>
      <c r="H12" s="161"/>
      <c r="I12" s="172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74"/>
    </row>
    <row r="13" spans="1:30" s="9" customFormat="1" ht="8.25" customHeight="1">
      <c r="A13" s="153"/>
      <c r="B13" s="159"/>
      <c r="C13" s="25"/>
      <c r="D13" s="25"/>
      <c r="E13" s="25"/>
      <c r="F13" s="108"/>
      <c r="G13" s="163"/>
      <c r="H13" s="163"/>
      <c r="I13" s="164"/>
      <c r="J13" s="16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9"/>
    </row>
    <row r="14" spans="1:30" s="106" customFormat="1" ht="19.5">
      <c r="A14" s="178"/>
      <c r="B14" s="73" t="str">
        <f>+'TOT-0411'!B14</f>
        <v>Desde el 01 al 30 de abril de 2011</v>
      </c>
      <c r="C14" s="179"/>
      <c r="D14" s="179"/>
      <c r="E14" s="179"/>
      <c r="F14" s="179"/>
      <c r="G14" s="179"/>
      <c r="H14" s="179"/>
      <c r="I14" s="180"/>
      <c r="J14" s="179"/>
      <c r="K14" s="103"/>
      <c r="L14" s="103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81"/>
    </row>
    <row r="15" spans="1:30" s="80" customFormat="1" ht="8.25" customHeight="1">
      <c r="A15" s="77"/>
      <c r="B15" s="78"/>
      <c r="C15" s="77"/>
      <c r="D15" s="77"/>
      <c r="E15" s="77"/>
      <c r="F15" s="605"/>
      <c r="G15" s="606"/>
      <c r="H15" s="607"/>
      <c r="I15" s="77"/>
      <c r="K15" s="82"/>
      <c r="L15" s="83"/>
      <c r="M15" s="20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9"/>
    </row>
    <row r="16" spans="1:30" s="9" customFormat="1" ht="8.25" customHeight="1" thickBot="1">
      <c r="A16" s="153"/>
      <c r="B16" s="159"/>
      <c r="C16" s="25"/>
      <c r="D16" s="25"/>
      <c r="E16" s="25"/>
      <c r="F16" s="25"/>
      <c r="G16" s="25"/>
      <c r="H16" s="25"/>
      <c r="I16" s="61"/>
      <c r="J16" s="25"/>
      <c r="K16" s="169"/>
      <c r="L16" s="17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9"/>
    </row>
    <row r="17" spans="1:30" s="9" customFormat="1" ht="16.5" customHeight="1" thickBot="1" thickTop="1">
      <c r="A17" s="153"/>
      <c r="B17" s="159"/>
      <c r="C17" s="25"/>
      <c r="D17" s="25"/>
      <c r="E17" s="25"/>
      <c r="F17" s="182" t="s">
        <v>68</v>
      </c>
      <c r="G17" s="183"/>
      <c r="H17" s="184"/>
      <c r="I17" s="185">
        <v>0.243</v>
      </c>
      <c r="J17" s="15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9"/>
    </row>
    <row r="18" spans="1:30" s="9" customFormat="1" ht="16.5" customHeight="1" thickBot="1" thickTop="1">
      <c r="A18" s="153"/>
      <c r="B18" s="159"/>
      <c r="C18" s="25"/>
      <c r="D18" s="25"/>
      <c r="E18" s="25"/>
      <c r="F18" s="186" t="s">
        <v>69</v>
      </c>
      <c r="G18" s="187"/>
      <c r="H18" s="187"/>
      <c r="I18" s="188">
        <f>30*'TOT-0411'!B13</f>
        <v>30</v>
      </c>
      <c r="J18" s="25"/>
      <c r="K18" s="207" t="str">
        <f>IF(I18=30," ",IF(I18=60,"Coeficiente duplicado por tasa de falla &gt;4 Sal. x año/100 km.","REVISAR COEFICIENTE"))</f>
        <v> 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165"/>
      <c r="X18" s="165"/>
      <c r="Y18" s="165"/>
      <c r="Z18" s="165"/>
      <c r="AA18" s="165"/>
      <c r="AB18" s="165"/>
      <c r="AC18" s="165"/>
      <c r="AD18" s="29"/>
    </row>
    <row r="19" spans="1:30" s="80" customFormat="1" ht="8.25" customHeight="1" thickBot="1" thickTop="1">
      <c r="A19" s="77"/>
      <c r="B19" s="78"/>
      <c r="C19" s="77"/>
      <c r="D19" s="77"/>
      <c r="E19" s="77"/>
      <c r="F19" s="605"/>
      <c r="G19" s="606"/>
      <c r="H19" s="607"/>
      <c r="I19" s="77"/>
      <c r="K19" s="82"/>
      <c r="L19" s="83"/>
      <c r="M19" s="20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9"/>
    </row>
    <row r="20" spans="1:30" s="93" customFormat="1" ht="33.75" customHeight="1" thickBot="1" thickTop="1">
      <c r="A20" s="189"/>
      <c r="B20" s="190"/>
      <c r="C20" s="192" t="s">
        <v>47</v>
      </c>
      <c r="D20" s="86" t="s">
        <v>131</v>
      </c>
      <c r="E20" s="86" t="s">
        <v>130</v>
      </c>
      <c r="F20" s="197" t="s">
        <v>70</v>
      </c>
      <c r="G20" s="193" t="s">
        <v>19</v>
      </c>
      <c r="H20" s="194" t="s">
        <v>71</v>
      </c>
      <c r="I20" s="195" t="s">
        <v>48</v>
      </c>
      <c r="J20" s="235" t="s">
        <v>50</v>
      </c>
      <c r="K20" s="196" t="s">
        <v>72</v>
      </c>
      <c r="L20" s="196" t="s">
        <v>73</v>
      </c>
      <c r="M20" s="197" t="s">
        <v>74</v>
      </c>
      <c r="N20" s="197" t="s">
        <v>75</v>
      </c>
      <c r="O20" s="90" t="s">
        <v>55</v>
      </c>
      <c r="P20" s="198" t="s">
        <v>76</v>
      </c>
      <c r="Q20" s="197" t="s">
        <v>77</v>
      </c>
      <c r="R20" s="193" t="s">
        <v>78</v>
      </c>
      <c r="S20" s="301" t="s">
        <v>79</v>
      </c>
      <c r="T20" s="287" t="s">
        <v>57</v>
      </c>
      <c r="U20" s="309" t="s">
        <v>58</v>
      </c>
      <c r="V20" s="314" t="s">
        <v>80</v>
      </c>
      <c r="W20" s="315"/>
      <c r="X20" s="321" t="s">
        <v>80</v>
      </c>
      <c r="Y20" s="322"/>
      <c r="Z20" s="328" t="s">
        <v>61</v>
      </c>
      <c r="AA20" s="333" t="s">
        <v>62</v>
      </c>
      <c r="AB20" s="195" t="s">
        <v>63</v>
      </c>
      <c r="AC20" s="195" t="s">
        <v>64</v>
      </c>
      <c r="AD20" s="191"/>
    </row>
    <row r="21" spans="1:30" s="9" customFormat="1" ht="16.5" customHeight="1" thickTop="1">
      <c r="A21" s="153"/>
      <c r="B21" s="159"/>
      <c r="C21" s="16"/>
      <c r="D21" s="16"/>
      <c r="E21" s="16"/>
      <c r="F21" s="17"/>
      <c r="G21" s="17"/>
      <c r="H21" s="17"/>
      <c r="I21" s="17"/>
      <c r="J21" s="240"/>
      <c r="K21" s="18"/>
      <c r="L21" s="17"/>
      <c r="M21" s="18"/>
      <c r="N21" s="18"/>
      <c r="O21" s="17"/>
      <c r="P21" s="17"/>
      <c r="Q21" s="17"/>
      <c r="R21" s="17"/>
      <c r="S21" s="302"/>
      <c r="T21" s="305"/>
      <c r="U21" s="310"/>
      <c r="V21" s="316"/>
      <c r="W21" s="317"/>
      <c r="X21" s="323"/>
      <c r="Y21" s="324"/>
      <c r="Z21" s="329"/>
      <c r="AA21" s="334"/>
      <c r="AB21" s="17"/>
      <c r="AC21" s="199"/>
      <c r="AD21" s="29"/>
    </row>
    <row r="22" spans="1:30" s="9" customFormat="1" ht="16.5" customHeight="1">
      <c r="A22" s="153"/>
      <c r="B22" s="159"/>
      <c r="C22" s="568">
        <v>6</v>
      </c>
      <c r="D22" s="568">
        <v>233253</v>
      </c>
      <c r="E22" s="568">
        <v>4970</v>
      </c>
      <c r="F22" s="447" t="s">
        <v>150</v>
      </c>
      <c r="G22" s="446" t="s">
        <v>10</v>
      </c>
      <c r="H22" s="636">
        <v>15</v>
      </c>
      <c r="I22" s="608" t="s">
        <v>151</v>
      </c>
      <c r="J22" s="238">
        <f aca="true" t="shared" si="0" ref="J22:J32">H22*$I$17</f>
        <v>3.645</v>
      </c>
      <c r="K22" s="572">
        <v>40639.36875</v>
      </c>
      <c r="L22" s="572">
        <v>40639.61666666667</v>
      </c>
      <c r="M22" s="22">
        <f aca="true" t="shared" si="1" ref="M22:M32">IF(F22="","",(L22-K22)*24)</f>
        <v>5.9500000000116415</v>
      </c>
      <c r="N22" s="23">
        <f aca="true" t="shared" si="2" ref="N22:N32">IF(F22="","",ROUND((L22-K22)*24*60,0))</f>
        <v>357</v>
      </c>
      <c r="O22" s="573" t="s">
        <v>138</v>
      </c>
      <c r="P22" s="21" t="str">
        <f aca="true" t="shared" si="3" ref="P22:P32">IF(F22="","",IF(OR(O22="P",O22="RP"),"--","NO"))</f>
        <v>--</v>
      </c>
      <c r="Q22" s="627" t="str">
        <f aca="true" t="shared" si="4" ref="Q22:Q32">IF(F22="","","--")</f>
        <v>--</v>
      </c>
      <c r="R22" s="21" t="str">
        <f aca="true" t="shared" si="5" ref="R22:R32">IF(F22="","","NO")</f>
        <v>NO</v>
      </c>
      <c r="S22" s="303">
        <f aca="true" t="shared" si="6" ref="S22:S32">$I$18*IF(OR(O22="P",O22="RP"),0.1,1)*IF(R22="SI",1,0.1)</f>
        <v>0.30000000000000004</v>
      </c>
      <c r="T22" s="306">
        <f aca="true" t="shared" si="7" ref="T22:T32">IF(O22="P",J22*S22*ROUND(N22/60,2),"--")</f>
        <v>6.506325000000001</v>
      </c>
      <c r="U22" s="311" t="str">
        <f aca="true" t="shared" si="8" ref="U22:U32">IF(O22="RP",J22*S22*ROUND(N22/60,2)*Q22/100,"--")</f>
        <v>--</v>
      </c>
      <c r="V22" s="318" t="str">
        <f aca="true" t="shared" si="9" ref="V22:V32">IF(AND(O22="F",P22="NO"),J22*S22,"--")</f>
        <v>--</v>
      </c>
      <c r="W22" s="319" t="str">
        <f aca="true" t="shared" si="10" ref="W22:W32">IF(O22="F",J22*S22*ROUND(N22/60,2),"--")</f>
        <v>--</v>
      </c>
      <c r="X22" s="325" t="str">
        <f aca="true" t="shared" si="11" ref="X22:X32">IF(AND(O22="R",P22="NO"),J22*S22*Q22/100,"--")</f>
        <v>--</v>
      </c>
      <c r="Y22" s="326" t="str">
        <f aca="true" t="shared" si="12" ref="Y22:Y32">IF(O22="R",J22*S22*ROUND(N22/60,2)*Q22/100,"--")</f>
        <v>--</v>
      </c>
      <c r="Z22" s="330" t="str">
        <f aca="true" t="shared" si="13" ref="Z22:Z32">IF(O22="RF",J22*S22*ROUND(N22/60,2),"--")</f>
        <v>--</v>
      </c>
      <c r="AA22" s="335" t="str">
        <f aca="true" t="shared" si="14" ref="AA22:AA32">IF(O22="RR",J22*S22*ROUND(N22/60,2)*Q22/100,"--")</f>
        <v>--</v>
      </c>
      <c r="AB22" s="21" t="s">
        <v>139</v>
      </c>
      <c r="AC22" s="53">
        <f aca="true" t="shared" si="15" ref="AC22:AC32">IF(F22="","",SUM(T22:AA22)*IF(AB22="SI",1,2))</f>
        <v>6.506325000000001</v>
      </c>
      <c r="AD22" s="345"/>
    </row>
    <row r="23" spans="1:30" s="9" customFormat="1" ht="16.5" customHeight="1">
      <c r="A23" s="153"/>
      <c r="B23" s="159"/>
      <c r="C23" s="568"/>
      <c r="D23" s="568"/>
      <c r="E23" s="568"/>
      <c r="F23" s="447"/>
      <c r="G23" s="446"/>
      <c r="H23" s="569"/>
      <c r="I23" s="570"/>
      <c r="J23" s="238">
        <f t="shared" si="0"/>
        <v>0</v>
      </c>
      <c r="K23" s="572"/>
      <c r="L23" s="572"/>
      <c r="M23" s="22">
        <f t="shared" si="1"/>
      </c>
      <c r="N23" s="23">
        <f t="shared" si="2"/>
      </c>
      <c r="O23" s="573"/>
      <c r="P23" s="21">
        <f t="shared" si="3"/>
      </c>
      <c r="Q23" s="627">
        <f t="shared" si="4"/>
      </c>
      <c r="R23" s="21">
        <f t="shared" si="5"/>
      </c>
      <c r="S23" s="303">
        <f t="shared" si="6"/>
        <v>3</v>
      </c>
      <c r="T23" s="306" t="str">
        <f t="shared" si="7"/>
        <v>--</v>
      </c>
      <c r="U23" s="311" t="str">
        <f t="shared" si="8"/>
        <v>--</v>
      </c>
      <c r="V23" s="318" t="str">
        <f t="shared" si="9"/>
        <v>--</v>
      </c>
      <c r="W23" s="319" t="str">
        <f t="shared" si="10"/>
        <v>--</v>
      </c>
      <c r="X23" s="325" t="str">
        <f t="shared" si="11"/>
        <v>--</v>
      </c>
      <c r="Y23" s="326" t="str">
        <f t="shared" si="12"/>
        <v>--</v>
      </c>
      <c r="Z23" s="330" t="str">
        <f t="shared" si="13"/>
        <v>--</v>
      </c>
      <c r="AA23" s="335" t="str">
        <f t="shared" si="14"/>
        <v>--</v>
      </c>
      <c r="AB23" s="21">
        <f aca="true" t="shared" si="16" ref="AB23:AB32">IF(F23="","","SI")</f>
      </c>
      <c r="AC23" s="53">
        <f t="shared" si="15"/>
      </c>
      <c r="AD23" s="345"/>
    </row>
    <row r="24" spans="1:30" s="9" customFormat="1" ht="16.5" customHeight="1">
      <c r="A24" s="153"/>
      <c r="B24" s="159"/>
      <c r="C24" s="568"/>
      <c r="D24" s="568"/>
      <c r="E24" s="568"/>
      <c r="F24" s="447"/>
      <c r="G24" s="446"/>
      <c r="H24" s="569"/>
      <c r="I24" s="570"/>
      <c r="J24" s="238">
        <f t="shared" si="0"/>
        <v>0</v>
      </c>
      <c r="K24" s="572"/>
      <c r="L24" s="572"/>
      <c r="M24" s="22">
        <f t="shared" si="1"/>
      </c>
      <c r="N24" s="23">
        <f t="shared" si="2"/>
      </c>
      <c r="O24" s="573"/>
      <c r="P24" s="21">
        <f t="shared" si="3"/>
      </c>
      <c r="Q24" s="627">
        <f t="shared" si="4"/>
      </c>
      <c r="R24" s="21">
        <f t="shared" si="5"/>
      </c>
      <c r="S24" s="303">
        <f t="shared" si="6"/>
        <v>3</v>
      </c>
      <c r="T24" s="306" t="str">
        <f t="shared" si="7"/>
        <v>--</v>
      </c>
      <c r="U24" s="311" t="str">
        <f t="shared" si="8"/>
        <v>--</v>
      </c>
      <c r="V24" s="318" t="str">
        <f t="shared" si="9"/>
        <v>--</v>
      </c>
      <c r="W24" s="319" t="str">
        <f t="shared" si="10"/>
        <v>--</v>
      </c>
      <c r="X24" s="325" t="str">
        <f t="shared" si="11"/>
        <v>--</v>
      </c>
      <c r="Y24" s="326" t="str">
        <f t="shared" si="12"/>
        <v>--</v>
      </c>
      <c r="Z24" s="330" t="str">
        <f t="shared" si="13"/>
        <v>--</v>
      </c>
      <c r="AA24" s="335" t="str">
        <f t="shared" si="14"/>
        <v>--</v>
      </c>
      <c r="AB24" s="21">
        <f t="shared" si="16"/>
      </c>
      <c r="AC24" s="53">
        <f t="shared" si="15"/>
      </c>
      <c r="AD24" s="345"/>
    </row>
    <row r="25" spans="1:30" s="9" customFormat="1" ht="16.5" customHeight="1">
      <c r="A25" s="153"/>
      <c r="B25" s="159"/>
      <c r="C25" s="568"/>
      <c r="D25" s="568"/>
      <c r="E25" s="568"/>
      <c r="F25" s="447"/>
      <c r="G25" s="446"/>
      <c r="H25" s="569"/>
      <c r="I25" s="570"/>
      <c r="J25" s="238">
        <f t="shared" si="0"/>
        <v>0</v>
      </c>
      <c r="K25" s="572"/>
      <c r="L25" s="572"/>
      <c r="M25" s="22">
        <f t="shared" si="1"/>
      </c>
      <c r="N25" s="23">
        <f t="shared" si="2"/>
      </c>
      <c r="O25" s="573"/>
      <c r="P25" s="21">
        <f t="shared" si="3"/>
      </c>
      <c r="Q25" s="627">
        <f t="shared" si="4"/>
      </c>
      <c r="R25" s="21">
        <f t="shared" si="5"/>
      </c>
      <c r="S25" s="303">
        <f t="shared" si="6"/>
        <v>3</v>
      </c>
      <c r="T25" s="306" t="str">
        <f t="shared" si="7"/>
        <v>--</v>
      </c>
      <c r="U25" s="311" t="str">
        <f t="shared" si="8"/>
        <v>--</v>
      </c>
      <c r="V25" s="318" t="str">
        <f t="shared" si="9"/>
        <v>--</v>
      </c>
      <c r="W25" s="319" t="str">
        <f t="shared" si="10"/>
        <v>--</v>
      </c>
      <c r="X25" s="325" t="str">
        <f t="shared" si="11"/>
        <v>--</v>
      </c>
      <c r="Y25" s="326" t="str">
        <f t="shared" si="12"/>
        <v>--</v>
      </c>
      <c r="Z25" s="330" t="str">
        <f t="shared" si="13"/>
        <v>--</v>
      </c>
      <c r="AA25" s="335" t="str">
        <f t="shared" si="14"/>
        <v>--</v>
      </c>
      <c r="AB25" s="21">
        <f t="shared" si="16"/>
      </c>
      <c r="AC25" s="53">
        <f t="shared" si="15"/>
      </c>
      <c r="AD25" s="345"/>
    </row>
    <row r="26" spans="1:30" s="9" customFormat="1" ht="16.5" customHeight="1">
      <c r="A26" s="153"/>
      <c r="B26" s="159"/>
      <c r="C26" s="568"/>
      <c r="D26" s="568"/>
      <c r="E26" s="568"/>
      <c r="F26" s="447"/>
      <c r="G26" s="446"/>
      <c r="H26" s="569"/>
      <c r="I26" s="570"/>
      <c r="J26" s="238">
        <f t="shared" si="0"/>
        <v>0</v>
      </c>
      <c r="K26" s="572"/>
      <c r="L26" s="572"/>
      <c r="M26" s="22">
        <f t="shared" si="1"/>
      </c>
      <c r="N26" s="23">
        <f t="shared" si="2"/>
      </c>
      <c r="O26" s="573"/>
      <c r="P26" s="21">
        <f t="shared" si="3"/>
      </c>
      <c r="Q26" s="627">
        <f t="shared" si="4"/>
      </c>
      <c r="R26" s="21">
        <f t="shared" si="5"/>
      </c>
      <c r="S26" s="303">
        <f t="shared" si="6"/>
        <v>3</v>
      </c>
      <c r="T26" s="306" t="str">
        <f t="shared" si="7"/>
        <v>--</v>
      </c>
      <c r="U26" s="311" t="str">
        <f t="shared" si="8"/>
        <v>--</v>
      </c>
      <c r="V26" s="318" t="str">
        <f t="shared" si="9"/>
        <v>--</v>
      </c>
      <c r="W26" s="319" t="str">
        <f t="shared" si="10"/>
        <v>--</v>
      </c>
      <c r="X26" s="325" t="str">
        <f t="shared" si="11"/>
        <v>--</v>
      </c>
      <c r="Y26" s="326" t="str">
        <f t="shared" si="12"/>
        <v>--</v>
      </c>
      <c r="Z26" s="330" t="str">
        <f t="shared" si="13"/>
        <v>--</v>
      </c>
      <c r="AA26" s="335" t="str">
        <f t="shared" si="14"/>
        <v>--</v>
      </c>
      <c r="AB26" s="21">
        <f t="shared" si="16"/>
      </c>
      <c r="AC26" s="53">
        <f t="shared" si="15"/>
      </c>
      <c r="AD26" s="345"/>
    </row>
    <row r="27" spans="1:30" s="9" customFormat="1" ht="16.5" customHeight="1">
      <c r="A27" s="153"/>
      <c r="B27" s="159"/>
      <c r="C27" s="568"/>
      <c r="D27" s="568"/>
      <c r="E27" s="568"/>
      <c r="F27" s="447"/>
      <c r="G27" s="446"/>
      <c r="H27" s="569"/>
      <c r="I27" s="570"/>
      <c r="J27" s="238">
        <f t="shared" si="0"/>
        <v>0</v>
      </c>
      <c r="K27" s="572"/>
      <c r="L27" s="572"/>
      <c r="M27" s="22">
        <f t="shared" si="1"/>
      </c>
      <c r="N27" s="23">
        <f t="shared" si="2"/>
      </c>
      <c r="O27" s="573"/>
      <c r="P27" s="21">
        <f t="shared" si="3"/>
      </c>
      <c r="Q27" s="627">
        <f t="shared" si="4"/>
      </c>
      <c r="R27" s="21">
        <f t="shared" si="5"/>
      </c>
      <c r="S27" s="303">
        <f t="shared" si="6"/>
        <v>3</v>
      </c>
      <c r="T27" s="306" t="str">
        <f t="shared" si="7"/>
        <v>--</v>
      </c>
      <c r="U27" s="311" t="str">
        <f t="shared" si="8"/>
        <v>--</v>
      </c>
      <c r="V27" s="318" t="str">
        <f t="shared" si="9"/>
        <v>--</v>
      </c>
      <c r="W27" s="319" t="str">
        <f t="shared" si="10"/>
        <v>--</v>
      </c>
      <c r="X27" s="325" t="str">
        <f t="shared" si="11"/>
        <v>--</v>
      </c>
      <c r="Y27" s="326" t="str">
        <f t="shared" si="12"/>
        <v>--</v>
      </c>
      <c r="Z27" s="330" t="str">
        <f t="shared" si="13"/>
        <v>--</v>
      </c>
      <c r="AA27" s="335" t="str">
        <f t="shared" si="14"/>
        <v>--</v>
      </c>
      <c r="AB27" s="21">
        <f t="shared" si="16"/>
      </c>
      <c r="AC27" s="53">
        <f t="shared" si="15"/>
      </c>
      <c r="AD27" s="29"/>
    </row>
    <row r="28" spans="1:30" s="9" customFormat="1" ht="16.5" customHeight="1">
      <c r="A28" s="153"/>
      <c r="B28" s="159"/>
      <c r="C28" s="568"/>
      <c r="D28" s="568"/>
      <c r="E28" s="568"/>
      <c r="F28" s="447"/>
      <c r="G28" s="446"/>
      <c r="H28" s="569"/>
      <c r="I28" s="570"/>
      <c r="J28" s="238">
        <f t="shared" si="0"/>
        <v>0</v>
      </c>
      <c r="K28" s="572"/>
      <c r="L28" s="572"/>
      <c r="M28" s="22">
        <f t="shared" si="1"/>
      </c>
      <c r="N28" s="23">
        <f t="shared" si="2"/>
      </c>
      <c r="O28" s="573"/>
      <c r="P28" s="21">
        <f t="shared" si="3"/>
      </c>
      <c r="Q28" s="627">
        <f t="shared" si="4"/>
      </c>
      <c r="R28" s="21">
        <f t="shared" si="5"/>
      </c>
      <c r="S28" s="303">
        <f t="shared" si="6"/>
        <v>3</v>
      </c>
      <c r="T28" s="306" t="str">
        <f t="shared" si="7"/>
        <v>--</v>
      </c>
      <c r="U28" s="311" t="str">
        <f t="shared" si="8"/>
        <v>--</v>
      </c>
      <c r="V28" s="318" t="str">
        <f t="shared" si="9"/>
        <v>--</v>
      </c>
      <c r="W28" s="319" t="str">
        <f t="shared" si="10"/>
        <v>--</v>
      </c>
      <c r="X28" s="325" t="str">
        <f t="shared" si="11"/>
        <v>--</v>
      </c>
      <c r="Y28" s="326" t="str">
        <f t="shared" si="12"/>
        <v>--</v>
      </c>
      <c r="Z28" s="330" t="str">
        <f t="shared" si="13"/>
        <v>--</v>
      </c>
      <c r="AA28" s="335" t="str">
        <f t="shared" si="14"/>
        <v>--</v>
      </c>
      <c r="AB28" s="21">
        <f t="shared" si="16"/>
      </c>
      <c r="AC28" s="53">
        <f t="shared" si="15"/>
      </c>
      <c r="AD28" s="29"/>
    </row>
    <row r="29" spans="1:30" s="9" customFormat="1" ht="16.5" customHeight="1">
      <c r="A29" s="153"/>
      <c r="B29" s="159"/>
      <c r="C29" s="568"/>
      <c r="D29" s="568"/>
      <c r="E29" s="568"/>
      <c r="F29" s="447"/>
      <c r="G29" s="446"/>
      <c r="H29" s="569"/>
      <c r="I29" s="570"/>
      <c r="J29" s="238">
        <f t="shared" si="0"/>
        <v>0</v>
      </c>
      <c r="K29" s="572"/>
      <c r="L29" s="572"/>
      <c r="M29" s="22">
        <f t="shared" si="1"/>
      </c>
      <c r="N29" s="23">
        <f t="shared" si="2"/>
      </c>
      <c r="O29" s="573"/>
      <c r="P29" s="21">
        <f t="shared" si="3"/>
      </c>
      <c r="Q29" s="627">
        <f t="shared" si="4"/>
      </c>
      <c r="R29" s="21">
        <f t="shared" si="5"/>
      </c>
      <c r="S29" s="303">
        <f t="shared" si="6"/>
        <v>3</v>
      </c>
      <c r="T29" s="306" t="str">
        <f t="shared" si="7"/>
        <v>--</v>
      </c>
      <c r="U29" s="311" t="str">
        <f t="shared" si="8"/>
        <v>--</v>
      </c>
      <c r="V29" s="318" t="str">
        <f t="shared" si="9"/>
        <v>--</v>
      </c>
      <c r="W29" s="319" t="str">
        <f t="shared" si="10"/>
        <v>--</v>
      </c>
      <c r="X29" s="325" t="str">
        <f t="shared" si="11"/>
        <v>--</v>
      </c>
      <c r="Y29" s="326" t="str">
        <f t="shared" si="12"/>
        <v>--</v>
      </c>
      <c r="Z29" s="330" t="str">
        <f t="shared" si="13"/>
        <v>--</v>
      </c>
      <c r="AA29" s="335" t="str">
        <f t="shared" si="14"/>
        <v>--</v>
      </c>
      <c r="AB29" s="21">
        <f t="shared" si="16"/>
      </c>
      <c r="AC29" s="53">
        <f t="shared" si="15"/>
      </c>
      <c r="AD29" s="29"/>
    </row>
    <row r="30" spans="1:30" s="9" customFormat="1" ht="16.5" customHeight="1">
      <c r="A30" s="153"/>
      <c r="B30" s="159"/>
      <c r="C30" s="568"/>
      <c r="D30" s="568"/>
      <c r="E30" s="568"/>
      <c r="F30" s="447"/>
      <c r="G30" s="446"/>
      <c r="H30" s="569"/>
      <c r="I30" s="570"/>
      <c r="J30" s="238">
        <f t="shared" si="0"/>
        <v>0</v>
      </c>
      <c r="K30" s="572"/>
      <c r="L30" s="572"/>
      <c r="M30" s="22">
        <f t="shared" si="1"/>
      </c>
      <c r="N30" s="23">
        <f t="shared" si="2"/>
      </c>
      <c r="O30" s="573"/>
      <c r="P30" s="21">
        <f t="shared" si="3"/>
      </c>
      <c r="Q30" s="627">
        <f t="shared" si="4"/>
      </c>
      <c r="R30" s="21">
        <f t="shared" si="5"/>
      </c>
      <c r="S30" s="303">
        <f t="shared" si="6"/>
        <v>3</v>
      </c>
      <c r="T30" s="306" t="str">
        <f t="shared" si="7"/>
        <v>--</v>
      </c>
      <c r="U30" s="311" t="str">
        <f t="shared" si="8"/>
        <v>--</v>
      </c>
      <c r="V30" s="318" t="str">
        <f t="shared" si="9"/>
        <v>--</v>
      </c>
      <c r="W30" s="319" t="str">
        <f t="shared" si="10"/>
        <v>--</v>
      </c>
      <c r="X30" s="325" t="str">
        <f t="shared" si="11"/>
        <v>--</v>
      </c>
      <c r="Y30" s="326" t="str">
        <f t="shared" si="12"/>
        <v>--</v>
      </c>
      <c r="Z30" s="330" t="str">
        <f t="shared" si="13"/>
        <v>--</v>
      </c>
      <c r="AA30" s="335" t="str">
        <f t="shared" si="14"/>
        <v>--</v>
      </c>
      <c r="AB30" s="21">
        <f t="shared" si="16"/>
      </c>
      <c r="AC30" s="53">
        <f t="shared" si="15"/>
      </c>
      <c r="AD30" s="29"/>
    </row>
    <row r="31" spans="1:30" s="9" customFormat="1" ht="16.5" customHeight="1">
      <c r="A31" s="153"/>
      <c r="B31" s="159"/>
      <c r="C31" s="568"/>
      <c r="D31" s="568"/>
      <c r="E31" s="568"/>
      <c r="F31" s="447"/>
      <c r="G31" s="446"/>
      <c r="H31" s="569"/>
      <c r="I31" s="570"/>
      <c r="J31" s="238">
        <f t="shared" si="0"/>
        <v>0</v>
      </c>
      <c r="K31" s="572"/>
      <c r="L31" s="572"/>
      <c r="M31" s="22">
        <f t="shared" si="1"/>
      </c>
      <c r="N31" s="23">
        <f t="shared" si="2"/>
      </c>
      <c r="O31" s="573"/>
      <c r="P31" s="21">
        <f t="shared" si="3"/>
      </c>
      <c r="Q31" s="627">
        <f t="shared" si="4"/>
      </c>
      <c r="R31" s="21">
        <f t="shared" si="5"/>
      </c>
      <c r="S31" s="303">
        <f t="shared" si="6"/>
        <v>3</v>
      </c>
      <c r="T31" s="306" t="str">
        <f t="shared" si="7"/>
        <v>--</v>
      </c>
      <c r="U31" s="311" t="str">
        <f t="shared" si="8"/>
        <v>--</v>
      </c>
      <c r="V31" s="318" t="str">
        <f t="shared" si="9"/>
        <v>--</v>
      </c>
      <c r="W31" s="319" t="str">
        <f t="shared" si="10"/>
        <v>--</v>
      </c>
      <c r="X31" s="325" t="str">
        <f t="shared" si="11"/>
        <v>--</v>
      </c>
      <c r="Y31" s="326" t="str">
        <f t="shared" si="12"/>
        <v>--</v>
      </c>
      <c r="Z31" s="330" t="str">
        <f t="shared" si="13"/>
        <v>--</v>
      </c>
      <c r="AA31" s="335" t="str">
        <f t="shared" si="14"/>
        <v>--</v>
      </c>
      <c r="AB31" s="21">
        <f t="shared" si="16"/>
      </c>
      <c r="AC31" s="53">
        <f t="shared" si="15"/>
      </c>
      <c r="AD31" s="29"/>
    </row>
    <row r="32" spans="1:30" s="9" customFormat="1" ht="16.5" customHeight="1">
      <c r="A32" s="153"/>
      <c r="B32" s="159"/>
      <c r="C32" s="568"/>
      <c r="D32" s="568"/>
      <c r="E32" s="568"/>
      <c r="F32" s="447"/>
      <c r="G32" s="446"/>
      <c r="H32" s="569"/>
      <c r="I32" s="570"/>
      <c r="J32" s="238">
        <f t="shared" si="0"/>
        <v>0</v>
      </c>
      <c r="K32" s="572"/>
      <c r="L32" s="572"/>
      <c r="M32" s="22">
        <f t="shared" si="1"/>
      </c>
      <c r="N32" s="23">
        <f t="shared" si="2"/>
      </c>
      <c r="O32" s="573"/>
      <c r="P32" s="21">
        <f t="shared" si="3"/>
      </c>
      <c r="Q32" s="627">
        <f t="shared" si="4"/>
      </c>
      <c r="R32" s="21">
        <f t="shared" si="5"/>
      </c>
      <c r="S32" s="303">
        <f t="shared" si="6"/>
        <v>3</v>
      </c>
      <c r="T32" s="306" t="str">
        <f t="shared" si="7"/>
        <v>--</v>
      </c>
      <c r="U32" s="311" t="str">
        <f t="shared" si="8"/>
        <v>--</v>
      </c>
      <c r="V32" s="318" t="str">
        <f t="shared" si="9"/>
        <v>--</v>
      </c>
      <c r="W32" s="319" t="str">
        <f t="shared" si="10"/>
        <v>--</v>
      </c>
      <c r="X32" s="325" t="str">
        <f t="shared" si="11"/>
        <v>--</v>
      </c>
      <c r="Y32" s="326" t="str">
        <f t="shared" si="12"/>
        <v>--</v>
      </c>
      <c r="Z32" s="330" t="str">
        <f t="shared" si="13"/>
        <v>--</v>
      </c>
      <c r="AA32" s="335" t="str">
        <f t="shared" si="14"/>
        <v>--</v>
      </c>
      <c r="AB32" s="21">
        <f t="shared" si="16"/>
      </c>
      <c r="AC32" s="53">
        <f t="shared" si="15"/>
      </c>
      <c r="AD32" s="29"/>
    </row>
    <row r="33" spans="1:30" s="9" customFormat="1" ht="16.5" customHeight="1" thickBot="1">
      <c r="A33" s="153"/>
      <c r="B33" s="159"/>
      <c r="C33" s="571"/>
      <c r="D33" s="571"/>
      <c r="E33" s="571"/>
      <c r="F33" s="571"/>
      <c r="G33" s="571"/>
      <c r="H33" s="571"/>
      <c r="I33" s="571"/>
      <c r="J33" s="241"/>
      <c r="K33" s="571"/>
      <c r="L33" s="571"/>
      <c r="M33" s="24"/>
      <c r="N33" s="24"/>
      <c r="O33" s="571"/>
      <c r="P33" s="571"/>
      <c r="Q33" s="571"/>
      <c r="R33" s="571"/>
      <c r="S33" s="304"/>
      <c r="T33" s="307"/>
      <c r="U33" s="312"/>
      <c r="V33" s="338"/>
      <c r="W33" s="339"/>
      <c r="X33" s="340"/>
      <c r="Y33" s="341"/>
      <c r="Z33" s="331"/>
      <c r="AA33" s="336"/>
      <c r="AB33" s="24"/>
      <c r="AC33" s="200"/>
      <c r="AD33" s="29"/>
    </row>
    <row r="34" spans="1:30" s="9" customFormat="1" ht="16.5" customHeight="1" thickBot="1" thickTop="1">
      <c r="A34" s="153"/>
      <c r="B34" s="159"/>
      <c r="C34" s="665" t="s">
        <v>148</v>
      </c>
      <c r="D34" s="666" t="s">
        <v>149</v>
      </c>
      <c r="E34" s="611"/>
      <c r="F34" s="212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08">
        <f aca="true" t="shared" si="17" ref="T34:AA34">SUM(T21:T33)</f>
        <v>6.506325000000001</v>
      </c>
      <c r="U34" s="313">
        <f t="shared" si="17"/>
        <v>0</v>
      </c>
      <c r="V34" s="320">
        <f t="shared" si="17"/>
        <v>0</v>
      </c>
      <c r="W34" s="320">
        <f t="shared" si="17"/>
        <v>0</v>
      </c>
      <c r="X34" s="327">
        <f t="shared" si="17"/>
        <v>0</v>
      </c>
      <c r="Y34" s="327">
        <f t="shared" si="17"/>
        <v>0</v>
      </c>
      <c r="Z34" s="332">
        <f t="shared" si="17"/>
        <v>0</v>
      </c>
      <c r="AA34" s="337">
        <f t="shared" si="17"/>
        <v>0</v>
      </c>
      <c r="AB34" s="26"/>
      <c r="AC34" s="227">
        <f>ROUND(SUM(AC21:AC33),2)</f>
        <v>6.51</v>
      </c>
      <c r="AD34" s="29"/>
    </row>
    <row r="35" spans="1:30" s="228" customFormat="1" ht="9.75" thickTop="1">
      <c r="A35" s="229"/>
      <c r="B35" s="230"/>
      <c r="C35" s="213"/>
      <c r="D35" s="213"/>
      <c r="E35" s="213"/>
      <c r="F35" s="214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2"/>
      <c r="U35" s="232"/>
      <c r="V35" s="232"/>
      <c r="W35" s="232"/>
      <c r="X35" s="232"/>
      <c r="Y35" s="232"/>
      <c r="Z35" s="232"/>
      <c r="AA35" s="232"/>
      <c r="AB35" s="231"/>
      <c r="AC35" s="233"/>
      <c r="AD35" s="234"/>
    </row>
    <row r="36" spans="1:30" s="9" customFormat="1" ht="16.5" customHeight="1" thickBot="1">
      <c r="A36" s="153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</row>
    <row r="37" spans="2:30" ht="16.5" customHeight="1" thickTop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4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70" zoomScaleNormal="70" workbookViewId="0" topLeftCell="A1">
      <selection activeCell="A43" sqref="A4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1.4218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94" customFormat="1" ht="26.25">
      <c r="AB1" s="348"/>
    </row>
    <row r="2" spans="2:28" s="94" customFormat="1" ht="26.25">
      <c r="B2" s="95" t="str">
        <f>+'TOT-0411'!B2</f>
        <v>ANEXO IV al Memorandum D.T.E.E.  N° 482 /2012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="9" customFormat="1" ht="12.75"/>
    <row r="4" spans="1:4" s="97" customFormat="1" ht="11.25">
      <c r="A4" s="613" t="s">
        <v>21</v>
      </c>
      <c r="C4" s="612"/>
      <c r="D4" s="612"/>
    </row>
    <row r="5" spans="1:4" s="97" customFormat="1" ht="11.25">
      <c r="A5" s="613" t="s">
        <v>132</v>
      </c>
      <c r="C5" s="612"/>
      <c r="D5" s="612"/>
    </row>
    <row r="6" s="9" customFormat="1" ht="13.5" thickBot="1"/>
    <row r="7" spans="1:28" s="9" customFormat="1" ht="13.5" thickTop="1">
      <c r="A7" s="7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</row>
    <row r="8" spans="1:28" s="99" customFormat="1" ht="20.25">
      <c r="A8" s="36"/>
      <c r="B8" s="98"/>
      <c r="C8" s="36"/>
      <c r="D8" s="36"/>
      <c r="E8" s="36"/>
      <c r="F8" s="19" t="s">
        <v>41</v>
      </c>
      <c r="G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100"/>
    </row>
    <row r="9" spans="1:28" s="9" customFormat="1" ht="12.75">
      <c r="A9" s="7"/>
      <c r="B9" s="35"/>
      <c r="C9" s="7"/>
      <c r="D9" s="7"/>
      <c r="E9" s="7"/>
      <c r="F9" s="111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99" customFormat="1" ht="20.25">
      <c r="A10" s="36"/>
      <c r="B10" s="98"/>
      <c r="C10" s="36"/>
      <c r="D10" s="36"/>
      <c r="E10" s="36"/>
      <c r="F10" s="19" t="s">
        <v>146</v>
      </c>
      <c r="G10" s="19"/>
      <c r="H10" s="36"/>
      <c r="I10" s="101"/>
      <c r="J10" s="101"/>
      <c r="K10" s="101"/>
      <c r="L10" s="101"/>
      <c r="M10" s="101"/>
      <c r="N10" s="101"/>
      <c r="O10" s="101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00"/>
    </row>
    <row r="11" spans="1:28" s="9" customFormat="1" ht="12.75">
      <c r="A11" s="7"/>
      <c r="B11" s="35"/>
      <c r="C11" s="7"/>
      <c r="D11" s="7"/>
      <c r="E11" s="7"/>
      <c r="F11" s="110"/>
      <c r="G11" s="108"/>
      <c r="H11" s="7"/>
      <c r="I11" s="107"/>
      <c r="J11" s="107"/>
      <c r="K11" s="107"/>
      <c r="L11" s="107"/>
      <c r="M11" s="107"/>
      <c r="N11" s="107"/>
      <c r="O11" s="10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06" customFormat="1" ht="19.5">
      <c r="A12" s="38"/>
      <c r="B12" s="73" t="str">
        <f>+'TOT-0411'!B14</f>
        <v>Desde el 01 al 30 de abril de 2011</v>
      </c>
      <c r="C12" s="102"/>
      <c r="D12" s="102"/>
      <c r="E12" s="102"/>
      <c r="F12" s="102"/>
      <c r="G12" s="103"/>
      <c r="H12" s="103"/>
      <c r="I12" s="104"/>
      <c r="J12" s="104"/>
      <c r="K12" s="104"/>
      <c r="L12" s="104"/>
      <c r="M12" s="104"/>
      <c r="N12" s="104"/>
      <c r="O12" s="104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5"/>
    </row>
    <row r="13" spans="1:28" s="106" customFormat="1" ht="7.5" customHeight="1">
      <c r="A13" s="38"/>
      <c r="B13" s="73"/>
      <c r="C13" s="102"/>
      <c r="D13" s="102"/>
      <c r="E13" s="102"/>
      <c r="F13" s="102"/>
      <c r="G13" s="103"/>
      <c r="H13" s="103"/>
      <c r="I13" s="104"/>
      <c r="J13" s="104"/>
      <c r="K13" s="104"/>
      <c r="L13" s="104"/>
      <c r="M13" s="104"/>
      <c r="N13" s="104"/>
      <c r="O13" s="104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5"/>
    </row>
    <row r="14" spans="1:28" s="9" customFormat="1" ht="7.5" customHeight="1" thickBot="1">
      <c r="A14" s="7"/>
      <c r="B14" s="35"/>
      <c r="C14" s="7"/>
      <c r="D14" s="7"/>
      <c r="E14" s="7"/>
      <c r="F14" s="7"/>
      <c r="G14" s="108"/>
      <c r="H14" s="109"/>
      <c r="I14" s="107"/>
      <c r="J14" s="107"/>
      <c r="K14" s="107"/>
      <c r="L14" s="107"/>
      <c r="M14" s="107"/>
      <c r="N14" s="107"/>
      <c r="O14" s="10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0"/>
    </row>
    <row r="15" spans="1:28" s="80" customFormat="1" ht="16.5" customHeight="1" thickBot="1" thickTop="1">
      <c r="A15" s="77"/>
      <c r="B15" s="78"/>
      <c r="C15" s="77"/>
      <c r="D15" s="77"/>
      <c r="E15" s="77"/>
      <c r="F15" s="442" t="s">
        <v>44</v>
      </c>
      <c r="G15" s="443">
        <v>72.965</v>
      </c>
      <c r="H15" s="210"/>
      <c r="I15" s="81"/>
      <c r="J15" s="81"/>
      <c r="K15" s="81"/>
      <c r="L15" s="81"/>
      <c r="M15" s="81"/>
      <c r="N15" s="81"/>
      <c r="O15" s="81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9"/>
    </row>
    <row r="16" spans="1:28" s="80" customFormat="1" ht="16.5" customHeight="1" thickBot="1" thickTop="1">
      <c r="A16" s="77"/>
      <c r="B16" s="78"/>
      <c r="C16" s="77"/>
      <c r="D16" s="77"/>
      <c r="E16" s="77"/>
      <c r="F16" s="442" t="s">
        <v>45</v>
      </c>
      <c r="G16" s="443">
        <v>69.722</v>
      </c>
      <c r="H16" s="211"/>
      <c r="I16" s="77"/>
      <c r="K16" s="82" t="s">
        <v>46</v>
      </c>
      <c r="L16" s="83">
        <f>30*'TOT-0411'!B13</f>
        <v>30</v>
      </c>
      <c r="M16" s="207" t="str">
        <f>IF(L16=30," ",IF(L16=60,"Coeficiente duplicado por tasa de falla &gt;4 Sal. x año/100 km.","REVISAR COEFICIENTE"))</f>
        <v> 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9"/>
    </row>
    <row r="17" spans="1:28" s="80" customFormat="1" ht="7.5" customHeight="1" thickTop="1">
      <c r="A17" s="77"/>
      <c r="B17" s="78"/>
      <c r="C17" s="77"/>
      <c r="D17" s="77"/>
      <c r="E17" s="77"/>
      <c r="F17" s="605"/>
      <c r="G17" s="606"/>
      <c r="H17" s="607"/>
      <c r="I17" s="77"/>
      <c r="K17" s="82"/>
      <c r="L17" s="83"/>
      <c r="M17" s="20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9"/>
    </row>
    <row r="18" spans="1:28" s="635" customFormat="1" ht="15" customHeight="1" thickBot="1">
      <c r="A18" s="631"/>
      <c r="B18" s="632"/>
      <c r="C18" s="633">
        <v>3</v>
      </c>
      <c r="D18" s="633">
        <v>4</v>
      </c>
      <c r="E18" s="633">
        <v>5</v>
      </c>
      <c r="F18" s="633">
        <v>6</v>
      </c>
      <c r="G18" s="633">
        <v>7</v>
      </c>
      <c r="H18" s="633">
        <v>8</v>
      </c>
      <c r="I18" s="633">
        <v>9</v>
      </c>
      <c r="J18" s="633">
        <v>10</v>
      </c>
      <c r="K18" s="633">
        <v>11</v>
      </c>
      <c r="L18" s="633">
        <v>12</v>
      </c>
      <c r="M18" s="633">
        <v>13</v>
      </c>
      <c r="N18" s="633">
        <v>14</v>
      </c>
      <c r="O18" s="633">
        <v>15</v>
      </c>
      <c r="P18" s="633">
        <v>16</v>
      </c>
      <c r="Q18" s="633">
        <v>17</v>
      </c>
      <c r="R18" s="633">
        <v>18</v>
      </c>
      <c r="S18" s="633">
        <v>19</v>
      </c>
      <c r="T18" s="633">
        <v>20</v>
      </c>
      <c r="U18" s="633">
        <v>21</v>
      </c>
      <c r="V18" s="633">
        <v>22</v>
      </c>
      <c r="W18" s="633">
        <v>23</v>
      </c>
      <c r="X18" s="633">
        <v>24</v>
      </c>
      <c r="Y18" s="633">
        <v>25</v>
      </c>
      <c r="Z18" s="633">
        <v>26</v>
      </c>
      <c r="AA18" s="633">
        <v>27</v>
      </c>
      <c r="AB18" s="634"/>
    </row>
    <row r="19" spans="1:28" s="93" customFormat="1" ht="33.75" customHeight="1" thickBot="1" thickTop="1">
      <c r="A19" s="84"/>
      <c r="B19" s="85"/>
      <c r="C19" s="86" t="s">
        <v>47</v>
      </c>
      <c r="D19" s="86" t="s">
        <v>131</v>
      </c>
      <c r="E19" s="86" t="s">
        <v>130</v>
      </c>
      <c r="F19" s="87" t="s">
        <v>24</v>
      </c>
      <c r="G19" s="88" t="s">
        <v>48</v>
      </c>
      <c r="H19" s="89" t="s">
        <v>49</v>
      </c>
      <c r="I19" s="235" t="s">
        <v>50</v>
      </c>
      <c r="J19" s="87" t="s">
        <v>51</v>
      </c>
      <c r="K19" s="87" t="s">
        <v>52</v>
      </c>
      <c r="L19" s="88" t="s">
        <v>53</v>
      </c>
      <c r="M19" s="88" t="s">
        <v>54</v>
      </c>
      <c r="N19" s="90" t="s">
        <v>55</v>
      </c>
      <c r="O19" s="88" t="s">
        <v>56</v>
      </c>
      <c r="P19" s="261" t="s">
        <v>57</v>
      </c>
      <c r="Q19" s="264" t="s">
        <v>58</v>
      </c>
      <c r="R19" s="267" t="s">
        <v>59</v>
      </c>
      <c r="S19" s="268"/>
      <c r="T19" s="269"/>
      <c r="U19" s="278" t="s">
        <v>60</v>
      </c>
      <c r="V19" s="279"/>
      <c r="W19" s="280"/>
      <c r="X19" s="287" t="s">
        <v>61</v>
      </c>
      <c r="Y19" s="290" t="s">
        <v>62</v>
      </c>
      <c r="Z19" s="91" t="s">
        <v>63</v>
      </c>
      <c r="AA19" s="91" t="s">
        <v>64</v>
      </c>
      <c r="AB19" s="92"/>
    </row>
    <row r="20" spans="1:28" ht="16.5" customHeight="1" thickTop="1">
      <c r="A20" s="1"/>
      <c r="B20" s="2"/>
      <c r="C20" s="42"/>
      <c r="D20" s="74"/>
      <c r="E20" s="74"/>
      <c r="F20" s="43"/>
      <c r="G20" s="44"/>
      <c r="H20" s="44"/>
      <c r="I20" s="236"/>
      <c r="J20" s="44"/>
      <c r="K20" s="45"/>
      <c r="L20" s="45"/>
      <c r="M20" s="45"/>
      <c r="N20" s="43"/>
      <c r="O20" s="44"/>
      <c r="P20" s="262"/>
      <c r="Q20" s="265"/>
      <c r="R20" s="270"/>
      <c r="S20" s="271"/>
      <c r="T20" s="272"/>
      <c r="U20" s="281"/>
      <c r="V20" s="282"/>
      <c r="W20" s="283"/>
      <c r="X20" s="288"/>
      <c r="Y20" s="291"/>
      <c r="Z20" s="276"/>
      <c r="AA20" s="45"/>
      <c r="AB20" s="3"/>
    </row>
    <row r="21" spans="1:28" ht="16.5" customHeight="1">
      <c r="A21" s="1"/>
      <c r="B21" s="2"/>
      <c r="C21" s="42"/>
      <c r="D21" s="42"/>
      <c r="E21" s="42"/>
      <c r="F21" s="42"/>
      <c r="G21" s="75"/>
      <c r="H21" s="75"/>
      <c r="I21" s="237"/>
      <c r="J21" s="42"/>
      <c r="K21" s="76"/>
      <c r="L21" s="76"/>
      <c r="M21" s="76"/>
      <c r="N21" s="74"/>
      <c r="O21" s="42"/>
      <c r="P21" s="263"/>
      <c r="Q21" s="266"/>
      <c r="R21" s="273"/>
      <c r="S21" s="274"/>
      <c r="T21" s="275"/>
      <c r="U21" s="284"/>
      <c r="V21" s="285"/>
      <c r="W21" s="286"/>
      <c r="X21" s="289"/>
      <c r="Y21" s="292"/>
      <c r="Z21" s="277"/>
      <c r="AA21" s="76"/>
      <c r="AB21" s="3"/>
    </row>
    <row r="22" spans="1:28" ht="16.5" customHeight="1">
      <c r="A22" s="1"/>
      <c r="B22" s="2"/>
      <c r="C22" s="446">
        <v>7</v>
      </c>
      <c r="D22" s="446">
        <v>232866</v>
      </c>
      <c r="E22" s="446">
        <v>4658</v>
      </c>
      <c r="F22" s="447" t="s">
        <v>152</v>
      </c>
      <c r="G22" s="448">
        <v>132</v>
      </c>
      <c r="H22" s="449">
        <v>207.5</v>
      </c>
      <c r="I22" s="238">
        <f aca="true" t="shared" si="0" ref="I22:I41">IF(H22&gt;25,H22,25)*IF(G22=330,$G$15,$G$16)/100</f>
        <v>144.67315</v>
      </c>
      <c r="J22" s="454">
        <v>40636.291666666664</v>
      </c>
      <c r="K22" s="454">
        <v>40636.538194444445</v>
      </c>
      <c r="L22" s="11">
        <f aca="true" t="shared" si="1" ref="L22:L41">IF(F22="","",(K22-J22)*24)</f>
        <v>5.916666666744277</v>
      </c>
      <c r="M22" s="12">
        <f aca="true" t="shared" si="2" ref="M22:M41">IF(F22="","",ROUND((K22-J22)*24*60,0))</f>
        <v>355</v>
      </c>
      <c r="N22" s="455" t="s">
        <v>138</v>
      </c>
      <c r="O22" s="615" t="str">
        <f aca="true" t="shared" si="3" ref="O22:O41">IF(F22="","","--")</f>
        <v>--</v>
      </c>
      <c r="P22" s="616">
        <f aca="true" t="shared" si="4" ref="P22:P41">IF(N22="P",ROUND(M22/60,2)*I22*$L$16*0.01,"--")</f>
        <v>256.93951439999995</v>
      </c>
      <c r="Q22" s="617" t="str">
        <f aca="true" t="shared" si="5" ref="Q22:Q41">IF(N22="RP",ROUND(M22/60,2)*I22*$L$16*0.01*O22/100,"--")</f>
        <v>--</v>
      </c>
      <c r="R22" s="618" t="str">
        <f aca="true" t="shared" si="6" ref="R22:R41">IF(N22="F",I22*$L$16,"--")</f>
        <v>--</v>
      </c>
      <c r="S22" s="619" t="str">
        <f aca="true" t="shared" si="7" ref="S22:S41">IF(AND(M22&gt;10,N22="F"),I22*$L$16*IF(M22&gt;180,3,ROUND(M22/60,2)),"--")</f>
        <v>--</v>
      </c>
      <c r="T22" s="620" t="str">
        <f aca="true" t="shared" si="8" ref="T22:T41">IF(AND(M22&gt;180,N22="F"),(ROUND(M22/60,2)-3)*I22*$L$16*0.1,"--")</f>
        <v>--</v>
      </c>
      <c r="U22" s="621" t="str">
        <f aca="true" t="shared" si="9" ref="U22:U41">IF(N22="R",I22*$L$16*O22/100,"--")</f>
        <v>--</v>
      </c>
      <c r="V22" s="622" t="str">
        <f aca="true" t="shared" si="10" ref="V22:V41">IF(AND(M22&gt;10,N22="R"),I22*$L$16*O22/100*IF(M22&gt;180,3,ROUND(M22/60,2)),"--")</f>
        <v>--</v>
      </c>
      <c r="W22" s="623" t="str">
        <f aca="true" t="shared" si="11" ref="W22:W41">IF(AND(M22&gt;180,N22="R"),(ROUND(M22/60,2)-3)*O22/100*I22*$L$16*0.1,"--")</f>
        <v>--</v>
      </c>
      <c r="X22" s="624" t="str">
        <f aca="true" t="shared" si="12" ref="X22:X41">IF(N22="RF",ROUND(M22/60,2)*I22*$L$16*0.1,"--")</f>
        <v>--</v>
      </c>
      <c r="Y22" s="625" t="str">
        <f aca="true" t="shared" si="13" ref="Y22:Y41">IF(N22="RR",ROUND(M22/60,2)*O22/100*I22*$L$16*0.1,"--")</f>
        <v>--</v>
      </c>
      <c r="Z22" s="626" t="str">
        <f aca="true" t="shared" si="14" ref="Z22:Z41">IF(F22="","","SI")</f>
        <v>SI</v>
      </c>
      <c r="AA22" s="46">
        <f aca="true" t="shared" si="15" ref="AA22:AA41">IF(F22="","",SUM(P22:Y22)*IF(Z22="SI",1,2))</f>
        <v>256.93951439999995</v>
      </c>
      <c r="AB22" s="3"/>
    </row>
    <row r="23" spans="1:28" ht="16.5" customHeight="1">
      <c r="A23" s="1"/>
      <c r="B23" s="2"/>
      <c r="C23" s="446">
        <v>8</v>
      </c>
      <c r="D23" s="446">
        <v>234018</v>
      </c>
      <c r="E23" s="446">
        <v>4658</v>
      </c>
      <c r="F23" s="447" t="s">
        <v>152</v>
      </c>
      <c r="G23" s="448">
        <v>132</v>
      </c>
      <c r="H23" s="449">
        <v>207.5</v>
      </c>
      <c r="I23" s="238">
        <f t="shared" si="0"/>
        <v>144.67315</v>
      </c>
      <c r="J23" s="454">
        <v>40660.498611111114</v>
      </c>
      <c r="K23" s="454">
        <v>40660.54375</v>
      </c>
      <c r="L23" s="11">
        <f t="shared" si="1"/>
        <v>1.0833333331975155</v>
      </c>
      <c r="M23" s="12">
        <f t="shared" si="2"/>
        <v>65</v>
      </c>
      <c r="N23" s="455" t="s">
        <v>142</v>
      </c>
      <c r="O23" s="615" t="str">
        <f t="shared" si="3"/>
        <v>--</v>
      </c>
      <c r="P23" s="616" t="str">
        <f t="shared" si="4"/>
        <v>--</v>
      </c>
      <c r="Q23" s="617" t="str">
        <f t="shared" si="5"/>
        <v>--</v>
      </c>
      <c r="R23" s="618">
        <f t="shared" si="6"/>
        <v>4340.1945</v>
      </c>
      <c r="S23" s="619">
        <f t="shared" si="7"/>
        <v>4687.41006</v>
      </c>
      <c r="T23" s="620" t="str">
        <f t="shared" si="8"/>
        <v>--</v>
      </c>
      <c r="U23" s="621" t="str">
        <f t="shared" si="9"/>
        <v>--</v>
      </c>
      <c r="V23" s="622" t="str">
        <f t="shared" si="10"/>
        <v>--</v>
      </c>
      <c r="W23" s="623" t="str">
        <f t="shared" si="11"/>
        <v>--</v>
      </c>
      <c r="X23" s="624" t="str">
        <f t="shared" si="12"/>
        <v>--</v>
      </c>
      <c r="Y23" s="625" t="str">
        <f t="shared" si="13"/>
        <v>--</v>
      </c>
      <c r="Z23" s="626" t="str">
        <f t="shared" si="14"/>
        <v>SI</v>
      </c>
      <c r="AA23" s="46">
        <f t="shared" si="15"/>
        <v>9027.60456</v>
      </c>
      <c r="AB23" s="3"/>
    </row>
    <row r="24" spans="1:28" ht="16.5" customHeight="1">
      <c r="A24" s="1"/>
      <c r="B24" s="2"/>
      <c r="C24" s="446"/>
      <c r="D24" s="446"/>
      <c r="E24" s="446"/>
      <c r="F24" s="447"/>
      <c r="G24" s="448"/>
      <c r="H24" s="449"/>
      <c r="I24" s="238">
        <f t="shared" si="0"/>
        <v>17.4305</v>
      </c>
      <c r="J24" s="454"/>
      <c r="K24" s="454"/>
      <c r="L24" s="11">
        <f t="shared" si="1"/>
      </c>
      <c r="M24" s="12">
        <f t="shared" si="2"/>
      </c>
      <c r="N24" s="455"/>
      <c r="O24" s="615">
        <f t="shared" si="3"/>
      </c>
      <c r="P24" s="616" t="str">
        <f t="shared" si="4"/>
        <v>--</v>
      </c>
      <c r="Q24" s="617" t="str">
        <f t="shared" si="5"/>
        <v>--</v>
      </c>
      <c r="R24" s="618" t="str">
        <f t="shared" si="6"/>
        <v>--</v>
      </c>
      <c r="S24" s="619" t="str">
        <f t="shared" si="7"/>
        <v>--</v>
      </c>
      <c r="T24" s="620" t="str">
        <f t="shared" si="8"/>
        <v>--</v>
      </c>
      <c r="U24" s="621" t="str">
        <f t="shared" si="9"/>
        <v>--</v>
      </c>
      <c r="V24" s="622" t="str">
        <f t="shared" si="10"/>
        <v>--</v>
      </c>
      <c r="W24" s="623" t="str">
        <f t="shared" si="11"/>
        <v>--</v>
      </c>
      <c r="X24" s="624" t="str">
        <f t="shared" si="12"/>
        <v>--</v>
      </c>
      <c r="Y24" s="625" t="str">
        <f t="shared" si="13"/>
        <v>--</v>
      </c>
      <c r="Z24" s="626">
        <f t="shared" si="14"/>
      </c>
      <c r="AA24" s="46">
        <f t="shared" si="15"/>
      </c>
      <c r="AB24" s="3"/>
    </row>
    <row r="25" spans="1:28" ht="16.5" customHeight="1">
      <c r="A25" s="1"/>
      <c r="B25" s="2"/>
      <c r="C25" s="446"/>
      <c r="D25" s="446"/>
      <c r="E25" s="446"/>
      <c r="F25" s="447"/>
      <c r="G25" s="448"/>
      <c r="H25" s="449"/>
      <c r="I25" s="238">
        <f t="shared" si="0"/>
        <v>17.4305</v>
      </c>
      <c r="J25" s="454"/>
      <c r="K25" s="454"/>
      <c r="L25" s="11">
        <f t="shared" si="1"/>
      </c>
      <c r="M25" s="12">
        <f t="shared" si="2"/>
      </c>
      <c r="N25" s="455"/>
      <c r="O25" s="615">
        <f t="shared" si="3"/>
      </c>
      <c r="P25" s="616" t="str">
        <f t="shared" si="4"/>
        <v>--</v>
      </c>
      <c r="Q25" s="617" t="str">
        <f t="shared" si="5"/>
        <v>--</v>
      </c>
      <c r="R25" s="618" t="str">
        <f t="shared" si="6"/>
        <v>--</v>
      </c>
      <c r="S25" s="619" t="str">
        <f t="shared" si="7"/>
        <v>--</v>
      </c>
      <c r="T25" s="620" t="str">
        <f t="shared" si="8"/>
        <v>--</v>
      </c>
      <c r="U25" s="621" t="str">
        <f t="shared" si="9"/>
        <v>--</v>
      </c>
      <c r="V25" s="622" t="str">
        <f t="shared" si="10"/>
        <v>--</v>
      </c>
      <c r="W25" s="623" t="str">
        <f t="shared" si="11"/>
        <v>--</v>
      </c>
      <c r="X25" s="624" t="str">
        <f t="shared" si="12"/>
        <v>--</v>
      </c>
      <c r="Y25" s="625" t="str">
        <f t="shared" si="13"/>
        <v>--</v>
      </c>
      <c r="Z25" s="626">
        <f t="shared" si="14"/>
      </c>
      <c r="AA25" s="46">
        <f t="shared" si="15"/>
      </c>
      <c r="AB25" s="3"/>
    </row>
    <row r="26" spans="1:28" ht="16.5" customHeight="1">
      <c r="A26" s="1"/>
      <c r="B26" s="2"/>
      <c r="C26" s="446"/>
      <c r="D26" s="446"/>
      <c r="E26" s="446"/>
      <c r="F26" s="447"/>
      <c r="G26" s="448"/>
      <c r="H26" s="449"/>
      <c r="I26" s="238">
        <f t="shared" si="0"/>
        <v>17.4305</v>
      </c>
      <c r="J26" s="454"/>
      <c r="K26" s="454"/>
      <c r="L26" s="11">
        <f t="shared" si="1"/>
      </c>
      <c r="M26" s="12">
        <f t="shared" si="2"/>
      </c>
      <c r="N26" s="455"/>
      <c r="O26" s="615">
        <f t="shared" si="3"/>
      </c>
      <c r="P26" s="616" t="str">
        <f t="shared" si="4"/>
        <v>--</v>
      </c>
      <c r="Q26" s="617" t="str">
        <f t="shared" si="5"/>
        <v>--</v>
      </c>
      <c r="R26" s="618" t="str">
        <f t="shared" si="6"/>
        <v>--</v>
      </c>
      <c r="S26" s="619" t="str">
        <f t="shared" si="7"/>
        <v>--</v>
      </c>
      <c r="T26" s="620" t="str">
        <f t="shared" si="8"/>
        <v>--</v>
      </c>
      <c r="U26" s="621" t="str">
        <f t="shared" si="9"/>
        <v>--</v>
      </c>
      <c r="V26" s="622" t="str">
        <f t="shared" si="10"/>
        <v>--</v>
      </c>
      <c r="W26" s="623" t="str">
        <f t="shared" si="11"/>
        <v>--</v>
      </c>
      <c r="X26" s="624" t="str">
        <f t="shared" si="12"/>
        <v>--</v>
      </c>
      <c r="Y26" s="625" t="str">
        <f t="shared" si="13"/>
        <v>--</v>
      </c>
      <c r="Z26" s="626">
        <f t="shared" si="14"/>
      </c>
      <c r="AA26" s="46">
        <f t="shared" si="15"/>
      </c>
      <c r="AB26" s="3"/>
    </row>
    <row r="27" spans="1:28" ht="16.5" customHeight="1">
      <c r="A27" s="1"/>
      <c r="B27" s="2"/>
      <c r="C27" s="446"/>
      <c r="D27" s="446"/>
      <c r="E27" s="446"/>
      <c r="F27" s="447"/>
      <c r="G27" s="448"/>
      <c r="H27" s="449"/>
      <c r="I27" s="238">
        <f t="shared" si="0"/>
        <v>17.4305</v>
      </c>
      <c r="J27" s="454"/>
      <c r="K27" s="454"/>
      <c r="L27" s="11">
        <f t="shared" si="1"/>
      </c>
      <c r="M27" s="12">
        <f t="shared" si="2"/>
      </c>
      <c r="N27" s="455"/>
      <c r="O27" s="615">
        <f t="shared" si="3"/>
      </c>
      <c r="P27" s="616" t="str">
        <f t="shared" si="4"/>
        <v>--</v>
      </c>
      <c r="Q27" s="617" t="str">
        <f t="shared" si="5"/>
        <v>--</v>
      </c>
      <c r="R27" s="618" t="str">
        <f t="shared" si="6"/>
        <v>--</v>
      </c>
      <c r="S27" s="619" t="str">
        <f t="shared" si="7"/>
        <v>--</v>
      </c>
      <c r="T27" s="620" t="str">
        <f t="shared" si="8"/>
        <v>--</v>
      </c>
      <c r="U27" s="621" t="str">
        <f t="shared" si="9"/>
        <v>--</v>
      </c>
      <c r="V27" s="622" t="str">
        <f t="shared" si="10"/>
        <v>--</v>
      </c>
      <c r="W27" s="623" t="str">
        <f t="shared" si="11"/>
        <v>--</v>
      </c>
      <c r="X27" s="624" t="str">
        <f t="shared" si="12"/>
        <v>--</v>
      </c>
      <c r="Y27" s="625" t="str">
        <f t="shared" si="13"/>
        <v>--</v>
      </c>
      <c r="Z27" s="626">
        <f t="shared" si="14"/>
      </c>
      <c r="AA27" s="46">
        <f t="shared" si="15"/>
      </c>
      <c r="AB27" s="3"/>
    </row>
    <row r="28" spans="1:28" ht="16.5" customHeight="1">
      <c r="A28" s="1"/>
      <c r="B28" s="2"/>
      <c r="C28" s="446"/>
      <c r="D28" s="446"/>
      <c r="E28" s="446"/>
      <c r="F28" s="447"/>
      <c r="G28" s="448"/>
      <c r="H28" s="449"/>
      <c r="I28" s="238">
        <f t="shared" si="0"/>
        <v>17.4305</v>
      </c>
      <c r="J28" s="454"/>
      <c r="K28" s="454"/>
      <c r="L28" s="11">
        <f t="shared" si="1"/>
      </c>
      <c r="M28" s="12">
        <f t="shared" si="2"/>
      </c>
      <c r="N28" s="455"/>
      <c r="O28" s="615">
        <f t="shared" si="3"/>
      </c>
      <c r="P28" s="616" t="str">
        <f t="shared" si="4"/>
        <v>--</v>
      </c>
      <c r="Q28" s="617" t="str">
        <f t="shared" si="5"/>
        <v>--</v>
      </c>
      <c r="R28" s="618" t="str">
        <f t="shared" si="6"/>
        <v>--</v>
      </c>
      <c r="S28" s="619" t="str">
        <f t="shared" si="7"/>
        <v>--</v>
      </c>
      <c r="T28" s="620" t="str">
        <f t="shared" si="8"/>
        <v>--</v>
      </c>
      <c r="U28" s="621" t="str">
        <f t="shared" si="9"/>
        <v>--</v>
      </c>
      <c r="V28" s="622" t="str">
        <f t="shared" si="10"/>
        <v>--</v>
      </c>
      <c r="W28" s="623" t="str">
        <f t="shared" si="11"/>
        <v>--</v>
      </c>
      <c r="X28" s="624" t="str">
        <f t="shared" si="12"/>
        <v>--</v>
      </c>
      <c r="Y28" s="625" t="str">
        <f t="shared" si="13"/>
        <v>--</v>
      </c>
      <c r="Z28" s="626">
        <f t="shared" si="14"/>
      </c>
      <c r="AA28" s="46">
        <f t="shared" si="15"/>
      </c>
      <c r="AB28" s="3"/>
    </row>
    <row r="29" spans="1:28" ht="16.5" customHeight="1">
      <c r="A29" s="1"/>
      <c r="B29" s="2"/>
      <c r="C29" s="446"/>
      <c r="D29" s="446"/>
      <c r="E29" s="446"/>
      <c r="F29" s="447"/>
      <c r="G29" s="448"/>
      <c r="H29" s="449"/>
      <c r="I29" s="238">
        <f t="shared" si="0"/>
        <v>17.4305</v>
      </c>
      <c r="J29" s="454"/>
      <c r="K29" s="454"/>
      <c r="L29" s="11">
        <f t="shared" si="1"/>
      </c>
      <c r="M29" s="12">
        <f t="shared" si="2"/>
      </c>
      <c r="N29" s="455"/>
      <c r="O29" s="615">
        <f t="shared" si="3"/>
      </c>
      <c r="P29" s="616" t="str">
        <f t="shared" si="4"/>
        <v>--</v>
      </c>
      <c r="Q29" s="617" t="str">
        <f t="shared" si="5"/>
        <v>--</v>
      </c>
      <c r="R29" s="618" t="str">
        <f t="shared" si="6"/>
        <v>--</v>
      </c>
      <c r="S29" s="619" t="str">
        <f t="shared" si="7"/>
        <v>--</v>
      </c>
      <c r="T29" s="620" t="str">
        <f t="shared" si="8"/>
        <v>--</v>
      </c>
      <c r="U29" s="621" t="str">
        <f t="shared" si="9"/>
        <v>--</v>
      </c>
      <c r="V29" s="622" t="str">
        <f t="shared" si="10"/>
        <v>--</v>
      </c>
      <c r="W29" s="623" t="str">
        <f t="shared" si="11"/>
        <v>--</v>
      </c>
      <c r="X29" s="624" t="str">
        <f t="shared" si="12"/>
        <v>--</v>
      </c>
      <c r="Y29" s="625" t="str">
        <f t="shared" si="13"/>
        <v>--</v>
      </c>
      <c r="Z29" s="626">
        <f t="shared" si="14"/>
      </c>
      <c r="AA29" s="46">
        <f t="shared" si="15"/>
      </c>
      <c r="AB29" s="3"/>
    </row>
    <row r="30" spans="1:28" ht="16.5" customHeight="1">
      <c r="A30" s="1"/>
      <c r="B30" s="2"/>
      <c r="C30" s="446"/>
      <c r="D30" s="446"/>
      <c r="E30" s="446"/>
      <c r="F30" s="447"/>
      <c r="G30" s="448"/>
      <c r="H30" s="449"/>
      <c r="I30" s="238">
        <f t="shared" si="0"/>
        <v>17.4305</v>
      </c>
      <c r="J30" s="454"/>
      <c r="K30" s="454"/>
      <c r="L30" s="11">
        <f t="shared" si="1"/>
      </c>
      <c r="M30" s="12">
        <f t="shared" si="2"/>
      </c>
      <c r="N30" s="455"/>
      <c r="O30" s="615">
        <f t="shared" si="3"/>
      </c>
      <c r="P30" s="616" t="str">
        <f t="shared" si="4"/>
        <v>--</v>
      </c>
      <c r="Q30" s="617" t="str">
        <f t="shared" si="5"/>
        <v>--</v>
      </c>
      <c r="R30" s="618" t="str">
        <f t="shared" si="6"/>
        <v>--</v>
      </c>
      <c r="S30" s="619" t="str">
        <f t="shared" si="7"/>
        <v>--</v>
      </c>
      <c r="T30" s="620" t="str">
        <f t="shared" si="8"/>
        <v>--</v>
      </c>
      <c r="U30" s="621" t="str">
        <f t="shared" si="9"/>
        <v>--</v>
      </c>
      <c r="V30" s="622" t="str">
        <f t="shared" si="10"/>
        <v>--</v>
      </c>
      <c r="W30" s="623" t="str">
        <f t="shared" si="11"/>
        <v>--</v>
      </c>
      <c r="X30" s="624" t="str">
        <f t="shared" si="12"/>
        <v>--</v>
      </c>
      <c r="Y30" s="625" t="str">
        <f t="shared" si="13"/>
        <v>--</v>
      </c>
      <c r="Z30" s="626">
        <f t="shared" si="14"/>
      </c>
      <c r="AA30" s="46">
        <f t="shared" si="15"/>
      </c>
      <c r="AB30" s="3"/>
    </row>
    <row r="31" spans="1:28" ht="16.5" customHeight="1">
      <c r="A31" s="1"/>
      <c r="B31" s="2"/>
      <c r="C31" s="446"/>
      <c r="D31" s="446"/>
      <c r="E31" s="446"/>
      <c r="F31" s="447"/>
      <c r="G31" s="448"/>
      <c r="H31" s="449"/>
      <c r="I31" s="238">
        <f t="shared" si="0"/>
        <v>17.4305</v>
      </c>
      <c r="J31" s="454"/>
      <c r="K31" s="454"/>
      <c r="L31" s="11">
        <f t="shared" si="1"/>
      </c>
      <c r="M31" s="12">
        <f t="shared" si="2"/>
      </c>
      <c r="N31" s="455"/>
      <c r="O31" s="615">
        <f t="shared" si="3"/>
      </c>
      <c r="P31" s="616" t="str">
        <f t="shared" si="4"/>
        <v>--</v>
      </c>
      <c r="Q31" s="617" t="str">
        <f t="shared" si="5"/>
        <v>--</v>
      </c>
      <c r="R31" s="618" t="str">
        <f t="shared" si="6"/>
        <v>--</v>
      </c>
      <c r="S31" s="619" t="str">
        <f t="shared" si="7"/>
        <v>--</v>
      </c>
      <c r="T31" s="620" t="str">
        <f t="shared" si="8"/>
        <v>--</v>
      </c>
      <c r="U31" s="621" t="str">
        <f t="shared" si="9"/>
        <v>--</v>
      </c>
      <c r="V31" s="622" t="str">
        <f t="shared" si="10"/>
        <v>--</v>
      </c>
      <c r="W31" s="623" t="str">
        <f t="shared" si="11"/>
        <v>--</v>
      </c>
      <c r="X31" s="624" t="str">
        <f t="shared" si="12"/>
        <v>--</v>
      </c>
      <c r="Y31" s="625" t="str">
        <f t="shared" si="13"/>
        <v>--</v>
      </c>
      <c r="Z31" s="626">
        <f t="shared" si="14"/>
      </c>
      <c r="AA31" s="46">
        <f t="shared" si="15"/>
      </c>
      <c r="AB31" s="3"/>
    </row>
    <row r="32" spans="1:28" ht="16.5" customHeight="1">
      <c r="A32" s="1"/>
      <c r="B32" s="2"/>
      <c r="C32" s="446"/>
      <c r="D32" s="446"/>
      <c r="E32" s="446"/>
      <c r="F32" s="447"/>
      <c r="G32" s="448"/>
      <c r="H32" s="449"/>
      <c r="I32" s="238">
        <f t="shared" si="0"/>
        <v>17.4305</v>
      </c>
      <c r="J32" s="454"/>
      <c r="K32" s="454"/>
      <c r="L32" s="11">
        <f t="shared" si="1"/>
      </c>
      <c r="M32" s="12">
        <f t="shared" si="2"/>
      </c>
      <c r="N32" s="455"/>
      <c r="O32" s="615">
        <f t="shared" si="3"/>
      </c>
      <c r="P32" s="616" t="str">
        <f t="shared" si="4"/>
        <v>--</v>
      </c>
      <c r="Q32" s="617" t="str">
        <f t="shared" si="5"/>
        <v>--</v>
      </c>
      <c r="R32" s="618" t="str">
        <f t="shared" si="6"/>
        <v>--</v>
      </c>
      <c r="S32" s="619" t="str">
        <f t="shared" si="7"/>
        <v>--</v>
      </c>
      <c r="T32" s="620" t="str">
        <f t="shared" si="8"/>
        <v>--</v>
      </c>
      <c r="U32" s="621" t="str">
        <f t="shared" si="9"/>
        <v>--</v>
      </c>
      <c r="V32" s="622" t="str">
        <f t="shared" si="10"/>
        <v>--</v>
      </c>
      <c r="W32" s="623" t="str">
        <f t="shared" si="11"/>
        <v>--</v>
      </c>
      <c r="X32" s="624" t="str">
        <f t="shared" si="12"/>
        <v>--</v>
      </c>
      <c r="Y32" s="625" t="str">
        <f t="shared" si="13"/>
        <v>--</v>
      </c>
      <c r="Z32" s="626">
        <f t="shared" si="14"/>
      </c>
      <c r="AA32" s="46">
        <f t="shared" si="15"/>
      </c>
      <c r="AB32" s="3"/>
    </row>
    <row r="33" spans="1:28" ht="16.5" customHeight="1">
      <c r="A33" s="1"/>
      <c r="B33" s="2"/>
      <c r="C33" s="446"/>
      <c r="D33" s="446"/>
      <c r="E33" s="446"/>
      <c r="F33" s="447"/>
      <c r="G33" s="448"/>
      <c r="H33" s="449"/>
      <c r="I33" s="238">
        <f t="shared" si="0"/>
        <v>17.4305</v>
      </c>
      <c r="J33" s="454"/>
      <c r="K33" s="454"/>
      <c r="L33" s="11">
        <f t="shared" si="1"/>
      </c>
      <c r="M33" s="12">
        <f t="shared" si="2"/>
      </c>
      <c r="N33" s="455"/>
      <c r="O33" s="615">
        <f t="shared" si="3"/>
      </c>
      <c r="P33" s="616" t="str">
        <f t="shared" si="4"/>
        <v>--</v>
      </c>
      <c r="Q33" s="617" t="str">
        <f t="shared" si="5"/>
        <v>--</v>
      </c>
      <c r="R33" s="618" t="str">
        <f t="shared" si="6"/>
        <v>--</v>
      </c>
      <c r="S33" s="619" t="str">
        <f t="shared" si="7"/>
        <v>--</v>
      </c>
      <c r="T33" s="620" t="str">
        <f t="shared" si="8"/>
        <v>--</v>
      </c>
      <c r="U33" s="621" t="str">
        <f t="shared" si="9"/>
        <v>--</v>
      </c>
      <c r="V33" s="622" t="str">
        <f t="shared" si="10"/>
        <v>--</v>
      </c>
      <c r="W33" s="623" t="str">
        <f t="shared" si="11"/>
        <v>--</v>
      </c>
      <c r="X33" s="624" t="str">
        <f t="shared" si="12"/>
        <v>--</v>
      </c>
      <c r="Y33" s="625" t="str">
        <f t="shared" si="13"/>
        <v>--</v>
      </c>
      <c r="Z33" s="626">
        <f t="shared" si="14"/>
      </c>
      <c r="AA33" s="46">
        <f t="shared" si="15"/>
      </c>
      <c r="AB33" s="3"/>
    </row>
    <row r="34" spans="1:28" ht="16.5" customHeight="1">
      <c r="A34" s="1"/>
      <c r="B34" s="2"/>
      <c r="C34" s="446"/>
      <c r="D34" s="446"/>
      <c r="E34" s="446"/>
      <c r="F34" s="447"/>
      <c r="G34" s="448"/>
      <c r="H34" s="449"/>
      <c r="I34" s="238">
        <f t="shared" si="0"/>
        <v>17.4305</v>
      </c>
      <c r="J34" s="454"/>
      <c r="K34" s="454"/>
      <c r="L34" s="11">
        <f t="shared" si="1"/>
      </c>
      <c r="M34" s="12">
        <f t="shared" si="2"/>
      </c>
      <c r="N34" s="455"/>
      <c r="O34" s="615">
        <f t="shared" si="3"/>
      </c>
      <c r="P34" s="616" t="str">
        <f t="shared" si="4"/>
        <v>--</v>
      </c>
      <c r="Q34" s="617" t="str">
        <f t="shared" si="5"/>
        <v>--</v>
      </c>
      <c r="R34" s="618" t="str">
        <f t="shared" si="6"/>
        <v>--</v>
      </c>
      <c r="S34" s="619" t="str">
        <f t="shared" si="7"/>
        <v>--</v>
      </c>
      <c r="T34" s="620" t="str">
        <f t="shared" si="8"/>
        <v>--</v>
      </c>
      <c r="U34" s="621" t="str">
        <f t="shared" si="9"/>
        <v>--</v>
      </c>
      <c r="V34" s="622" t="str">
        <f t="shared" si="10"/>
        <v>--</v>
      </c>
      <c r="W34" s="623" t="str">
        <f t="shared" si="11"/>
        <v>--</v>
      </c>
      <c r="X34" s="624" t="str">
        <f t="shared" si="12"/>
        <v>--</v>
      </c>
      <c r="Y34" s="625" t="str">
        <f t="shared" si="13"/>
        <v>--</v>
      </c>
      <c r="Z34" s="626">
        <f t="shared" si="14"/>
      </c>
      <c r="AA34" s="46">
        <f t="shared" si="15"/>
      </c>
      <c r="AB34" s="3"/>
    </row>
    <row r="35" spans="1:28" ht="16.5" customHeight="1">
      <c r="A35" s="1"/>
      <c r="B35" s="2"/>
      <c r="C35" s="446"/>
      <c r="D35" s="446"/>
      <c r="E35" s="446"/>
      <c r="F35" s="447"/>
      <c r="G35" s="448"/>
      <c r="H35" s="449"/>
      <c r="I35" s="238">
        <f t="shared" si="0"/>
        <v>17.4305</v>
      </c>
      <c r="J35" s="454"/>
      <c r="K35" s="454"/>
      <c r="L35" s="11">
        <f t="shared" si="1"/>
      </c>
      <c r="M35" s="12">
        <f t="shared" si="2"/>
      </c>
      <c r="N35" s="455"/>
      <c r="O35" s="615">
        <f t="shared" si="3"/>
      </c>
      <c r="P35" s="616" t="str">
        <f t="shared" si="4"/>
        <v>--</v>
      </c>
      <c r="Q35" s="617" t="str">
        <f t="shared" si="5"/>
        <v>--</v>
      </c>
      <c r="R35" s="618" t="str">
        <f t="shared" si="6"/>
        <v>--</v>
      </c>
      <c r="S35" s="619" t="str">
        <f t="shared" si="7"/>
        <v>--</v>
      </c>
      <c r="T35" s="620" t="str">
        <f t="shared" si="8"/>
        <v>--</v>
      </c>
      <c r="U35" s="621" t="str">
        <f t="shared" si="9"/>
        <v>--</v>
      </c>
      <c r="V35" s="622" t="str">
        <f t="shared" si="10"/>
        <v>--</v>
      </c>
      <c r="W35" s="623" t="str">
        <f t="shared" si="11"/>
        <v>--</v>
      </c>
      <c r="X35" s="624" t="str">
        <f t="shared" si="12"/>
        <v>--</v>
      </c>
      <c r="Y35" s="625" t="str">
        <f t="shared" si="13"/>
        <v>--</v>
      </c>
      <c r="Z35" s="626">
        <f t="shared" si="14"/>
      </c>
      <c r="AA35" s="46">
        <f t="shared" si="15"/>
      </c>
      <c r="AB35" s="3"/>
    </row>
    <row r="36" spans="1:28" ht="16.5" customHeight="1">
      <c r="A36" s="1"/>
      <c r="B36" s="2"/>
      <c r="C36" s="446"/>
      <c r="D36" s="446"/>
      <c r="E36" s="446"/>
      <c r="F36" s="447"/>
      <c r="G36" s="448"/>
      <c r="H36" s="449"/>
      <c r="I36" s="238">
        <f t="shared" si="0"/>
        <v>17.4305</v>
      </c>
      <c r="J36" s="454"/>
      <c r="K36" s="454"/>
      <c r="L36" s="11">
        <f t="shared" si="1"/>
      </c>
      <c r="M36" s="12">
        <f t="shared" si="2"/>
      </c>
      <c r="N36" s="455"/>
      <c r="O36" s="615">
        <f t="shared" si="3"/>
      </c>
      <c r="P36" s="616" t="str">
        <f t="shared" si="4"/>
        <v>--</v>
      </c>
      <c r="Q36" s="617" t="str">
        <f t="shared" si="5"/>
        <v>--</v>
      </c>
      <c r="R36" s="618" t="str">
        <f t="shared" si="6"/>
        <v>--</v>
      </c>
      <c r="S36" s="619" t="str">
        <f t="shared" si="7"/>
        <v>--</v>
      </c>
      <c r="T36" s="620" t="str">
        <f t="shared" si="8"/>
        <v>--</v>
      </c>
      <c r="U36" s="621" t="str">
        <f t="shared" si="9"/>
        <v>--</v>
      </c>
      <c r="V36" s="622" t="str">
        <f t="shared" si="10"/>
        <v>--</v>
      </c>
      <c r="W36" s="623" t="str">
        <f t="shared" si="11"/>
        <v>--</v>
      </c>
      <c r="X36" s="624" t="str">
        <f t="shared" si="12"/>
        <v>--</v>
      </c>
      <c r="Y36" s="625" t="str">
        <f t="shared" si="13"/>
        <v>--</v>
      </c>
      <c r="Z36" s="626">
        <f t="shared" si="14"/>
      </c>
      <c r="AA36" s="46">
        <f t="shared" si="15"/>
      </c>
      <c r="AB36" s="3"/>
    </row>
    <row r="37" spans="1:28" ht="16.5" customHeight="1">
      <c r="A37" s="1"/>
      <c r="B37" s="2"/>
      <c r="C37" s="446"/>
      <c r="D37" s="446"/>
      <c r="E37" s="446"/>
      <c r="F37" s="447"/>
      <c r="G37" s="448"/>
      <c r="H37" s="449"/>
      <c r="I37" s="238">
        <f t="shared" si="0"/>
        <v>17.4305</v>
      </c>
      <c r="J37" s="454"/>
      <c r="K37" s="454"/>
      <c r="L37" s="11">
        <f t="shared" si="1"/>
      </c>
      <c r="M37" s="12">
        <f t="shared" si="2"/>
      </c>
      <c r="N37" s="455"/>
      <c r="O37" s="615">
        <f t="shared" si="3"/>
      </c>
      <c r="P37" s="616" t="str">
        <f t="shared" si="4"/>
        <v>--</v>
      </c>
      <c r="Q37" s="617" t="str">
        <f t="shared" si="5"/>
        <v>--</v>
      </c>
      <c r="R37" s="618" t="str">
        <f t="shared" si="6"/>
        <v>--</v>
      </c>
      <c r="S37" s="619" t="str">
        <f t="shared" si="7"/>
        <v>--</v>
      </c>
      <c r="T37" s="620" t="str">
        <f t="shared" si="8"/>
        <v>--</v>
      </c>
      <c r="U37" s="621" t="str">
        <f t="shared" si="9"/>
        <v>--</v>
      </c>
      <c r="V37" s="622" t="str">
        <f t="shared" si="10"/>
        <v>--</v>
      </c>
      <c r="W37" s="623" t="str">
        <f t="shared" si="11"/>
        <v>--</v>
      </c>
      <c r="X37" s="624" t="str">
        <f t="shared" si="12"/>
        <v>--</v>
      </c>
      <c r="Y37" s="625" t="str">
        <f t="shared" si="13"/>
        <v>--</v>
      </c>
      <c r="Z37" s="626">
        <f t="shared" si="14"/>
      </c>
      <c r="AA37" s="46">
        <f t="shared" si="15"/>
      </c>
      <c r="AB37" s="3"/>
    </row>
    <row r="38" spans="2:28" ht="16.5" customHeight="1">
      <c r="B38" s="47"/>
      <c r="C38" s="446"/>
      <c r="D38" s="446"/>
      <c r="E38" s="446"/>
      <c r="F38" s="447"/>
      <c r="G38" s="448"/>
      <c r="H38" s="449"/>
      <c r="I38" s="238">
        <f t="shared" si="0"/>
        <v>17.4305</v>
      </c>
      <c r="J38" s="454"/>
      <c r="K38" s="454"/>
      <c r="L38" s="11">
        <f t="shared" si="1"/>
      </c>
      <c r="M38" s="12">
        <f t="shared" si="2"/>
      </c>
      <c r="N38" s="455"/>
      <c r="O38" s="615">
        <f t="shared" si="3"/>
      </c>
      <c r="P38" s="616" t="str">
        <f t="shared" si="4"/>
        <v>--</v>
      </c>
      <c r="Q38" s="617" t="str">
        <f t="shared" si="5"/>
        <v>--</v>
      </c>
      <c r="R38" s="618" t="str">
        <f t="shared" si="6"/>
        <v>--</v>
      </c>
      <c r="S38" s="619" t="str">
        <f t="shared" si="7"/>
        <v>--</v>
      </c>
      <c r="T38" s="620" t="str">
        <f t="shared" si="8"/>
        <v>--</v>
      </c>
      <c r="U38" s="621" t="str">
        <f t="shared" si="9"/>
        <v>--</v>
      </c>
      <c r="V38" s="622" t="str">
        <f t="shared" si="10"/>
        <v>--</v>
      </c>
      <c r="W38" s="623" t="str">
        <f t="shared" si="11"/>
        <v>--</v>
      </c>
      <c r="X38" s="624" t="str">
        <f t="shared" si="12"/>
        <v>--</v>
      </c>
      <c r="Y38" s="625" t="str">
        <f t="shared" si="13"/>
        <v>--</v>
      </c>
      <c r="Z38" s="626">
        <f t="shared" si="14"/>
      </c>
      <c r="AA38" s="46">
        <f t="shared" si="15"/>
      </c>
      <c r="AB38" s="3"/>
    </row>
    <row r="39" spans="2:28" ht="16.5" customHeight="1">
      <c r="B39" s="47"/>
      <c r="C39" s="446"/>
      <c r="D39" s="446"/>
      <c r="E39" s="446"/>
      <c r="F39" s="447"/>
      <c r="G39" s="448"/>
      <c r="H39" s="449"/>
      <c r="I39" s="238">
        <f t="shared" si="0"/>
        <v>17.4305</v>
      </c>
      <c r="J39" s="454"/>
      <c r="K39" s="454"/>
      <c r="L39" s="11">
        <f t="shared" si="1"/>
      </c>
      <c r="M39" s="12">
        <f t="shared" si="2"/>
      </c>
      <c r="N39" s="455"/>
      <c r="O39" s="615">
        <f t="shared" si="3"/>
      </c>
      <c r="P39" s="616" t="str">
        <f t="shared" si="4"/>
        <v>--</v>
      </c>
      <c r="Q39" s="617" t="str">
        <f t="shared" si="5"/>
        <v>--</v>
      </c>
      <c r="R39" s="618" t="str">
        <f t="shared" si="6"/>
        <v>--</v>
      </c>
      <c r="S39" s="619" t="str">
        <f t="shared" si="7"/>
        <v>--</v>
      </c>
      <c r="T39" s="620" t="str">
        <f t="shared" si="8"/>
        <v>--</v>
      </c>
      <c r="U39" s="621" t="str">
        <f t="shared" si="9"/>
        <v>--</v>
      </c>
      <c r="V39" s="622" t="str">
        <f t="shared" si="10"/>
        <v>--</v>
      </c>
      <c r="W39" s="623" t="str">
        <f t="shared" si="11"/>
        <v>--</v>
      </c>
      <c r="X39" s="624" t="str">
        <f t="shared" si="12"/>
        <v>--</v>
      </c>
      <c r="Y39" s="625" t="str">
        <f t="shared" si="13"/>
        <v>--</v>
      </c>
      <c r="Z39" s="626">
        <f t="shared" si="14"/>
      </c>
      <c r="AA39" s="46">
        <f t="shared" si="15"/>
      </c>
      <c r="AB39" s="3"/>
    </row>
    <row r="40" spans="2:28" ht="16.5" customHeight="1">
      <c r="B40" s="47"/>
      <c r="C40" s="446"/>
      <c r="D40" s="446"/>
      <c r="E40" s="446"/>
      <c r="F40" s="447"/>
      <c r="G40" s="448"/>
      <c r="H40" s="449"/>
      <c r="I40" s="238">
        <f t="shared" si="0"/>
        <v>17.4305</v>
      </c>
      <c r="J40" s="454"/>
      <c r="K40" s="454"/>
      <c r="L40" s="11">
        <f t="shared" si="1"/>
      </c>
      <c r="M40" s="12">
        <f t="shared" si="2"/>
      </c>
      <c r="N40" s="455"/>
      <c r="O40" s="615">
        <f t="shared" si="3"/>
      </c>
      <c r="P40" s="616" t="str">
        <f t="shared" si="4"/>
        <v>--</v>
      </c>
      <c r="Q40" s="617" t="str">
        <f t="shared" si="5"/>
        <v>--</v>
      </c>
      <c r="R40" s="618" t="str">
        <f t="shared" si="6"/>
        <v>--</v>
      </c>
      <c r="S40" s="619" t="str">
        <f t="shared" si="7"/>
        <v>--</v>
      </c>
      <c r="T40" s="620" t="str">
        <f t="shared" si="8"/>
        <v>--</v>
      </c>
      <c r="U40" s="621" t="str">
        <f t="shared" si="9"/>
        <v>--</v>
      </c>
      <c r="V40" s="622" t="str">
        <f t="shared" si="10"/>
        <v>--</v>
      </c>
      <c r="W40" s="623" t="str">
        <f t="shared" si="11"/>
        <v>--</v>
      </c>
      <c r="X40" s="624" t="str">
        <f t="shared" si="12"/>
        <v>--</v>
      </c>
      <c r="Y40" s="625" t="str">
        <f t="shared" si="13"/>
        <v>--</v>
      </c>
      <c r="Z40" s="626">
        <f t="shared" si="14"/>
      </c>
      <c r="AA40" s="46">
        <f t="shared" si="15"/>
      </c>
      <c r="AB40" s="3"/>
    </row>
    <row r="41" spans="2:28" ht="16.5" customHeight="1">
      <c r="B41" s="47"/>
      <c r="C41" s="446"/>
      <c r="D41" s="446"/>
      <c r="E41" s="446"/>
      <c r="F41" s="447"/>
      <c r="G41" s="448"/>
      <c r="H41" s="449"/>
      <c r="I41" s="238">
        <f t="shared" si="0"/>
        <v>17.4305</v>
      </c>
      <c r="J41" s="454"/>
      <c r="K41" s="454"/>
      <c r="L41" s="11">
        <f t="shared" si="1"/>
      </c>
      <c r="M41" s="12">
        <f t="shared" si="2"/>
      </c>
      <c r="N41" s="455"/>
      <c r="O41" s="615">
        <f t="shared" si="3"/>
      </c>
      <c r="P41" s="616" t="str">
        <f t="shared" si="4"/>
        <v>--</v>
      </c>
      <c r="Q41" s="617" t="str">
        <f t="shared" si="5"/>
        <v>--</v>
      </c>
      <c r="R41" s="618" t="str">
        <f t="shared" si="6"/>
        <v>--</v>
      </c>
      <c r="S41" s="619" t="str">
        <f t="shared" si="7"/>
        <v>--</v>
      </c>
      <c r="T41" s="620" t="str">
        <f t="shared" si="8"/>
        <v>--</v>
      </c>
      <c r="U41" s="621" t="str">
        <f t="shared" si="9"/>
        <v>--</v>
      </c>
      <c r="V41" s="622" t="str">
        <f t="shared" si="10"/>
        <v>--</v>
      </c>
      <c r="W41" s="623" t="str">
        <f t="shared" si="11"/>
        <v>--</v>
      </c>
      <c r="X41" s="624" t="str">
        <f t="shared" si="12"/>
        <v>--</v>
      </c>
      <c r="Y41" s="625" t="str">
        <f t="shared" si="13"/>
        <v>--</v>
      </c>
      <c r="Z41" s="626">
        <f t="shared" si="14"/>
      </c>
      <c r="AA41" s="46">
        <f t="shared" si="15"/>
      </c>
      <c r="AB41" s="3"/>
    </row>
    <row r="42" spans="1:28" ht="16.5" customHeight="1" thickBot="1">
      <c r="A42" s="1"/>
      <c r="B42" s="2"/>
      <c r="C42" s="450"/>
      <c r="D42" s="450"/>
      <c r="E42" s="450"/>
      <c r="F42" s="451"/>
      <c r="G42" s="452"/>
      <c r="H42" s="453"/>
      <c r="I42" s="239"/>
      <c r="J42" s="453"/>
      <c r="K42" s="453"/>
      <c r="L42" s="13"/>
      <c r="M42" s="13"/>
      <c r="N42" s="453"/>
      <c r="O42" s="456"/>
      <c r="P42" s="457"/>
      <c r="Q42" s="458"/>
      <c r="R42" s="459"/>
      <c r="S42" s="460"/>
      <c r="T42" s="461"/>
      <c r="U42" s="462"/>
      <c r="V42" s="463"/>
      <c r="W42" s="464"/>
      <c r="X42" s="465"/>
      <c r="Y42" s="466"/>
      <c r="Z42" s="467"/>
      <c r="AA42" s="48"/>
      <c r="AB42" s="3"/>
    </row>
    <row r="43" spans="1:28" ht="16.5" customHeight="1" thickBot="1" thickTop="1">
      <c r="A43" s="1"/>
      <c r="B43" s="2"/>
      <c r="C43" s="665" t="s">
        <v>148</v>
      </c>
      <c r="D43" s="666" t="s">
        <v>147</v>
      </c>
      <c r="E43" s="611"/>
      <c r="F43" s="212"/>
      <c r="G43" s="14"/>
      <c r="H43" s="15"/>
      <c r="I43" s="49"/>
      <c r="J43" s="49"/>
      <c r="K43" s="49"/>
      <c r="L43" s="49"/>
      <c r="M43" s="49"/>
      <c r="N43" s="49"/>
      <c r="O43" s="50"/>
      <c r="P43" s="293">
        <f aca="true" t="shared" si="16" ref="P43:Y43">ROUND(SUM(P20:P42),2)</f>
        <v>256.94</v>
      </c>
      <c r="Q43" s="294">
        <f t="shared" si="16"/>
        <v>0</v>
      </c>
      <c r="R43" s="295">
        <f t="shared" si="16"/>
        <v>4340.19</v>
      </c>
      <c r="S43" s="295">
        <f t="shared" si="16"/>
        <v>4687.41</v>
      </c>
      <c r="T43" s="296">
        <f t="shared" si="16"/>
        <v>0</v>
      </c>
      <c r="U43" s="297">
        <f t="shared" si="16"/>
        <v>0</v>
      </c>
      <c r="V43" s="297">
        <f t="shared" si="16"/>
        <v>0</v>
      </c>
      <c r="W43" s="298">
        <f t="shared" si="16"/>
        <v>0</v>
      </c>
      <c r="X43" s="299">
        <f t="shared" si="16"/>
        <v>0</v>
      </c>
      <c r="Y43" s="300">
        <f t="shared" si="16"/>
        <v>0</v>
      </c>
      <c r="Z43" s="51"/>
      <c r="AA43" s="614">
        <f>ROUND(SUM(AA20:AA42),2)</f>
        <v>9284.54</v>
      </c>
      <c r="AB43" s="52"/>
    </row>
    <row r="44" spans="1:28" s="226" customFormat="1" ht="9.75" thickTop="1">
      <c r="A44" s="215"/>
      <c r="B44" s="216"/>
      <c r="C44" s="213"/>
      <c r="D44" s="213"/>
      <c r="E44" s="213"/>
      <c r="F44" s="214"/>
      <c r="G44" s="217"/>
      <c r="H44" s="218"/>
      <c r="I44" s="219"/>
      <c r="J44" s="219"/>
      <c r="K44" s="219"/>
      <c r="L44" s="219"/>
      <c r="M44" s="219"/>
      <c r="N44" s="219"/>
      <c r="O44" s="220"/>
      <c r="P44" s="221"/>
      <c r="Q44" s="221"/>
      <c r="R44" s="222"/>
      <c r="S44" s="222"/>
      <c r="T44" s="223"/>
      <c r="U44" s="223"/>
      <c r="V44" s="223"/>
      <c r="W44" s="223"/>
      <c r="X44" s="223"/>
      <c r="Y44" s="223"/>
      <c r="Z44" s="223"/>
      <c r="AA44" s="224"/>
      <c r="AB44" s="225"/>
    </row>
    <row r="45" spans="1:28" s="9" customFormat="1" ht="16.5" customHeight="1" thickBot="1">
      <c r="A45" s="7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4">
      <selection activeCell="A43" sqref="A43"/>
    </sheetView>
  </sheetViews>
  <sheetFormatPr defaultColWidth="13.421875" defaultRowHeight="12.75"/>
  <cols>
    <col min="1" max="1" width="13.8515625" style="0" customWidth="1"/>
    <col min="2" max="2" width="11.710937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18.28125" style="0" customWidth="1"/>
    <col min="8" max="8" width="24.8515625" style="0" bestFit="1" customWidth="1"/>
    <col min="9" max="9" width="18.421875" style="0" customWidth="1"/>
    <col min="10" max="10" width="16.140625" style="0" customWidth="1"/>
    <col min="11" max="11" width="9.140625" style="0" customWidth="1"/>
    <col min="12" max="12" width="36.42187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8.140625" style="0" customWidth="1"/>
  </cols>
  <sheetData>
    <row r="1" s="94" customFormat="1" ht="39.75" customHeight="1">
      <c r="P1" s="348"/>
    </row>
    <row r="2" spans="1:16" s="94" customFormat="1" ht="30" customHeight="1">
      <c r="A2" s="154"/>
      <c r="B2" s="609" t="str">
        <f>'TOT-0411'!B2</f>
        <v>ANEXO IV al Memorandum D.T.E.E.  N° 482 /2012</v>
      </c>
      <c r="C2" s="609"/>
      <c r="D2" s="609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4" s="97" customFormat="1" ht="12.75">
      <c r="A3" s="613" t="s">
        <v>134</v>
      </c>
      <c r="B3" s="9"/>
      <c r="C3" s="9"/>
      <c r="D3" s="9"/>
    </row>
    <row r="4" spans="1:4" s="97" customFormat="1" ht="11.25">
      <c r="A4" s="613" t="s">
        <v>133</v>
      </c>
      <c r="B4" s="202"/>
      <c r="C4" s="202"/>
      <c r="D4" s="202"/>
    </row>
    <row r="5" spans="1:4" s="9" customFormat="1" ht="13.5" thickBot="1">
      <c r="A5" s="613"/>
      <c r="B5" s="202"/>
      <c r="C5" s="202"/>
      <c r="D5" s="202"/>
    </row>
    <row r="6" spans="1:16" s="9" customFormat="1" ht="13.5" thickTop="1">
      <c r="A6" s="7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s="99" customFormat="1" ht="20.25">
      <c r="A7" s="36"/>
      <c r="B7" s="98"/>
      <c r="C7" s="36"/>
      <c r="D7" s="19" t="s">
        <v>41</v>
      </c>
      <c r="G7" s="36"/>
      <c r="H7" s="36"/>
      <c r="I7" s="36"/>
      <c r="J7" s="36"/>
      <c r="K7" s="36"/>
      <c r="L7" s="36"/>
      <c r="M7" s="36"/>
      <c r="N7" s="36"/>
      <c r="O7" s="36"/>
      <c r="P7" s="100"/>
    </row>
    <row r="8" spans="1:16" ht="15">
      <c r="A8" s="1"/>
      <c r="B8" s="242"/>
      <c r="C8" s="60"/>
      <c r="D8" s="349"/>
      <c r="E8" s="60"/>
      <c r="F8" s="58"/>
      <c r="G8" s="60"/>
      <c r="H8" s="60"/>
      <c r="I8" s="60"/>
      <c r="J8" s="60"/>
      <c r="K8" s="60"/>
      <c r="L8" s="60"/>
      <c r="M8" s="60"/>
      <c r="N8" s="60"/>
      <c r="O8" s="60"/>
      <c r="P8" s="246"/>
    </row>
    <row r="9" spans="1:19" s="99" customFormat="1" ht="20.25">
      <c r="A9" s="36"/>
      <c r="B9" s="350"/>
      <c r="C9"/>
      <c r="D9" s="20" t="s">
        <v>128</v>
      </c>
      <c r="E9" s="351"/>
      <c r="F9" s="351"/>
      <c r="G9" s="351"/>
      <c r="H9" s="352"/>
      <c r="I9" s="351"/>
      <c r="J9" s="351"/>
      <c r="K9" s="351"/>
      <c r="L9" s="351"/>
      <c r="M9" s="351"/>
      <c r="N9" s="351"/>
      <c r="O9" s="351"/>
      <c r="P9" s="353"/>
      <c r="Q9" s="203"/>
      <c r="R9" s="161"/>
      <c r="S9" s="161"/>
    </row>
    <row r="10" spans="1:19" s="9" customFormat="1" ht="12.75">
      <c r="A10" s="7"/>
      <c r="B10" s="35"/>
      <c r="C10" s="7"/>
      <c r="D10" s="54"/>
      <c r="E10" s="25"/>
      <c r="F10" s="25"/>
      <c r="G10" s="25"/>
      <c r="H10" s="153"/>
      <c r="I10" s="25"/>
      <c r="J10" s="25"/>
      <c r="K10" s="25"/>
      <c r="L10" s="25"/>
      <c r="M10" s="25"/>
      <c r="N10" s="25"/>
      <c r="O10" s="25"/>
      <c r="P10" s="29"/>
      <c r="Q10" s="25"/>
      <c r="R10" s="25"/>
      <c r="S10" s="160"/>
    </row>
    <row r="11" spans="1:19" s="106" customFormat="1" ht="19.5">
      <c r="A11" s="38"/>
      <c r="B11" s="206" t="str">
        <f>+'TOT-0411'!B14</f>
        <v>Desde el 01 al 30 de abril de 2011</v>
      </c>
      <c r="C11" s="128"/>
      <c r="D11" s="180"/>
      <c r="E11" s="180"/>
      <c r="F11" s="180"/>
      <c r="G11" s="180"/>
      <c r="H11" s="180"/>
      <c r="I11" s="128"/>
      <c r="J11" s="180"/>
      <c r="K11" s="180"/>
      <c r="L11" s="180"/>
      <c r="M11" s="180"/>
      <c r="N11" s="180"/>
      <c r="O11" s="180"/>
      <c r="P11" s="354"/>
      <c r="Q11" s="355"/>
      <c r="R11" s="355"/>
      <c r="S11" s="355"/>
    </row>
    <row r="12" spans="1:19" ht="15">
      <c r="A12" s="1"/>
      <c r="B12" s="242"/>
      <c r="C12" s="60"/>
      <c r="D12" s="56"/>
      <c r="E12" s="56"/>
      <c r="F12" s="56"/>
      <c r="G12" s="56"/>
      <c r="H12" s="356"/>
      <c r="I12" s="60"/>
      <c r="J12" s="56"/>
      <c r="K12" s="56"/>
      <c r="L12" s="56"/>
      <c r="M12" s="56"/>
      <c r="N12" s="56"/>
      <c r="O12" s="56"/>
      <c r="P12" s="57"/>
      <c r="Q12" s="4"/>
      <c r="R12" s="4"/>
      <c r="S12" s="357"/>
    </row>
    <row r="13" spans="1:19" ht="18" customHeight="1">
      <c r="A13" s="1"/>
      <c r="B13" s="242"/>
      <c r="C13" s="60"/>
      <c r="D13" s="56"/>
      <c r="E13" s="56"/>
      <c r="F13" s="56"/>
      <c r="G13" s="56"/>
      <c r="H13" s="68"/>
      <c r="I13" s="68"/>
      <c r="J13" s="56"/>
      <c r="K13" s="56"/>
      <c r="P13" s="57"/>
      <c r="Q13" s="4"/>
      <c r="R13" s="4"/>
      <c r="S13" s="357"/>
    </row>
    <row r="14" spans="1:19" ht="18" customHeight="1">
      <c r="A14" s="1"/>
      <c r="B14" s="242"/>
      <c r="C14" s="60"/>
      <c r="D14" s="55"/>
      <c r="E14" s="358"/>
      <c r="F14" s="56"/>
      <c r="G14" s="56"/>
      <c r="H14" s="68"/>
      <c r="I14" s="68"/>
      <c r="J14" s="56"/>
      <c r="K14" s="56"/>
      <c r="P14" s="57"/>
      <c r="Q14" s="4"/>
      <c r="R14" s="4"/>
      <c r="S14" s="357"/>
    </row>
    <row r="15" spans="1:16" ht="16.5" thickBot="1">
      <c r="A15" s="1"/>
      <c r="B15" s="242"/>
      <c r="C15" s="359" t="s">
        <v>85</v>
      </c>
      <c r="D15" s="58"/>
      <c r="E15" s="243"/>
      <c r="F15" s="244"/>
      <c r="G15" s="60"/>
      <c r="H15" s="60"/>
      <c r="I15" s="60"/>
      <c r="J15" s="59"/>
      <c r="K15" s="59"/>
      <c r="L15" s="245"/>
      <c r="M15" s="60"/>
      <c r="N15" s="60"/>
      <c r="O15" s="60"/>
      <c r="P15" s="246"/>
    </row>
    <row r="16" spans="1:16" ht="16.5" thickBot="1">
      <c r="A16" s="1"/>
      <c r="B16" s="242"/>
      <c r="C16" s="247"/>
      <c r="D16" s="58"/>
      <c r="E16" s="243"/>
      <c r="F16" s="244"/>
      <c r="G16" s="60"/>
      <c r="H16" s="60"/>
      <c r="L16" s="360" t="s">
        <v>82</v>
      </c>
      <c r="M16" s="361">
        <v>3.243</v>
      </c>
      <c r="N16" s="362"/>
      <c r="O16" s="60"/>
      <c r="P16" s="246"/>
    </row>
    <row r="17" spans="1:16" ht="15.75">
      <c r="A17" s="1"/>
      <c r="B17" s="242"/>
      <c r="C17" s="247"/>
      <c r="D17" s="59" t="s">
        <v>86</v>
      </c>
      <c r="E17" s="248">
        <f>MID(B11,16,2)*24</f>
        <v>720</v>
      </c>
      <c r="F17" s="60" t="s">
        <v>87</v>
      </c>
      <c r="G17" s="56"/>
      <c r="H17" s="363"/>
      <c r="I17" s="364" t="s">
        <v>88</v>
      </c>
      <c r="J17" s="365">
        <v>69.722</v>
      </c>
      <c r="K17" s="346"/>
      <c r="L17" s="366" t="s">
        <v>83</v>
      </c>
      <c r="M17" s="367">
        <v>2.433</v>
      </c>
      <c r="N17" s="368"/>
      <c r="O17" s="60"/>
      <c r="P17" s="246"/>
    </row>
    <row r="18" spans="1:16" ht="16.5" thickBot="1">
      <c r="A18" s="1"/>
      <c r="B18" s="242"/>
      <c r="C18" s="247"/>
      <c r="D18" s="59" t="s">
        <v>89</v>
      </c>
      <c r="E18" s="250">
        <v>0.025</v>
      </c>
      <c r="F18" s="56"/>
      <c r="G18" s="56"/>
      <c r="H18" s="369"/>
      <c r="I18" s="370" t="s">
        <v>90</v>
      </c>
      <c r="J18" s="371">
        <v>0.243</v>
      </c>
      <c r="K18" s="372"/>
      <c r="L18" s="373" t="s">
        <v>84</v>
      </c>
      <c r="M18" s="374">
        <v>2.433</v>
      </c>
      <c r="N18" s="375"/>
      <c r="O18" s="60"/>
      <c r="P18" s="246"/>
    </row>
    <row r="19" spans="1:16" ht="15.75">
      <c r="A19" s="1"/>
      <c r="B19" s="242"/>
      <c r="C19" s="247"/>
      <c r="D19" s="59"/>
      <c r="E19" s="250"/>
      <c r="F19" s="56"/>
      <c r="G19" s="56"/>
      <c r="H19" s="56"/>
      <c r="I19" s="56"/>
      <c r="L19" s="245"/>
      <c r="M19" s="60"/>
      <c r="N19" s="60"/>
      <c r="O19" s="60"/>
      <c r="P19" s="246"/>
    </row>
    <row r="20" spans="1:16" ht="15">
      <c r="A20" s="1"/>
      <c r="B20" s="242"/>
      <c r="C20" s="55" t="s">
        <v>91</v>
      </c>
      <c r="D20" s="63"/>
      <c r="E20" s="243"/>
      <c r="F20" s="244"/>
      <c r="G20" s="60"/>
      <c r="H20" s="60"/>
      <c r="I20" s="60"/>
      <c r="J20" s="59"/>
      <c r="K20" s="59"/>
      <c r="L20" s="245"/>
      <c r="M20" s="60"/>
      <c r="N20" s="60"/>
      <c r="O20" s="60"/>
      <c r="P20" s="246"/>
    </row>
    <row r="21" spans="1:16" ht="15">
      <c r="A21" s="1"/>
      <c r="B21" s="242"/>
      <c r="C21" s="60"/>
      <c r="D21" s="60"/>
      <c r="E21" s="60"/>
      <c r="F21" s="60"/>
      <c r="G21" s="60"/>
      <c r="H21" s="251"/>
      <c r="I21" s="60"/>
      <c r="J21" s="60"/>
      <c r="K21" s="60"/>
      <c r="L21" s="60"/>
      <c r="M21" s="60"/>
      <c r="N21" s="60"/>
      <c r="O21" s="60"/>
      <c r="P21" s="246"/>
    </row>
    <row r="22" spans="1:16" ht="15">
      <c r="A22" s="1"/>
      <c r="B22" s="242"/>
      <c r="C22" s="60"/>
      <c r="D22" s="59" t="s">
        <v>92</v>
      </c>
      <c r="E22" s="60"/>
      <c r="F22" s="251" t="s">
        <v>24</v>
      </c>
      <c r="G22" s="60"/>
      <c r="H22" s="58"/>
      <c r="I22" s="376">
        <v>0</v>
      </c>
      <c r="J22" s="60"/>
      <c r="K22" s="60"/>
      <c r="L22" s="377"/>
      <c r="M22" s="60"/>
      <c r="N22" s="60"/>
      <c r="O22" s="60"/>
      <c r="P22" s="246"/>
    </row>
    <row r="23" spans="1:16" ht="15">
      <c r="A23" s="1"/>
      <c r="B23" s="242"/>
      <c r="C23" s="60"/>
      <c r="D23" s="60"/>
      <c r="E23" s="60"/>
      <c r="F23" s="251" t="s">
        <v>94</v>
      </c>
      <c r="G23" s="60"/>
      <c r="H23" s="58"/>
      <c r="I23" s="376">
        <f>'TOT-0411'!I26</f>
        <v>6.51</v>
      </c>
      <c r="J23" s="60"/>
      <c r="K23" s="60"/>
      <c r="L23" s="377" t="s">
        <v>95</v>
      </c>
      <c r="M23" s="60"/>
      <c r="N23" s="60"/>
      <c r="O23" s="60"/>
      <c r="P23" s="246"/>
    </row>
    <row r="24" spans="1:16" ht="15">
      <c r="A24" s="1"/>
      <c r="B24" s="242"/>
      <c r="C24" s="60"/>
      <c r="D24" s="60"/>
      <c r="E24" s="60"/>
      <c r="F24" s="251" t="s">
        <v>3</v>
      </c>
      <c r="G24" s="60"/>
      <c r="H24" s="58"/>
      <c r="I24" s="378">
        <v>0</v>
      </c>
      <c r="J24" s="60"/>
      <c r="K24" s="60"/>
      <c r="L24" s="377"/>
      <c r="M24" s="60"/>
      <c r="N24" s="60"/>
      <c r="O24" s="60"/>
      <c r="P24" s="246"/>
    </row>
    <row r="25" spans="1:16" ht="15.75" thickBot="1">
      <c r="A25" s="1"/>
      <c r="B25" s="242"/>
      <c r="C25" s="60"/>
      <c r="D25" s="60"/>
      <c r="E25" s="60"/>
      <c r="F25" s="60"/>
      <c r="G25" s="60"/>
      <c r="H25" s="251"/>
      <c r="I25" s="60"/>
      <c r="J25" s="60"/>
      <c r="K25" s="60"/>
      <c r="L25" s="60"/>
      <c r="M25" s="60"/>
      <c r="N25" s="60"/>
      <c r="O25" s="60"/>
      <c r="P25" s="246"/>
    </row>
    <row r="26" spans="2:16" ht="20.25" thickBot="1" thickTop="1">
      <c r="B26" s="242"/>
      <c r="C26" s="67"/>
      <c r="H26" s="379" t="s">
        <v>96</v>
      </c>
      <c r="I26" s="141">
        <f>SUM(I22:I25)</f>
        <v>6.51</v>
      </c>
      <c r="L26" s="64"/>
      <c r="M26" s="64"/>
      <c r="N26" s="65"/>
      <c r="O26" s="66"/>
      <c r="P26" s="252"/>
    </row>
    <row r="27" spans="2:16" ht="15.75" thickTop="1">
      <c r="B27" s="242"/>
      <c r="C27" s="67"/>
      <c r="D27" s="63"/>
      <c r="E27" s="63"/>
      <c r="F27" s="69"/>
      <c r="G27" s="64"/>
      <c r="H27" s="64"/>
      <c r="I27" s="64"/>
      <c r="J27" s="64"/>
      <c r="K27" s="64"/>
      <c r="L27" s="64"/>
      <c r="M27" s="64"/>
      <c r="N27" s="65"/>
      <c r="O27" s="66"/>
      <c r="P27" s="252"/>
    </row>
    <row r="28" spans="2:16" ht="15">
      <c r="B28" s="242"/>
      <c r="C28" s="55" t="s">
        <v>97</v>
      </c>
      <c r="D28" s="63"/>
      <c r="E28" s="63"/>
      <c r="F28" s="69"/>
      <c r="G28" s="64"/>
      <c r="H28" s="64"/>
      <c r="I28" s="64"/>
      <c r="J28" s="64"/>
      <c r="K28" s="64"/>
      <c r="L28" s="64"/>
      <c r="M28" s="64"/>
      <c r="N28" s="65"/>
      <c r="O28" s="66"/>
      <c r="P28" s="252"/>
    </row>
    <row r="29" spans="2:16" ht="15">
      <c r="B29" s="242"/>
      <c r="C29" s="67"/>
      <c r="D29" s="63"/>
      <c r="E29" s="63"/>
      <c r="F29" s="69"/>
      <c r="G29" s="64"/>
      <c r="H29" s="64"/>
      <c r="I29" s="64"/>
      <c r="J29" s="64"/>
      <c r="K29" s="64"/>
      <c r="L29" s="64"/>
      <c r="M29" s="64"/>
      <c r="N29" s="65"/>
      <c r="O29" s="66"/>
      <c r="P29" s="252"/>
    </row>
    <row r="30" spans="2:16" ht="15.75">
      <c r="B30" s="242"/>
      <c r="C30" s="67"/>
      <c r="D30" s="380" t="s">
        <v>98</v>
      </c>
      <c r="E30" s="381" t="s">
        <v>20</v>
      </c>
      <c r="F30" s="382" t="s">
        <v>99</v>
      </c>
      <c r="G30" s="383"/>
      <c r="H30" s="590" t="s">
        <v>126</v>
      </c>
      <c r="I30" s="589" t="s">
        <v>125</v>
      </c>
      <c r="J30" s="585"/>
      <c r="K30" s="408"/>
      <c r="L30" s="386" t="s">
        <v>2</v>
      </c>
      <c r="N30" s="65"/>
      <c r="O30" s="66"/>
      <c r="P30" s="252"/>
    </row>
    <row r="31" spans="2:16" ht="15.75">
      <c r="B31" s="242"/>
      <c r="C31" s="67"/>
      <c r="D31" s="387" t="s">
        <v>5</v>
      </c>
      <c r="E31" s="388">
        <v>132</v>
      </c>
      <c r="F31" s="389">
        <v>31</v>
      </c>
      <c r="G31" s="390"/>
      <c r="H31" s="391">
        <f>F31*$J$17*$E$17/100</f>
        <v>15561.950399999998</v>
      </c>
      <c r="I31" s="392">
        <v>0</v>
      </c>
      <c r="J31" s="587" t="s">
        <v>135</v>
      </c>
      <c r="K31" s="394"/>
      <c r="L31" s="395">
        <f>SUM(H31:K31)</f>
        <v>15561.950399999998</v>
      </c>
      <c r="M31" s="64"/>
      <c r="N31" s="65"/>
      <c r="O31" s="66"/>
      <c r="P31" s="252"/>
    </row>
    <row r="32" spans="2:16" ht="15.75">
      <c r="B32" s="242"/>
      <c r="C32" s="67"/>
      <c r="D32" s="415" t="s">
        <v>6</v>
      </c>
      <c r="E32" s="63">
        <v>132</v>
      </c>
      <c r="F32" s="69">
        <v>110.3</v>
      </c>
      <c r="G32" s="64"/>
      <c r="H32" s="257">
        <f>F32*$J$17*$E$17/100</f>
        <v>55370.42351999999</v>
      </c>
      <c r="I32" s="432">
        <v>153</v>
      </c>
      <c r="J32" s="586" t="s">
        <v>135</v>
      </c>
      <c r="K32" s="249"/>
      <c r="L32" s="416">
        <f>SUM(H32:K32)</f>
        <v>55523.42351999999</v>
      </c>
      <c r="M32" s="64"/>
      <c r="N32" s="65"/>
      <c r="O32" s="66"/>
      <c r="P32" s="252"/>
    </row>
    <row r="33" spans="2:16" ht="15.75">
      <c r="B33" s="242"/>
      <c r="C33" s="67"/>
      <c r="D33" s="415" t="s">
        <v>7</v>
      </c>
      <c r="E33" s="63">
        <v>132</v>
      </c>
      <c r="F33" s="69">
        <v>185.6</v>
      </c>
      <c r="G33" s="64"/>
      <c r="H33" s="257">
        <f>F33*$J$17*$E$17/100</f>
        <v>93170.90303999999</v>
      </c>
      <c r="I33" s="432">
        <v>0</v>
      </c>
      <c r="J33" s="586" t="s">
        <v>135</v>
      </c>
      <c r="K33" s="249"/>
      <c r="L33" s="416">
        <f>SUM(H33:K33)</f>
        <v>93170.90303999999</v>
      </c>
      <c r="M33" s="64"/>
      <c r="N33" s="65"/>
      <c r="O33" s="66"/>
      <c r="P33" s="252"/>
    </row>
    <row r="34" spans="2:16" ht="15.75">
      <c r="B34" s="242"/>
      <c r="C34" s="67"/>
      <c r="D34" s="396" t="s">
        <v>8</v>
      </c>
      <c r="E34" s="397">
        <v>132</v>
      </c>
      <c r="F34" s="398">
        <v>7</v>
      </c>
      <c r="G34" s="399"/>
      <c r="H34" s="400">
        <f>F34*$J$17*$E$17/100</f>
        <v>3513.9888</v>
      </c>
      <c r="I34" s="401">
        <v>39</v>
      </c>
      <c r="J34" s="588" t="s">
        <v>135</v>
      </c>
      <c r="K34" s="403"/>
      <c r="L34" s="404">
        <f>SUM(H34:K34)</f>
        <v>3552.9888</v>
      </c>
      <c r="M34" s="64"/>
      <c r="N34" s="65"/>
      <c r="O34" s="66"/>
      <c r="P34" s="252"/>
    </row>
    <row r="35" spans="2:16" ht="15">
      <c r="B35" s="242"/>
      <c r="C35" s="67"/>
      <c r="D35" s="63"/>
      <c r="E35" s="63"/>
      <c r="F35" s="253"/>
      <c r="G35" s="64"/>
      <c r="I35" s="70"/>
      <c r="J35" s="249"/>
      <c r="K35" s="249"/>
      <c r="L35" s="405">
        <f>SUM(L31:L34)</f>
        <v>167809.26575999998</v>
      </c>
      <c r="M35" s="64"/>
      <c r="N35" s="65"/>
      <c r="O35" s="66"/>
      <c r="P35" s="252"/>
    </row>
    <row r="36" spans="2:16" ht="15">
      <c r="B36" s="242"/>
      <c r="C36" s="67"/>
      <c r="D36" s="63"/>
      <c r="E36" s="63"/>
      <c r="F36" s="253"/>
      <c r="G36" s="64"/>
      <c r="I36" s="70"/>
      <c r="J36" s="249"/>
      <c r="K36" s="249"/>
      <c r="L36" s="254"/>
      <c r="M36" s="64"/>
      <c r="N36" s="65"/>
      <c r="O36" s="66"/>
      <c r="P36" s="252"/>
    </row>
    <row r="37" spans="2:16" ht="15.75">
      <c r="B37" s="242"/>
      <c r="C37" s="67"/>
      <c r="D37" s="380" t="s">
        <v>100</v>
      </c>
      <c r="E37" s="381" t="s">
        <v>101</v>
      </c>
      <c r="F37" s="433" t="s">
        <v>113</v>
      </c>
      <c r="G37" s="434"/>
      <c r="H37" s="591" t="s">
        <v>127</v>
      </c>
      <c r="J37" s="406" t="s">
        <v>103</v>
      </c>
      <c r="K37" s="407"/>
      <c r="L37" s="408" t="s">
        <v>51</v>
      </c>
      <c r="M37" s="381" t="s">
        <v>20</v>
      </c>
      <c r="N37" s="409" t="s">
        <v>104</v>
      </c>
      <c r="O37" s="410"/>
      <c r="P37" s="252"/>
    </row>
    <row r="38" spans="2:16" ht="15">
      <c r="B38" s="242"/>
      <c r="C38" s="67"/>
      <c r="D38" s="387" t="s">
        <v>12</v>
      </c>
      <c r="E38" s="388" t="s">
        <v>114</v>
      </c>
      <c r="F38" s="435">
        <v>30</v>
      </c>
      <c r="G38" s="436"/>
      <c r="H38" s="395">
        <f>+F38*$J$18*$E$17</f>
        <v>5248.8</v>
      </c>
      <c r="J38" s="411" t="s">
        <v>115</v>
      </c>
      <c r="K38" s="393"/>
      <c r="L38" s="390" t="s">
        <v>116</v>
      </c>
      <c r="M38" s="412">
        <v>132</v>
      </c>
      <c r="N38" s="413">
        <f>M16*E17</f>
        <v>2334.96</v>
      </c>
      <c r="O38" s="414"/>
      <c r="P38" s="252"/>
    </row>
    <row r="39" spans="2:16" ht="15">
      <c r="B39" s="242"/>
      <c r="C39" s="67"/>
      <c r="D39" s="415" t="s">
        <v>15</v>
      </c>
      <c r="E39" s="63" t="s">
        <v>117</v>
      </c>
      <c r="F39" s="437">
        <v>88</v>
      </c>
      <c r="G39" s="438"/>
      <c r="H39" s="416">
        <f>+F39*$J$18*$E$17</f>
        <v>15396.48</v>
      </c>
      <c r="J39" s="417" t="s">
        <v>13</v>
      </c>
      <c r="K39" s="418"/>
      <c r="L39" s="64" t="s">
        <v>118</v>
      </c>
      <c r="M39" s="65">
        <v>33</v>
      </c>
      <c r="N39" s="419">
        <f>+M17*E17*2</f>
        <v>3503.5199999999995</v>
      </c>
      <c r="O39" s="420"/>
      <c r="P39" s="252"/>
    </row>
    <row r="40" spans="2:16" ht="15">
      <c r="B40" s="242"/>
      <c r="C40" s="67"/>
      <c r="D40" s="415" t="s">
        <v>13</v>
      </c>
      <c r="E40" s="63" t="s">
        <v>10</v>
      </c>
      <c r="F40" s="437">
        <v>7.5</v>
      </c>
      <c r="G40" s="438"/>
      <c r="H40" s="416">
        <f>+F40*$J$18*$E$17</f>
        <v>1312.2</v>
      </c>
      <c r="J40" s="417" t="s">
        <v>14</v>
      </c>
      <c r="K40" s="418"/>
      <c r="L40" s="64" t="s">
        <v>119</v>
      </c>
      <c r="M40" s="65">
        <v>33</v>
      </c>
      <c r="N40" s="419">
        <f>3*M17*E17</f>
        <v>5255.28</v>
      </c>
      <c r="O40" s="420"/>
      <c r="P40" s="252"/>
    </row>
    <row r="41" spans="2:16" ht="15">
      <c r="B41" s="242"/>
      <c r="C41" s="67"/>
      <c r="D41" s="415" t="s">
        <v>14</v>
      </c>
      <c r="E41" s="63" t="s">
        <v>10</v>
      </c>
      <c r="F41" s="437">
        <v>15</v>
      </c>
      <c r="G41" s="438"/>
      <c r="H41" s="416">
        <f>+F41*$J$18*$E$17</f>
        <v>2624.4</v>
      </c>
      <c r="J41" s="417" t="s">
        <v>16</v>
      </c>
      <c r="K41" s="418"/>
      <c r="L41" s="64" t="s">
        <v>120</v>
      </c>
      <c r="M41" s="65">
        <v>13.2</v>
      </c>
      <c r="N41" s="419">
        <f>+M18*E17*6</f>
        <v>10510.559999999998</v>
      </c>
      <c r="O41" s="420"/>
      <c r="P41" s="252"/>
    </row>
    <row r="42" spans="2:16" ht="15">
      <c r="B42" s="242"/>
      <c r="C42" s="67"/>
      <c r="D42" s="396" t="s">
        <v>16</v>
      </c>
      <c r="E42" s="397" t="s">
        <v>121</v>
      </c>
      <c r="F42" s="439">
        <v>30</v>
      </c>
      <c r="G42" s="440"/>
      <c r="H42" s="416">
        <f>+F42*$J$18*$E$17</f>
        <v>5248.8</v>
      </c>
      <c r="J42" s="417" t="s">
        <v>12</v>
      </c>
      <c r="K42" s="418"/>
      <c r="L42" s="64" t="s">
        <v>122</v>
      </c>
      <c r="M42" s="65"/>
      <c r="N42" s="419">
        <f>+M17*E17+M18*E17*2</f>
        <v>5255.279999999999</v>
      </c>
      <c r="O42" s="420"/>
      <c r="P42" s="252"/>
    </row>
    <row r="43" spans="2:16" ht="15">
      <c r="B43" s="242"/>
      <c r="C43" s="67"/>
      <c r="D43" s="63"/>
      <c r="E43" s="63"/>
      <c r="F43" s="253"/>
      <c r="G43" s="64"/>
      <c r="H43" s="405">
        <f>SUM(H38:H42)</f>
        <v>29830.68</v>
      </c>
      <c r="J43" s="421" t="s">
        <v>15</v>
      </c>
      <c r="K43" s="402"/>
      <c r="L43" s="399" t="s">
        <v>123</v>
      </c>
      <c r="M43" s="422"/>
      <c r="N43" s="423">
        <f>(M16+M17+M18*5)*E17</f>
        <v>12845.52</v>
      </c>
      <c r="O43" s="424"/>
      <c r="P43" s="252"/>
    </row>
    <row r="44" spans="2:16" ht="15">
      <c r="B44" s="242"/>
      <c r="C44" s="67"/>
      <c r="D44" s="63"/>
      <c r="E44" s="63"/>
      <c r="F44" s="253"/>
      <c r="G44" s="64"/>
      <c r="I44" s="70"/>
      <c r="J44" s="249"/>
      <c r="K44" s="249"/>
      <c r="L44" s="254"/>
      <c r="M44" s="64"/>
      <c r="N44" s="425">
        <f>SUM(N38:N43)</f>
        <v>39705.119999999995</v>
      </c>
      <c r="O44" s="410"/>
      <c r="P44" s="252"/>
    </row>
    <row r="45" spans="2:16" ht="12.75" customHeight="1" thickBot="1">
      <c r="B45" s="242"/>
      <c r="C45" s="67"/>
      <c r="D45" s="63"/>
      <c r="E45" s="63"/>
      <c r="F45" s="69"/>
      <c r="G45" s="64"/>
      <c r="H45" s="70"/>
      <c r="I45" s="63"/>
      <c r="J45" s="63"/>
      <c r="K45" s="63"/>
      <c r="L45" s="64"/>
      <c r="M45" s="64"/>
      <c r="N45" s="65"/>
      <c r="O45" s="66"/>
      <c r="P45" s="252"/>
    </row>
    <row r="46" spans="2:16" ht="20.25" thickBot="1" thickTop="1">
      <c r="B46" s="242"/>
      <c r="C46" s="67"/>
      <c r="D46" s="63"/>
      <c r="E46" s="63"/>
      <c r="F46" s="69"/>
      <c r="G46" s="64"/>
      <c r="H46" s="426" t="s">
        <v>105</v>
      </c>
      <c r="I46" s="427">
        <f>+H43+N44+L35</f>
        <v>237345.06575999997</v>
      </c>
      <c r="J46" s="63"/>
      <c r="K46" s="63"/>
      <c r="L46" s="64"/>
      <c r="M46" s="64"/>
      <c r="N46" s="65"/>
      <c r="O46" s="66"/>
      <c r="P46" s="252"/>
    </row>
    <row r="47" spans="2:16" ht="15.75" thickTop="1">
      <c r="B47" s="242"/>
      <c r="C47" s="67"/>
      <c r="D47" s="63"/>
      <c r="E47" s="63"/>
      <c r="F47" s="69"/>
      <c r="G47" s="64"/>
      <c r="H47" s="70"/>
      <c r="I47" s="63"/>
      <c r="J47" s="63"/>
      <c r="K47" s="63"/>
      <c r="L47" s="64"/>
      <c r="M47" s="64"/>
      <c r="N47" s="65"/>
      <c r="O47" s="66"/>
      <c r="P47" s="252"/>
    </row>
    <row r="48" spans="2:16" ht="15.75">
      <c r="B48" s="242"/>
      <c r="C48" s="428" t="s">
        <v>106</v>
      </c>
      <c r="D48" s="63"/>
      <c r="E48" s="63"/>
      <c r="F48" s="69"/>
      <c r="G48" s="64"/>
      <c r="H48" s="70"/>
      <c r="I48" s="63"/>
      <c r="J48" s="63"/>
      <c r="K48" s="63"/>
      <c r="L48" s="64"/>
      <c r="M48" s="64"/>
      <c r="N48" s="65"/>
      <c r="O48" s="66"/>
      <c r="P48" s="252"/>
    </row>
    <row r="49" spans="2:16" ht="15.75" thickBot="1">
      <c r="B49" s="242"/>
      <c r="C49" s="67"/>
      <c r="D49" s="63"/>
      <c r="E49" s="63"/>
      <c r="F49" s="69"/>
      <c r="G49" s="64"/>
      <c r="H49" s="70"/>
      <c r="I49" s="63"/>
      <c r="J49" s="63"/>
      <c r="K49" s="63"/>
      <c r="L49" s="64"/>
      <c r="M49" s="64"/>
      <c r="N49" s="65"/>
      <c r="O49" s="66"/>
      <c r="P49" s="252"/>
    </row>
    <row r="50" spans="2:16" ht="20.25" thickBot="1" thickTop="1">
      <c r="B50" s="242"/>
      <c r="C50" s="67"/>
      <c r="D50" s="204" t="s">
        <v>107</v>
      </c>
      <c r="F50" s="255"/>
      <c r="G50" s="60"/>
      <c r="H50" s="140" t="s">
        <v>108</v>
      </c>
      <c r="I50" s="429">
        <f>E18*I46</f>
        <v>5933.626644</v>
      </c>
      <c r="J50" s="56"/>
      <c r="K50" s="56"/>
      <c r="O50" s="56"/>
      <c r="P50" s="252"/>
    </row>
    <row r="51" spans="2:16" ht="21.75" thickTop="1">
      <c r="B51" s="242"/>
      <c r="C51" s="67"/>
      <c r="F51" s="256"/>
      <c r="G51" s="36"/>
      <c r="I51" s="56"/>
      <c r="J51" s="56"/>
      <c r="K51" s="56"/>
      <c r="O51" s="56"/>
      <c r="P51" s="252"/>
    </row>
    <row r="52" spans="2:16" ht="15">
      <c r="B52" s="242"/>
      <c r="C52" s="55" t="s">
        <v>109</v>
      </c>
      <c r="E52" s="56"/>
      <c r="F52" s="56"/>
      <c r="G52" s="56"/>
      <c r="H52" s="56"/>
      <c r="I52" s="64"/>
      <c r="J52" s="64"/>
      <c r="K52" s="64"/>
      <c r="L52" s="64"/>
      <c r="M52" s="64"/>
      <c r="N52" s="65"/>
      <c r="O52" s="66"/>
      <c r="P52" s="252"/>
    </row>
    <row r="53" spans="2:16" ht="15">
      <c r="B53" s="242"/>
      <c r="C53" s="67"/>
      <c r="D53" s="62" t="s">
        <v>110</v>
      </c>
      <c r="E53" s="257">
        <f>10*I26*I50/I46</f>
        <v>1.6275</v>
      </c>
      <c r="F53" s="430"/>
      <c r="H53" s="56"/>
      <c r="I53" s="64"/>
      <c r="J53" s="64"/>
      <c r="K53" s="64"/>
      <c r="L53" s="64"/>
      <c r="M53" s="64"/>
      <c r="N53" s="65"/>
      <c r="O53" s="66"/>
      <c r="P53" s="252"/>
    </row>
    <row r="54" spans="2:16" ht="15">
      <c r="B54" s="242"/>
      <c r="C54" s="67"/>
      <c r="D54" s="56"/>
      <c r="E54" s="56"/>
      <c r="J54" s="64"/>
      <c r="K54" s="64"/>
      <c r="L54" s="64"/>
      <c r="M54" s="64"/>
      <c r="N54" s="65"/>
      <c r="O54" s="66"/>
      <c r="P54" s="252"/>
    </row>
    <row r="55" spans="2:16" ht="15">
      <c r="B55" s="242"/>
      <c r="C55" s="67"/>
      <c r="D55" s="56" t="s">
        <v>124</v>
      </c>
      <c r="E55" s="56"/>
      <c r="F55" s="56"/>
      <c r="G55" s="56"/>
      <c r="H55" s="56"/>
      <c r="M55" s="64"/>
      <c r="N55" s="65"/>
      <c r="O55" s="66"/>
      <c r="P55" s="252"/>
    </row>
    <row r="56" spans="2:16" ht="15.75" thickBot="1">
      <c r="B56" s="242"/>
      <c r="C56" s="67"/>
      <c r="D56" s="56"/>
      <c r="E56" s="56"/>
      <c r="F56" s="56"/>
      <c r="G56" s="56"/>
      <c r="H56" s="56"/>
      <c r="M56" s="64"/>
      <c r="N56" s="65"/>
      <c r="O56" s="66"/>
      <c r="P56" s="252"/>
    </row>
    <row r="57" spans="2:16" ht="20.25" thickBot="1" thickTop="1">
      <c r="B57" s="242"/>
      <c r="C57" s="67"/>
      <c r="D57" s="63"/>
      <c r="E57" s="63"/>
      <c r="F57" s="69"/>
      <c r="G57" s="64"/>
      <c r="H57" s="205" t="s">
        <v>112</v>
      </c>
      <c r="I57" s="431">
        <f>IF($E$53&gt;3*I50,3*I50,$E$53)</f>
        <v>1.6275</v>
      </c>
      <c r="J57" s="64"/>
      <c r="K57" s="64"/>
      <c r="L57" s="64"/>
      <c r="M57" s="64"/>
      <c r="N57" s="65"/>
      <c r="O57" s="66"/>
      <c r="P57" s="252"/>
    </row>
    <row r="58" spans="2:16" ht="16.5" thickBot="1" thickTop="1">
      <c r="B58" s="258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60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3" right="0.1968503937007874" top="0.46" bottom="0.64" header="0.26" footer="0.4"/>
  <pageSetup fitToHeight="1" fitToWidth="1" orientation="landscape" paperSize="9" scale="54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105"/>
  <sheetViews>
    <sheetView zoomScale="55" zoomScaleNormal="55" workbookViewId="0" topLeftCell="A1">
      <selection activeCell="A43" sqref="A43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5.003906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94" customFormat="1" ht="39.75" customHeight="1">
      <c r="P1" s="348"/>
    </row>
    <row r="2" spans="1:16" s="94" customFormat="1" ht="26.25">
      <c r="A2" s="154"/>
      <c r="B2" s="609" t="str">
        <f>'TOT-0411'!B2</f>
        <v>ANEXO IV al Memorandum D.T.E.E.  N° 482 /2012</v>
      </c>
      <c r="C2" s="609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3" s="97" customFormat="1" ht="12.75">
      <c r="A3" s="613" t="s">
        <v>134</v>
      </c>
      <c r="B3" s="9"/>
      <c r="C3" s="9"/>
    </row>
    <row r="4" spans="1:3" s="97" customFormat="1" ht="11.25">
      <c r="A4" s="613" t="s">
        <v>133</v>
      </c>
      <c r="B4" s="202"/>
      <c r="C4" s="202"/>
    </row>
    <row r="5" s="9" customFormat="1" ht="13.5" thickBot="1"/>
    <row r="6" spans="1:16" s="9" customFormat="1" ht="13.5" thickTop="1">
      <c r="A6" s="7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s="99" customFormat="1" ht="20.25">
      <c r="A7" s="36"/>
      <c r="B7" s="98"/>
      <c r="C7" s="36"/>
      <c r="D7" s="19" t="s">
        <v>41</v>
      </c>
      <c r="G7" s="36"/>
      <c r="H7" s="36"/>
      <c r="I7" s="36"/>
      <c r="J7" s="36"/>
      <c r="K7" s="36"/>
      <c r="L7" s="36"/>
      <c r="M7" s="36"/>
      <c r="N7" s="36"/>
      <c r="O7" s="36"/>
      <c r="P7" s="100"/>
    </row>
    <row r="8" spans="1:16" ht="15">
      <c r="A8" s="1"/>
      <c r="B8" s="242"/>
      <c r="C8" s="60"/>
      <c r="D8" s="349"/>
      <c r="E8" s="60"/>
      <c r="F8" s="58"/>
      <c r="G8" s="60"/>
      <c r="H8" s="60"/>
      <c r="I8" s="60"/>
      <c r="J8" s="60"/>
      <c r="K8" s="60"/>
      <c r="L8" s="60"/>
      <c r="M8" s="60"/>
      <c r="N8" s="60"/>
      <c r="O8" s="60"/>
      <c r="P8" s="246"/>
    </row>
    <row r="9" spans="1:19" s="99" customFormat="1" ht="20.25">
      <c r="A9" s="36"/>
      <c r="B9" s="350"/>
      <c r="C9"/>
      <c r="D9" s="20" t="s">
        <v>129</v>
      </c>
      <c r="E9" s="351"/>
      <c r="F9" s="351"/>
      <c r="G9" s="351"/>
      <c r="H9" s="352"/>
      <c r="I9" s="351"/>
      <c r="J9" s="351"/>
      <c r="K9" s="351"/>
      <c r="L9" s="351"/>
      <c r="M9" s="351"/>
      <c r="N9" s="351"/>
      <c r="O9" s="351"/>
      <c r="P9" s="353"/>
      <c r="Q9" s="203"/>
      <c r="R9" s="161"/>
      <c r="S9" s="161"/>
    </row>
    <row r="10" spans="1:19" s="9" customFormat="1" ht="12.75">
      <c r="A10" s="7"/>
      <c r="B10" s="35"/>
      <c r="C10" s="7"/>
      <c r="D10" s="54"/>
      <c r="E10" s="25"/>
      <c r="F10" s="25"/>
      <c r="G10" s="25"/>
      <c r="H10" s="153"/>
      <c r="I10" s="25"/>
      <c r="J10" s="25"/>
      <c r="K10" s="25"/>
      <c r="L10" s="25"/>
      <c r="M10" s="25"/>
      <c r="N10" s="25"/>
      <c r="O10" s="25"/>
      <c r="P10" s="29"/>
      <c r="Q10" s="25"/>
      <c r="R10" s="25"/>
      <c r="S10" s="160"/>
    </row>
    <row r="11" spans="1:19" s="106" customFormat="1" ht="19.5">
      <c r="A11" s="38"/>
      <c r="B11" s="206" t="str">
        <f>+'TOT-0411'!B14</f>
        <v>Desde el 01 al 30 de abril de 2011</v>
      </c>
      <c r="C11" s="128"/>
      <c r="D11" s="180"/>
      <c r="E11" s="180"/>
      <c r="F11" s="180"/>
      <c r="G11" s="180"/>
      <c r="H11" s="180"/>
      <c r="I11" s="128"/>
      <c r="J11" s="180"/>
      <c r="K11" s="180"/>
      <c r="L11" s="180"/>
      <c r="M11" s="180"/>
      <c r="N11" s="180"/>
      <c r="O11" s="180"/>
      <c r="P11" s="354"/>
      <c r="Q11" s="355"/>
      <c r="R11" s="355"/>
      <c r="S11" s="355"/>
    </row>
    <row r="12" spans="1:19" ht="15">
      <c r="A12" s="1"/>
      <c r="B12" s="242"/>
      <c r="C12" s="60"/>
      <c r="D12" s="56"/>
      <c r="E12" s="56"/>
      <c r="F12" s="56"/>
      <c r="G12" s="56"/>
      <c r="H12" s="356"/>
      <c r="I12" s="60"/>
      <c r="J12" s="56"/>
      <c r="K12" s="56"/>
      <c r="L12" s="56"/>
      <c r="M12" s="56"/>
      <c r="N12" s="56"/>
      <c r="O12" s="56"/>
      <c r="P12" s="57"/>
      <c r="Q12" s="4"/>
      <c r="R12" s="4"/>
      <c r="S12" s="357"/>
    </row>
    <row r="13" spans="1:19" ht="18" customHeight="1">
      <c r="A13" s="1"/>
      <c r="B13" s="242"/>
      <c r="C13" s="60"/>
      <c r="D13" s="56"/>
      <c r="E13" s="56"/>
      <c r="F13" s="56"/>
      <c r="G13" s="56"/>
      <c r="H13" s="68"/>
      <c r="I13" s="68"/>
      <c r="J13" s="56"/>
      <c r="K13" s="56"/>
      <c r="P13" s="57"/>
      <c r="Q13" s="4"/>
      <c r="R13" s="4"/>
      <c r="S13" s="357"/>
    </row>
    <row r="14" spans="1:19" ht="18" customHeight="1">
      <c r="A14" s="1"/>
      <c r="B14" s="242"/>
      <c r="C14" s="60"/>
      <c r="D14" s="55"/>
      <c r="E14" s="358"/>
      <c r="F14" s="56"/>
      <c r="G14" s="56"/>
      <c r="H14" s="68"/>
      <c r="I14" s="68"/>
      <c r="J14" s="56"/>
      <c r="K14" s="56"/>
      <c r="P14" s="57"/>
      <c r="Q14" s="4"/>
      <c r="R14" s="4"/>
      <c r="S14" s="357"/>
    </row>
    <row r="15" spans="1:16" ht="16.5" thickBot="1">
      <c r="A15" s="1"/>
      <c r="B15" s="242"/>
      <c r="C15" s="359" t="s">
        <v>85</v>
      </c>
      <c r="D15" s="58"/>
      <c r="E15" s="243"/>
      <c r="F15" s="244"/>
      <c r="G15" s="60"/>
      <c r="H15" s="60"/>
      <c r="I15" s="60"/>
      <c r="J15" s="59"/>
      <c r="K15" s="59"/>
      <c r="L15" s="245"/>
      <c r="M15" s="60"/>
      <c r="N15" s="60"/>
      <c r="O15" s="60"/>
      <c r="P15" s="246"/>
    </row>
    <row r="16" spans="1:16" ht="16.5" thickBot="1">
      <c r="A16" s="1"/>
      <c r="B16" s="242"/>
      <c r="C16" s="247"/>
      <c r="D16" s="58"/>
      <c r="E16" s="243"/>
      <c r="F16" s="244"/>
      <c r="G16" s="60"/>
      <c r="H16" s="60"/>
      <c r="L16" s="360" t="s">
        <v>82</v>
      </c>
      <c r="M16" s="361" t="s">
        <v>153</v>
      </c>
      <c r="N16" s="362"/>
      <c r="O16" s="60"/>
      <c r="P16" s="246"/>
    </row>
    <row r="17" spans="1:16" ht="15.75">
      <c r="A17" s="1"/>
      <c r="B17" s="242"/>
      <c r="C17" s="247"/>
      <c r="D17" s="59" t="s">
        <v>86</v>
      </c>
      <c r="E17" s="248">
        <f>MID(B11,16,2)*24</f>
        <v>720</v>
      </c>
      <c r="F17" s="60" t="s">
        <v>87</v>
      </c>
      <c r="G17" s="56"/>
      <c r="H17" s="363"/>
      <c r="I17" s="364" t="s">
        <v>88</v>
      </c>
      <c r="J17" s="365">
        <v>69.722</v>
      </c>
      <c r="K17" s="346"/>
      <c r="L17" s="366" t="s">
        <v>83</v>
      </c>
      <c r="M17" s="367" t="s">
        <v>153</v>
      </c>
      <c r="N17" s="368"/>
      <c r="O17" s="60"/>
      <c r="P17" s="246"/>
    </row>
    <row r="18" spans="1:16" ht="16.5" thickBot="1">
      <c r="A18" s="1"/>
      <c r="B18" s="242"/>
      <c r="C18" s="247"/>
      <c r="D18" s="59" t="s">
        <v>89</v>
      </c>
      <c r="E18" s="250">
        <v>0.025</v>
      </c>
      <c r="F18" s="56"/>
      <c r="G18" s="56"/>
      <c r="H18" s="369"/>
      <c r="I18" s="370" t="s">
        <v>90</v>
      </c>
      <c r="J18" s="371">
        <v>0.243</v>
      </c>
      <c r="K18" s="372"/>
      <c r="L18" s="373" t="s">
        <v>84</v>
      </c>
      <c r="M18" s="374">
        <v>2.433</v>
      </c>
      <c r="N18" s="375"/>
      <c r="O18" s="60"/>
      <c r="P18" s="246"/>
    </row>
    <row r="19" spans="1:16" ht="15.75">
      <c r="A19" s="1"/>
      <c r="B19" s="242"/>
      <c r="C19" s="247"/>
      <c r="D19" s="59"/>
      <c r="E19" s="250"/>
      <c r="F19" s="56"/>
      <c r="G19" s="56"/>
      <c r="H19" s="56"/>
      <c r="I19" s="56"/>
      <c r="L19" s="245"/>
      <c r="M19" s="60"/>
      <c r="N19" s="60"/>
      <c r="O19" s="60"/>
      <c r="P19" s="246"/>
    </row>
    <row r="20" spans="1:16" ht="15">
      <c r="A20" s="1"/>
      <c r="B20" s="242"/>
      <c r="C20" s="55" t="s">
        <v>91</v>
      </c>
      <c r="D20" s="63"/>
      <c r="E20" s="243"/>
      <c r="F20" s="244"/>
      <c r="G20" s="60"/>
      <c r="H20" s="60"/>
      <c r="I20" s="60"/>
      <c r="J20" s="59"/>
      <c r="K20" s="59"/>
      <c r="L20" s="245"/>
      <c r="M20" s="60"/>
      <c r="N20" s="60"/>
      <c r="O20" s="60"/>
      <c r="P20" s="246"/>
    </row>
    <row r="21" spans="1:16" ht="15">
      <c r="A21" s="1"/>
      <c r="B21" s="242"/>
      <c r="C21" s="60"/>
      <c r="D21" s="60"/>
      <c r="E21" s="60"/>
      <c r="F21" s="60"/>
      <c r="G21" s="60"/>
      <c r="H21" s="251"/>
      <c r="I21" s="60"/>
      <c r="J21" s="60"/>
      <c r="K21" s="60"/>
      <c r="L21" s="60"/>
      <c r="M21" s="60"/>
      <c r="N21" s="60"/>
      <c r="O21" s="60"/>
      <c r="P21" s="246"/>
    </row>
    <row r="22" spans="1:16" ht="15">
      <c r="A22" s="1"/>
      <c r="B22" s="242"/>
      <c r="C22" s="60"/>
      <c r="D22" s="59" t="s">
        <v>92</v>
      </c>
      <c r="E22" s="60"/>
      <c r="F22" s="251" t="s">
        <v>24</v>
      </c>
      <c r="G22" s="60"/>
      <c r="H22" s="58"/>
      <c r="I22" s="376">
        <f>'TOT-0411'!I20</f>
        <v>9284.54</v>
      </c>
      <c r="J22" s="60"/>
      <c r="K22" s="60"/>
      <c r="L22" s="377" t="s">
        <v>93</v>
      </c>
      <c r="M22" s="60"/>
      <c r="N22" s="60"/>
      <c r="O22" s="60"/>
      <c r="P22" s="246"/>
    </row>
    <row r="23" spans="1:16" ht="15">
      <c r="A23" s="1"/>
      <c r="B23" s="242"/>
      <c r="C23" s="60"/>
      <c r="D23" s="60"/>
      <c r="E23" s="60"/>
      <c r="F23" s="251" t="s">
        <v>94</v>
      </c>
      <c r="G23" s="60"/>
      <c r="H23" s="58"/>
      <c r="I23" s="376">
        <v>0</v>
      </c>
      <c r="J23" s="60"/>
      <c r="K23" s="60"/>
      <c r="L23" s="377"/>
      <c r="M23" s="60"/>
      <c r="N23" s="60"/>
      <c r="O23" s="60"/>
      <c r="P23" s="246"/>
    </row>
    <row r="24" spans="1:16" ht="15">
      <c r="A24" s="1"/>
      <c r="B24" s="242"/>
      <c r="C24" s="60"/>
      <c r="D24" s="60"/>
      <c r="E24" s="60"/>
      <c r="F24" s="251" t="s">
        <v>3</v>
      </c>
      <c r="G24" s="60"/>
      <c r="H24" s="58"/>
      <c r="I24" s="378">
        <v>0</v>
      </c>
      <c r="J24" s="60"/>
      <c r="K24" s="60"/>
      <c r="L24" s="377"/>
      <c r="M24" s="60"/>
      <c r="N24" s="60"/>
      <c r="O24" s="60"/>
      <c r="P24" s="246"/>
    </row>
    <row r="25" spans="1:16" ht="15.75" thickBot="1">
      <c r="A25" s="1"/>
      <c r="B25" s="242"/>
      <c r="C25" s="60"/>
      <c r="D25" s="60"/>
      <c r="E25" s="60"/>
      <c r="F25" s="60"/>
      <c r="G25" s="60"/>
      <c r="H25" s="251"/>
      <c r="I25" s="60"/>
      <c r="J25" s="60"/>
      <c r="K25" s="60"/>
      <c r="L25" s="60"/>
      <c r="M25" s="60"/>
      <c r="N25" s="60"/>
      <c r="O25" s="60"/>
      <c r="P25" s="246"/>
    </row>
    <row r="26" spans="2:16" ht="20.25" thickBot="1" thickTop="1">
      <c r="B26" s="242"/>
      <c r="C26" s="67"/>
      <c r="H26" s="379" t="s">
        <v>96</v>
      </c>
      <c r="I26" s="141">
        <f>SUM(I22:I25)</f>
        <v>9284.54</v>
      </c>
      <c r="L26" s="64"/>
      <c r="M26" s="64"/>
      <c r="N26" s="65"/>
      <c r="O26" s="66"/>
      <c r="P26" s="252"/>
    </row>
    <row r="27" spans="2:16" ht="15.75" thickTop="1">
      <c r="B27" s="242"/>
      <c r="C27" s="67"/>
      <c r="D27" s="63"/>
      <c r="E27" s="63"/>
      <c r="F27" s="69"/>
      <c r="G27" s="64"/>
      <c r="H27" s="64"/>
      <c r="I27" s="64"/>
      <c r="J27" s="64"/>
      <c r="K27" s="64"/>
      <c r="L27" s="64"/>
      <c r="M27" s="64"/>
      <c r="N27" s="65"/>
      <c r="O27" s="66"/>
      <c r="P27" s="252"/>
    </row>
    <row r="28" spans="2:16" ht="15">
      <c r="B28" s="242"/>
      <c r="C28" s="55" t="s">
        <v>97</v>
      </c>
      <c r="D28" s="63"/>
      <c r="E28" s="63"/>
      <c r="F28" s="69"/>
      <c r="G28" s="64"/>
      <c r="H28" s="64"/>
      <c r="I28" s="64"/>
      <c r="J28" s="64"/>
      <c r="K28" s="64"/>
      <c r="L28" s="64"/>
      <c r="M28" s="64"/>
      <c r="N28" s="65"/>
      <c r="O28" s="66"/>
      <c r="P28" s="252"/>
    </row>
    <row r="29" spans="2:16" ht="15">
      <c r="B29" s="242"/>
      <c r="C29" s="67"/>
      <c r="D29" s="63"/>
      <c r="E29" s="63"/>
      <c r="F29" s="69"/>
      <c r="G29" s="64"/>
      <c r="H29" s="64"/>
      <c r="I29" s="64"/>
      <c r="J29" s="64"/>
      <c r="K29" s="64"/>
      <c r="L29" s="64"/>
      <c r="M29" s="64"/>
      <c r="N29" s="65"/>
      <c r="O29" s="66"/>
      <c r="P29" s="252"/>
    </row>
    <row r="30" spans="2:16" ht="15.75">
      <c r="B30" s="242"/>
      <c r="C30" s="67"/>
      <c r="D30" s="380" t="s">
        <v>98</v>
      </c>
      <c r="E30" s="381" t="s">
        <v>20</v>
      </c>
      <c r="F30" s="382" t="s">
        <v>99</v>
      </c>
      <c r="G30" s="383"/>
      <c r="H30" s="590" t="s">
        <v>126</v>
      </c>
      <c r="I30" s="589" t="s">
        <v>125</v>
      </c>
      <c r="J30" s="384"/>
      <c r="K30" s="385"/>
      <c r="L30" s="386" t="s">
        <v>2</v>
      </c>
      <c r="N30" s="65"/>
      <c r="O30" s="66"/>
      <c r="P30" s="252"/>
    </row>
    <row r="31" spans="2:16" ht="15">
      <c r="B31" s="242"/>
      <c r="C31" s="67"/>
      <c r="D31" s="387" t="s">
        <v>4</v>
      </c>
      <c r="E31" s="388">
        <v>132</v>
      </c>
      <c r="F31" s="389">
        <v>209</v>
      </c>
      <c r="G31" s="390"/>
      <c r="H31" s="391">
        <f>F31*$J$17*$E$17/100</f>
        <v>104917.6656</v>
      </c>
      <c r="I31" s="392">
        <v>4802</v>
      </c>
      <c r="J31" s="393" t="s">
        <v>135</v>
      </c>
      <c r="K31" s="394"/>
      <c r="L31" s="395">
        <f>SUM(H31:K31)</f>
        <v>109719.6656</v>
      </c>
      <c r="M31" s="64"/>
      <c r="N31" s="65"/>
      <c r="O31" s="66"/>
      <c r="P31" s="252"/>
    </row>
    <row r="32" spans="2:16" ht="15">
      <c r="B32" s="242"/>
      <c r="C32" s="67"/>
      <c r="D32" s="396"/>
      <c r="E32" s="397"/>
      <c r="F32" s="398"/>
      <c r="G32" s="399"/>
      <c r="H32" s="400"/>
      <c r="I32" s="401"/>
      <c r="J32" s="402"/>
      <c r="K32" s="403"/>
      <c r="L32" s="404"/>
      <c r="M32" s="64"/>
      <c r="N32" s="65"/>
      <c r="O32" s="66"/>
      <c r="P32" s="252"/>
    </row>
    <row r="33" spans="2:16" ht="15">
      <c r="B33" s="242"/>
      <c r="C33" s="67"/>
      <c r="D33" s="63"/>
      <c r="E33" s="63"/>
      <c r="F33" s="253"/>
      <c r="G33" s="64"/>
      <c r="I33" s="70"/>
      <c r="J33" s="249"/>
      <c r="K33" s="249"/>
      <c r="L33" s="405">
        <f>SUM(L31:L32)</f>
        <v>109719.6656</v>
      </c>
      <c r="M33" s="64"/>
      <c r="N33" s="65"/>
      <c r="O33" s="66"/>
      <c r="P33" s="252"/>
    </row>
    <row r="34" spans="2:16" ht="15">
      <c r="B34" s="242"/>
      <c r="C34" s="67"/>
      <c r="D34" s="63"/>
      <c r="E34" s="63"/>
      <c r="F34" s="253"/>
      <c r="G34" s="64"/>
      <c r="I34" s="70"/>
      <c r="J34" s="249"/>
      <c r="K34" s="249"/>
      <c r="L34" s="254"/>
      <c r="M34" s="64"/>
      <c r="N34" s="65"/>
      <c r="O34" s="66"/>
      <c r="P34" s="252"/>
    </row>
    <row r="35" spans="2:16" ht="15.75">
      <c r="B35" s="242"/>
      <c r="C35" s="67"/>
      <c r="D35" s="380" t="s">
        <v>100</v>
      </c>
      <c r="E35" s="381" t="s">
        <v>101</v>
      </c>
      <c r="F35" s="382" t="s">
        <v>102</v>
      </c>
      <c r="G35" s="604" t="s">
        <v>126</v>
      </c>
      <c r="H35" s="598"/>
      <c r="J35" s="406" t="s">
        <v>103</v>
      </c>
      <c r="K35" s="407"/>
      <c r="L35" s="408" t="s">
        <v>51</v>
      </c>
      <c r="M35" s="381" t="s">
        <v>20</v>
      </c>
      <c r="N35" s="409" t="s">
        <v>104</v>
      </c>
      <c r="O35" s="410"/>
      <c r="P35" s="252"/>
    </row>
    <row r="36" spans="2:16" ht="15">
      <c r="B36" s="242"/>
      <c r="C36" s="67"/>
      <c r="D36" s="387" t="s">
        <v>11</v>
      </c>
      <c r="E36" s="388" t="s">
        <v>10</v>
      </c>
      <c r="F36" s="389">
        <v>5</v>
      </c>
      <c r="G36" s="599"/>
      <c r="H36" s="600">
        <f>+F36*$J$18*$E$17</f>
        <v>874.8</v>
      </c>
      <c r="J36" s="596" t="s">
        <v>11</v>
      </c>
      <c r="K36" s="592"/>
      <c r="L36" s="593" t="s">
        <v>17</v>
      </c>
      <c r="M36" s="412">
        <v>13.2</v>
      </c>
      <c r="N36" s="413">
        <f>M18*$E$17</f>
        <v>1751.7599999999998</v>
      </c>
      <c r="O36" s="414"/>
      <c r="P36" s="252"/>
    </row>
    <row r="37" spans="2:16" ht="15">
      <c r="B37" s="242"/>
      <c r="C37" s="67"/>
      <c r="D37" s="396" t="s">
        <v>11</v>
      </c>
      <c r="E37" s="397" t="s">
        <v>9</v>
      </c>
      <c r="F37" s="398">
        <v>5</v>
      </c>
      <c r="G37" s="601"/>
      <c r="H37" s="602">
        <f>+F37*$J$18*$E$17</f>
        <v>874.8</v>
      </c>
      <c r="J37" s="597" t="s">
        <v>11</v>
      </c>
      <c r="K37" s="594"/>
      <c r="L37" s="595" t="s">
        <v>18</v>
      </c>
      <c r="M37" s="65">
        <v>13.2</v>
      </c>
      <c r="N37" s="419">
        <f>M18*$E$17</f>
        <v>1751.7599999999998</v>
      </c>
      <c r="O37" s="420"/>
      <c r="P37" s="252"/>
    </row>
    <row r="38" spans="2:16" ht="15">
      <c r="B38" s="242"/>
      <c r="C38" s="67"/>
      <c r="D38" s="63"/>
      <c r="E38" s="63"/>
      <c r="F38" s="253"/>
      <c r="G38" s="601"/>
      <c r="H38" s="603">
        <f>SUM(H36:H37)</f>
        <v>1749.6</v>
      </c>
      <c r="J38" s="421"/>
      <c r="K38" s="402"/>
      <c r="L38" s="399"/>
      <c r="M38" s="422"/>
      <c r="N38" s="423"/>
      <c r="O38" s="424"/>
      <c r="P38" s="252"/>
    </row>
    <row r="39" spans="2:16" ht="15">
      <c r="B39" s="242"/>
      <c r="C39" s="67"/>
      <c r="D39" s="63"/>
      <c r="E39" s="63"/>
      <c r="F39" s="253"/>
      <c r="G39" s="64"/>
      <c r="I39" s="70"/>
      <c r="J39" s="249"/>
      <c r="K39" s="249"/>
      <c r="L39" s="254"/>
      <c r="M39" s="64"/>
      <c r="N39" s="425">
        <f>SUM(N36:N38)</f>
        <v>3503.5199999999995</v>
      </c>
      <c r="O39" s="410"/>
      <c r="P39" s="252"/>
    </row>
    <row r="40" spans="2:16" ht="12.75" customHeight="1" thickBot="1">
      <c r="B40" s="242"/>
      <c r="C40" s="67"/>
      <c r="D40" s="63"/>
      <c r="E40" s="63"/>
      <c r="F40" s="69"/>
      <c r="G40" s="64"/>
      <c r="H40" s="70"/>
      <c r="I40" s="63"/>
      <c r="J40" s="63"/>
      <c r="K40" s="63"/>
      <c r="L40" s="64"/>
      <c r="M40" s="64"/>
      <c r="N40" s="65"/>
      <c r="O40" s="66"/>
      <c r="P40" s="252"/>
    </row>
    <row r="41" spans="2:16" ht="20.25" thickBot="1" thickTop="1">
      <c r="B41" s="242"/>
      <c r="C41" s="67"/>
      <c r="D41" s="63"/>
      <c r="E41" s="63"/>
      <c r="F41" s="69"/>
      <c r="G41" s="64"/>
      <c r="H41" s="426" t="s">
        <v>105</v>
      </c>
      <c r="I41" s="427">
        <f>+H38+N39+L33</f>
        <v>114972.78559999999</v>
      </c>
      <c r="J41" s="63"/>
      <c r="K41" s="63"/>
      <c r="L41" s="64"/>
      <c r="M41" s="64"/>
      <c r="N41" s="65"/>
      <c r="O41" s="66"/>
      <c r="P41" s="252"/>
    </row>
    <row r="42" spans="2:16" ht="15.75" thickTop="1">
      <c r="B42" s="242"/>
      <c r="C42" s="67"/>
      <c r="D42" s="63"/>
      <c r="E42" s="63"/>
      <c r="F42" s="69"/>
      <c r="G42" s="64"/>
      <c r="H42" s="70"/>
      <c r="I42" s="63"/>
      <c r="J42" s="63"/>
      <c r="K42" s="63"/>
      <c r="L42" s="64"/>
      <c r="M42" s="64"/>
      <c r="N42" s="65"/>
      <c r="O42" s="66"/>
      <c r="P42" s="252"/>
    </row>
    <row r="43" spans="2:16" ht="15.75">
      <c r="B43" s="242"/>
      <c r="C43" s="428" t="s">
        <v>106</v>
      </c>
      <c r="D43" s="63"/>
      <c r="E43" s="63"/>
      <c r="F43" s="69"/>
      <c r="G43" s="64"/>
      <c r="H43" s="70"/>
      <c r="I43" s="63"/>
      <c r="J43" s="63"/>
      <c r="K43" s="63"/>
      <c r="L43" s="64"/>
      <c r="M43" s="64"/>
      <c r="N43" s="65"/>
      <c r="O43" s="66"/>
      <c r="P43" s="252"/>
    </row>
    <row r="44" spans="2:16" ht="15.75" thickBot="1">
      <c r="B44" s="242"/>
      <c r="C44" s="67"/>
      <c r="D44" s="63"/>
      <c r="E44" s="63"/>
      <c r="F44" s="69"/>
      <c r="G44" s="64"/>
      <c r="H44" s="70"/>
      <c r="I44" s="63"/>
      <c r="J44" s="63"/>
      <c r="K44" s="63"/>
      <c r="L44" s="64"/>
      <c r="M44" s="64"/>
      <c r="N44" s="65"/>
      <c r="O44" s="66"/>
      <c r="P44" s="252"/>
    </row>
    <row r="45" spans="2:16" ht="20.25" thickBot="1" thickTop="1">
      <c r="B45" s="242"/>
      <c r="C45" s="67"/>
      <c r="D45" s="204" t="s">
        <v>107</v>
      </c>
      <c r="F45" s="255"/>
      <c r="G45" s="60"/>
      <c r="H45" s="140" t="s">
        <v>108</v>
      </c>
      <c r="I45" s="429">
        <f>E18*I41</f>
        <v>2874.3196399999997</v>
      </c>
      <c r="J45" s="56"/>
      <c r="K45" s="56"/>
      <c r="O45" s="56"/>
      <c r="P45" s="252"/>
    </row>
    <row r="46" spans="2:16" ht="21.75" thickTop="1">
      <c r="B46" s="242"/>
      <c r="C46" s="67"/>
      <c r="F46" s="256"/>
      <c r="G46" s="36"/>
      <c r="I46" s="56"/>
      <c r="J46" s="56"/>
      <c r="K46" s="56"/>
      <c r="O46" s="56"/>
      <c r="P46" s="252"/>
    </row>
    <row r="47" spans="2:16" ht="15">
      <c r="B47" s="242"/>
      <c r="C47" s="55" t="s">
        <v>109</v>
      </c>
      <c r="E47" s="56"/>
      <c r="F47" s="56"/>
      <c r="G47" s="56"/>
      <c r="H47" s="56"/>
      <c r="I47" s="64"/>
      <c r="J47" s="64"/>
      <c r="K47" s="64"/>
      <c r="L47" s="64"/>
      <c r="M47" s="64"/>
      <c r="N47" s="65"/>
      <c r="O47" s="66"/>
      <c r="P47" s="252"/>
    </row>
    <row r="48" spans="2:16" ht="15">
      <c r="B48" s="242"/>
      <c r="C48" s="67"/>
      <c r="D48" s="62" t="s">
        <v>110</v>
      </c>
      <c r="E48" s="257">
        <f>10*I26*I45/I41</f>
        <v>2321.135</v>
      </c>
      <c r="F48" s="430"/>
      <c r="H48" s="56"/>
      <c r="I48" s="64"/>
      <c r="J48" s="64"/>
      <c r="K48" s="64"/>
      <c r="L48" s="64"/>
      <c r="M48" s="64"/>
      <c r="N48" s="65"/>
      <c r="O48" s="66"/>
      <c r="P48" s="252"/>
    </row>
    <row r="49" spans="2:16" ht="15">
      <c r="B49" s="242"/>
      <c r="C49" s="67"/>
      <c r="D49" s="56"/>
      <c r="E49" s="56"/>
      <c r="J49" s="64"/>
      <c r="K49" s="64"/>
      <c r="L49" s="64"/>
      <c r="M49" s="64"/>
      <c r="N49" s="65"/>
      <c r="O49" s="66"/>
      <c r="P49" s="252"/>
    </row>
    <row r="50" spans="2:16" ht="15">
      <c r="B50" s="242"/>
      <c r="C50" s="67"/>
      <c r="D50" s="56" t="s">
        <v>111</v>
      </c>
      <c r="E50" s="56"/>
      <c r="F50" s="56"/>
      <c r="G50" s="56"/>
      <c r="H50" s="56"/>
      <c r="M50" s="64"/>
      <c r="N50" s="65"/>
      <c r="O50" s="66"/>
      <c r="P50" s="252"/>
    </row>
    <row r="51" spans="2:16" ht="15.75" thickBot="1">
      <c r="B51" s="242"/>
      <c r="C51" s="67"/>
      <c r="D51" s="56"/>
      <c r="E51" s="56"/>
      <c r="F51" s="56"/>
      <c r="G51" s="56"/>
      <c r="H51" s="56"/>
      <c r="M51" s="64"/>
      <c r="N51" s="65"/>
      <c r="O51" s="66"/>
      <c r="P51" s="252"/>
    </row>
    <row r="52" spans="2:16" ht="20.25" thickBot="1" thickTop="1">
      <c r="B52" s="242"/>
      <c r="C52" s="67"/>
      <c r="D52" s="63"/>
      <c r="E52" s="63"/>
      <c r="F52" s="69"/>
      <c r="G52" s="64"/>
      <c r="H52" s="205" t="s">
        <v>112</v>
      </c>
      <c r="I52" s="431">
        <f>IF($E$48&gt;3*I45,3*I45,$E$48)</f>
        <v>2321.135</v>
      </c>
      <c r="J52" s="64"/>
      <c r="K52" s="64"/>
      <c r="L52" s="64"/>
      <c r="M52" s="64"/>
      <c r="N52" s="65"/>
      <c r="O52" s="66"/>
      <c r="P52" s="252"/>
    </row>
    <row r="53" spans="2:16" ht="16.5" thickBot="1" thickTop="1">
      <c r="B53" s="258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60"/>
    </row>
    <row r="54" spans="2:16" ht="13.5" thickTop="1">
      <c r="B54" s="1"/>
      <c r="P54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3" ht="12" customHeight="1"/>
    <row r="99" ht="12.75">
      <c r="B99" s="1"/>
    </row>
    <row r="105" ht="12.75">
      <c r="A105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T57"/>
  <sheetViews>
    <sheetView zoomScale="75" zoomScaleNormal="75" workbookViewId="0" topLeftCell="C1">
      <selection activeCell="S62" sqref="S6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348"/>
    </row>
    <row r="2" spans="2:20" s="669" customFormat="1" ht="30.75">
      <c r="B2" s="95" t="str">
        <f>'TOT-0411'!B2</f>
        <v>ANEXO IV al Memorandum D.T.E.E.  N° 482 /2012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</row>
    <row r="3" spans="1:2" ht="12.75" customHeight="1">
      <c r="A3" s="671" t="s">
        <v>21</v>
      </c>
      <c r="B3" s="672"/>
    </row>
    <row r="4" spans="1:4" ht="12.75" customHeight="1">
      <c r="A4" s="671" t="s">
        <v>22</v>
      </c>
      <c r="B4" s="672"/>
      <c r="D4" s="673"/>
    </row>
    <row r="5" spans="1:4" ht="21.75" customHeight="1">
      <c r="A5" s="674"/>
      <c r="D5" s="673"/>
    </row>
    <row r="6" spans="1:20" ht="26.25">
      <c r="A6" s="674"/>
      <c r="B6" s="675" t="s">
        <v>154</v>
      </c>
      <c r="C6" s="72"/>
      <c r="D6" s="6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4" ht="18.75" customHeight="1">
      <c r="A7" s="674"/>
      <c r="D7" s="673"/>
    </row>
    <row r="8" spans="1:20" ht="26.25">
      <c r="A8" s="674"/>
      <c r="B8" s="676" t="s">
        <v>1</v>
      </c>
      <c r="C8" s="72"/>
      <c r="D8" s="67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4" ht="18.75" customHeight="1">
      <c r="A9" s="674"/>
      <c r="D9" s="673"/>
    </row>
    <row r="10" spans="1:20" ht="26.25">
      <c r="A10" s="674"/>
      <c r="B10" s="676" t="s">
        <v>155</v>
      </c>
      <c r="C10" s="72"/>
      <c r="D10" s="673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ht="18.75" customHeight="1" thickBot="1"/>
    <row r="12" spans="2:20" ht="18.75" customHeight="1" thickTop="1">
      <c r="B12" s="677"/>
      <c r="C12" s="678"/>
      <c r="D12" s="679"/>
      <c r="E12" s="679"/>
      <c r="F12" s="679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80"/>
    </row>
    <row r="13" spans="2:20" ht="19.5">
      <c r="B13" s="206" t="s">
        <v>156</v>
      </c>
      <c r="C13" s="72"/>
      <c r="D13" s="681"/>
      <c r="E13" s="681"/>
      <c r="F13" s="681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3"/>
    </row>
    <row r="14" spans="2:20" ht="18.75" customHeight="1" thickBot="1">
      <c r="B14" s="2"/>
      <c r="C14" s="684"/>
      <c r="D14" s="685"/>
      <c r="E14" s="685"/>
      <c r="F14" s="68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694" customFormat="1" ht="34.5" customHeight="1" thickBot="1" thickTop="1">
      <c r="A15" s="672"/>
      <c r="B15" s="687"/>
      <c r="C15" s="688"/>
      <c r="D15" s="689" t="s">
        <v>24</v>
      </c>
      <c r="E15" s="690" t="s">
        <v>48</v>
      </c>
      <c r="F15" s="691" t="s">
        <v>49</v>
      </c>
      <c r="G15" s="692">
        <v>40269</v>
      </c>
      <c r="H15" s="692">
        <v>40299</v>
      </c>
      <c r="I15" s="692">
        <v>40330</v>
      </c>
      <c r="J15" s="692">
        <v>40360</v>
      </c>
      <c r="K15" s="692">
        <v>40391</v>
      </c>
      <c r="L15" s="692">
        <v>40422</v>
      </c>
      <c r="M15" s="692">
        <v>40452</v>
      </c>
      <c r="N15" s="692">
        <v>40483</v>
      </c>
      <c r="O15" s="692">
        <v>40513</v>
      </c>
      <c r="P15" s="692">
        <v>40544</v>
      </c>
      <c r="Q15" s="692">
        <v>40575</v>
      </c>
      <c r="R15" s="692">
        <v>40603</v>
      </c>
      <c r="S15" s="692">
        <v>40634</v>
      </c>
      <c r="T15" s="693"/>
    </row>
    <row r="16" spans="2:20" ht="15" customHeight="1" thickTop="1">
      <c r="B16" s="2"/>
      <c r="C16" s="695"/>
      <c r="D16" s="696"/>
      <c r="E16" s="696"/>
      <c r="F16" s="697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9"/>
      <c r="T16" s="3"/>
    </row>
    <row r="17" spans="2:20" ht="15" customHeight="1" hidden="1">
      <c r="B17" s="2"/>
      <c r="C17" s="700">
        <f>IF('[1]Tasa de Falla'!C17=0,"",'[1]Tasa de Falla'!C17)</f>
        <v>1</v>
      </c>
      <c r="D17" s="701" t="str">
        <f>IF('[1]Tasa de Falla'!D17=0,"",'[1]Tasa de Falla'!D17)</f>
        <v>AMEGHINO - COMODORO RIVADAVIA</v>
      </c>
      <c r="E17" s="701">
        <f>IF('[1]Tasa de Falla'!E17=0,"",'[1]Tasa de Falla'!E17)</f>
        <v>132</v>
      </c>
      <c r="F17" s="702">
        <f>IF('[1]Tasa de Falla'!F17=0,"",'[1]Tasa de Falla'!F17)</f>
        <v>305</v>
      </c>
      <c r="G17" s="703" t="str">
        <f>IF('[1]Tasa de Falla'!DC17=0,"",'[1]Tasa de Falla'!DC17)</f>
        <v>XXXX</v>
      </c>
      <c r="H17" s="703" t="str">
        <f>IF('[1]Tasa de Falla'!DD17=0,"",'[1]Tasa de Falla'!DD17)</f>
        <v>XXXX</v>
      </c>
      <c r="I17" s="703" t="str">
        <f>IF('[1]Tasa de Falla'!DE17=0,"",'[1]Tasa de Falla'!DE17)</f>
        <v>XXXX</v>
      </c>
      <c r="J17" s="703" t="str">
        <f>IF('[1]Tasa de Falla'!DF17=0,"",'[1]Tasa de Falla'!DF17)</f>
        <v>XXXX</v>
      </c>
      <c r="K17" s="703" t="str">
        <f>IF('[1]Tasa de Falla'!DG17=0,"",'[1]Tasa de Falla'!DG17)</f>
        <v>XXXX</v>
      </c>
      <c r="L17" s="703" t="str">
        <f>IF('[1]Tasa de Falla'!DH17=0,"",'[1]Tasa de Falla'!DH17)</f>
        <v>XXXX</v>
      </c>
      <c r="M17" s="703" t="str">
        <f>IF('[1]Tasa de Falla'!DI17=0,"",'[1]Tasa de Falla'!DI17)</f>
        <v>XXXX</v>
      </c>
      <c r="N17" s="703" t="str">
        <f>IF('[1]Tasa de Falla'!DJ17=0,"",'[1]Tasa de Falla'!DJ17)</f>
        <v>XXXX</v>
      </c>
      <c r="O17" s="703" t="str">
        <f>IF('[1]Tasa de Falla'!DK17=0,"",'[1]Tasa de Falla'!DK17)</f>
        <v>XXXX</v>
      </c>
      <c r="P17" s="703" t="str">
        <f>IF('[1]Tasa de Falla'!DL17=0,"",'[1]Tasa de Falla'!DL17)</f>
        <v>XXXX</v>
      </c>
      <c r="Q17" s="703" t="str">
        <f>IF('[1]Tasa de Falla'!DM17=0,"",'[1]Tasa de Falla'!DM17)</f>
        <v>XXXX</v>
      </c>
      <c r="R17" s="703" t="str">
        <f>IF('[1]Tasa de Falla'!DN17=0,"",'[1]Tasa de Falla'!DN17)</f>
        <v>XXXX</v>
      </c>
      <c r="S17" s="704"/>
      <c r="T17" s="3"/>
    </row>
    <row r="18" spans="2:20" ht="18" customHeight="1">
      <c r="B18" s="2"/>
      <c r="C18" s="705">
        <f>IF('[1]Tasa de Falla'!C18=0,"",'[1]Tasa de Falla'!C18)</f>
        <v>2</v>
      </c>
      <c r="D18" s="736" t="str">
        <f>IF('[1]Tasa de Falla'!D18=0,"",'[1]Tasa de Falla'!D18)</f>
        <v>AMEGHINO - ESTACION PATAGONIA</v>
      </c>
      <c r="E18" s="736">
        <f>IF('[1]Tasa de Falla'!E18=0,"",'[1]Tasa de Falla'!E18)</f>
        <v>132</v>
      </c>
      <c r="F18" s="737">
        <f>IF('[1]Tasa de Falla'!F18=0,"",'[1]Tasa de Falla'!F18)</f>
        <v>299.6</v>
      </c>
      <c r="G18" s="703">
        <f>IF('[1]Tasa de Falla'!GJ18=0,"",'[1]Tasa de Falla'!GJ18)</f>
      </c>
      <c r="H18" s="703">
        <f>IF('[1]Tasa de Falla'!GK18=0,"",'[1]Tasa de Falla'!GK18)</f>
      </c>
      <c r="I18" s="703">
        <f>IF('[1]Tasa de Falla'!GL18=0,"",'[1]Tasa de Falla'!GL18)</f>
      </c>
      <c r="J18" s="703">
        <f>IF('[1]Tasa de Falla'!GM18=0,"",'[1]Tasa de Falla'!GM18)</f>
        <v>3</v>
      </c>
      <c r="K18" s="703">
        <f>IF('[1]Tasa de Falla'!GN18=0,"",'[1]Tasa de Falla'!GN18)</f>
      </c>
      <c r="L18" s="703">
        <f>IF('[1]Tasa de Falla'!GO18=0,"",'[1]Tasa de Falla'!GO18)</f>
      </c>
      <c r="M18" s="703">
        <f>IF('[1]Tasa de Falla'!GP18=0,"",'[1]Tasa de Falla'!GP18)</f>
      </c>
      <c r="N18" s="703">
        <f>IF('[1]Tasa de Falla'!GQ18=0,"",'[1]Tasa de Falla'!GQ18)</f>
        <v>1</v>
      </c>
      <c r="O18" s="703">
        <f>IF('[1]Tasa de Falla'!GR18=0,"",'[1]Tasa de Falla'!GR18)</f>
        <v>1</v>
      </c>
      <c r="P18" s="703">
        <f>IF('[1]Tasa de Falla'!GS18=0,"",'[1]Tasa de Falla'!GS18)</f>
      </c>
      <c r="Q18" s="703">
        <f>IF('[1]Tasa de Falla'!GT18=0,"",'[1]Tasa de Falla'!GT18)</f>
      </c>
      <c r="R18" s="703">
        <f>IF('[1]Tasa de Falla'!GU18=0,"",'[1]Tasa de Falla'!GU18)</f>
      </c>
      <c r="S18" s="704"/>
      <c r="T18" s="3"/>
    </row>
    <row r="19" spans="2:20" ht="15" customHeight="1">
      <c r="B19" s="2"/>
      <c r="C19" s="738">
        <f>IF('[1]Tasa de Falla'!C19=0,"",'[1]Tasa de Falla'!C19)</f>
        <v>3</v>
      </c>
      <c r="D19" s="739" t="str">
        <f>IF('[1]Tasa de Falla'!D19=0,"",'[1]Tasa de Falla'!D19)</f>
        <v>AMEGHINO - TRELEW</v>
      </c>
      <c r="E19" s="739">
        <f>IF('[1]Tasa de Falla'!E19=0,"",'[1]Tasa de Falla'!E19)</f>
        <v>132</v>
      </c>
      <c r="F19" s="740">
        <f>IF('[1]Tasa de Falla'!F19=0,"",'[1]Tasa de Falla'!F19)</f>
        <v>112</v>
      </c>
      <c r="G19" s="703">
        <f>IF('[1]Tasa de Falla'!GJ19=0,"",'[1]Tasa de Falla'!GJ19)</f>
      </c>
      <c r="H19" s="703">
        <f>IF('[1]Tasa de Falla'!GK19=0,"",'[1]Tasa de Falla'!GK19)</f>
      </c>
      <c r="I19" s="703">
        <f>IF('[1]Tasa de Falla'!GL19=0,"",'[1]Tasa de Falla'!GL19)</f>
      </c>
      <c r="J19" s="703">
        <f>IF('[1]Tasa de Falla'!GM19=0,"",'[1]Tasa de Falla'!GM19)</f>
      </c>
      <c r="K19" s="703">
        <f>IF('[1]Tasa de Falla'!GN19=0,"",'[1]Tasa de Falla'!GN19)</f>
      </c>
      <c r="L19" s="703">
        <f>IF('[1]Tasa de Falla'!GO19=0,"",'[1]Tasa de Falla'!GO19)</f>
      </c>
      <c r="M19" s="703">
        <f>IF('[1]Tasa de Falla'!GP19=0,"",'[1]Tasa de Falla'!GP19)</f>
      </c>
      <c r="N19" s="703">
        <f>IF('[1]Tasa de Falla'!GQ19=0,"",'[1]Tasa de Falla'!GQ19)</f>
      </c>
      <c r="O19" s="703">
        <f>IF('[1]Tasa de Falla'!GR19=0,"",'[1]Tasa de Falla'!GR19)</f>
      </c>
      <c r="P19" s="703">
        <f>IF('[1]Tasa de Falla'!GS19=0,"",'[1]Tasa de Falla'!GS19)</f>
      </c>
      <c r="Q19" s="703">
        <f>IF('[1]Tasa de Falla'!GT19=0,"",'[1]Tasa de Falla'!GT19)</f>
      </c>
      <c r="R19" s="703">
        <f>IF('[1]Tasa de Falla'!GU19=0,"",'[1]Tasa de Falla'!GU19)</f>
      </c>
      <c r="S19" s="704"/>
      <c r="T19" s="3"/>
    </row>
    <row r="20" spans="2:20" ht="15" customHeight="1">
      <c r="B20" s="2"/>
      <c r="C20" s="705">
        <f>IF('[1]Tasa de Falla'!C20=0,"",'[1]Tasa de Falla'!C20)</f>
        <v>4</v>
      </c>
      <c r="D20" s="736" t="str">
        <f>IF('[1]Tasa de Falla'!D20=0,"",'[1]Tasa de Falla'!D20)</f>
        <v>FUTALEUFU - ESQUEL</v>
      </c>
      <c r="E20" s="736">
        <f>IF('[1]Tasa de Falla'!E20=0,"",'[1]Tasa de Falla'!E20)</f>
        <v>132</v>
      </c>
      <c r="F20" s="737">
        <f>IF('[1]Tasa de Falla'!F20=0,"",'[1]Tasa de Falla'!F20)</f>
        <v>28.41</v>
      </c>
      <c r="G20" s="703">
        <f>IF('[1]Tasa de Falla'!GJ20=0,"",'[1]Tasa de Falla'!GJ20)</f>
      </c>
      <c r="H20" s="703">
        <f>IF('[1]Tasa de Falla'!GK20=0,"",'[1]Tasa de Falla'!GK20)</f>
      </c>
      <c r="I20" s="703">
        <f>IF('[1]Tasa de Falla'!GL20=0,"",'[1]Tasa de Falla'!GL20)</f>
      </c>
      <c r="J20" s="703">
        <f>IF('[1]Tasa de Falla'!GM20=0,"",'[1]Tasa de Falla'!GM20)</f>
      </c>
      <c r="K20" s="703">
        <f>IF('[1]Tasa de Falla'!GN20=0,"",'[1]Tasa de Falla'!GN20)</f>
      </c>
      <c r="L20" s="703">
        <f>IF('[1]Tasa de Falla'!GO20=0,"",'[1]Tasa de Falla'!GO20)</f>
      </c>
      <c r="M20" s="703">
        <f>IF('[1]Tasa de Falla'!GP20=0,"",'[1]Tasa de Falla'!GP20)</f>
      </c>
      <c r="N20" s="703">
        <f>IF('[1]Tasa de Falla'!GQ20=0,"",'[1]Tasa de Falla'!GQ20)</f>
      </c>
      <c r="O20" s="703">
        <f>IF('[1]Tasa de Falla'!GR20=0,"",'[1]Tasa de Falla'!GR20)</f>
      </c>
      <c r="P20" s="703">
        <f>IF('[1]Tasa de Falla'!GS20=0,"",'[1]Tasa de Falla'!GS20)</f>
      </c>
      <c r="Q20" s="703">
        <f>IF('[1]Tasa de Falla'!GT20=0,"",'[1]Tasa de Falla'!GT20)</f>
      </c>
      <c r="R20" s="703">
        <f>IF('[1]Tasa de Falla'!GU20=0,"",'[1]Tasa de Falla'!GU20)</f>
      </c>
      <c r="S20" s="704"/>
      <c r="T20" s="3"/>
    </row>
    <row r="21" spans="2:20" ht="15" customHeight="1">
      <c r="B21" s="2"/>
      <c r="C21" s="738">
        <f>IF('[1]Tasa de Falla'!C21=0,"",'[1]Tasa de Falla'!C21)</f>
        <v>5</v>
      </c>
      <c r="D21" s="739" t="str">
        <f>IF('[1]Tasa de Falla'!D21=0,"",'[1]Tasa de Falla'!D21)</f>
        <v>BARRIO SAN MARTIN - ESTACION PATAGONIA</v>
      </c>
      <c r="E21" s="739">
        <f>IF('[1]Tasa de Falla'!E21=0,"",'[1]Tasa de Falla'!E21)</f>
        <v>132</v>
      </c>
      <c r="F21" s="740">
        <f>IF('[1]Tasa de Falla'!F21=0,"",'[1]Tasa de Falla'!F21)</f>
        <v>9.43</v>
      </c>
      <c r="G21" s="703">
        <f>IF('[1]Tasa de Falla'!GJ21=0,"",'[1]Tasa de Falla'!GJ21)</f>
      </c>
      <c r="H21" s="703">
        <f>IF('[1]Tasa de Falla'!GK21=0,"",'[1]Tasa de Falla'!GK21)</f>
      </c>
      <c r="I21" s="703">
        <f>IF('[1]Tasa de Falla'!GL21=0,"",'[1]Tasa de Falla'!GL21)</f>
      </c>
      <c r="J21" s="703">
        <f>IF('[1]Tasa de Falla'!GM21=0,"",'[1]Tasa de Falla'!GM21)</f>
      </c>
      <c r="K21" s="703">
        <f>IF('[1]Tasa de Falla'!GN21=0,"",'[1]Tasa de Falla'!GN21)</f>
      </c>
      <c r="L21" s="703">
        <f>IF('[1]Tasa de Falla'!GO21=0,"",'[1]Tasa de Falla'!GO21)</f>
      </c>
      <c r="M21" s="703">
        <f>IF('[1]Tasa de Falla'!GP21=0,"",'[1]Tasa de Falla'!GP21)</f>
      </c>
      <c r="N21" s="703">
        <f>IF('[1]Tasa de Falla'!GQ21=0,"",'[1]Tasa de Falla'!GQ21)</f>
      </c>
      <c r="O21" s="703">
        <f>IF('[1]Tasa de Falla'!GR21=0,"",'[1]Tasa de Falla'!GR21)</f>
      </c>
      <c r="P21" s="703">
        <f>IF('[1]Tasa de Falla'!GS21=0,"",'[1]Tasa de Falla'!GS21)</f>
      </c>
      <c r="Q21" s="703">
        <f>IF('[1]Tasa de Falla'!GT21=0,"",'[1]Tasa de Falla'!GT21)</f>
      </c>
      <c r="R21" s="703">
        <f>IF('[1]Tasa de Falla'!GU21=0,"",'[1]Tasa de Falla'!GU21)</f>
      </c>
      <c r="S21" s="704"/>
      <c r="T21" s="3"/>
    </row>
    <row r="22" spans="2:20" ht="15" customHeight="1">
      <c r="B22" s="2"/>
      <c r="C22" s="705">
        <f>IF('[1]Tasa de Falla'!C22=0,"",'[1]Tasa de Falla'!C22)</f>
        <v>6</v>
      </c>
      <c r="D22" s="736" t="str">
        <f>IF('[1]Tasa de Falla'!D22=0,"",'[1]Tasa de Falla'!D22)</f>
        <v>COMODORO RIVADAVIA - E.T. A1</v>
      </c>
      <c r="E22" s="736">
        <f>IF('[1]Tasa de Falla'!E22=0,"",'[1]Tasa de Falla'!E22)</f>
        <v>132</v>
      </c>
      <c r="F22" s="737">
        <f>IF('[1]Tasa de Falla'!F22=0,"",'[1]Tasa de Falla'!F22)</f>
        <v>0.5</v>
      </c>
      <c r="G22" s="703">
        <f>IF('[1]Tasa de Falla'!GJ22=0,"",'[1]Tasa de Falla'!GJ22)</f>
      </c>
      <c r="H22" s="703">
        <f>IF('[1]Tasa de Falla'!GK22=0,"",'[1]Tasa de Falla'!GK22)</f>
      </c>
      <c r="I22" s="703">
        <f>IF('[1]Tasa de Falla'!GL22=0,"",'[1]Tasa de Falla'!GL22)</f>
      </c>
      <c r="J22" s="703">
        <f>IF('[1]Tasa de Falla'!GM22=0,"",'[1]Tasa de Falla'!GM22)</f>
      </c>
      <c r="K22" s="703">
        <f>IF('[1]Tasa de Falla'!GN22=0,"",'[1]Tasa de Falla'!GN22)</f>
      </c>
      <c r="L22" s="703">
        <f>IF('[1]Tasa de Falla'!GO22=0,"",'[1]Tasa de Falla'!GO22)</f>
      </c>
      <c r="M22" s="703">
        <f>IF('[1]Tasa de Falla'!GP22=0,"",'[1]Tasa de Falla'!GP22)</f>
      </c>
      <c r="N22" s="703">
        <f>IF('[1]Tasa de Falla'!GQ22=0,"",'[1]Tasa de Falla'!GQ22)</f>
      </c>
      <c r="O22" s="703">
        <f>IF('[1]Tasa de Falla'!GR22=0,"",'[1]Tasa de Falla'!GR22)</f>
      </c>
      <c r="P22" s="703">
        <f>IF('[1]Tasa de Falla'!GS22=0,"",'[1]Tasa de Falla'!GS22)</f>
      </c>
      <c r="Q22" s="703">
        <f>IF('[1]Tasa de Falla'!GT22=0,"",'[1]Tasa de Falla'!GT22)</f>
      </c>
      <c r="R22" s="703">
        <f>IF('[1]Tasa de Falla'!GU22=0,"",'[1]Tasa de Falla'!GU22)</f>
      </c>
      <c r="S22" s="704"/>
      <c r="T22" s="3"/>
    </row>
    <row r="23" spans="2:20" ht="15" customHeight="1">
      <c r="B23" s="2"/>
      <c r="C23" s="738">
        <f>IF('[1]Tasa de Falla'!C23=0,"",'[1]Tasa de Falla'!C23)</f>
        <v>7</v>
      </c>
      <c r="D23" s="739" t="str">
        <f>IF('[1]Tasa de Falla'!D23=0,"",'[1]Tasa de Falla'!D23)</f>
        <v>COMODORO RIVADAVIA (A1) - ESTACION PATAGONIA</v>
      </c>
      <c r="E23" s="739">
        <f>IF('[1]Tasa de Falla'!E23=0,"",'[1]Tasa de Falla'!E23)</f>
        <v>132</v>
      </c>
      <c r="F23" s="740">
        <f>IF('[1]Tasa de Falla'!F23=0,"",'[1]Tasa de Falla'!F23)</f>
        <v>6.9</v>
      </c>
      <c r="G23" s="703">
        <f>IF('[1]Tasa de Falla'!GJ23=0,"",'[1]Tasa de Falla'!GJ23)</f>
      </c>
      <c r="H23" s="703">
        <f>IF('[1]Tasa de Falla'!GK23=0,"",'[1]Tasa de Falla'!GK23)</f>
      </c>
      <c r="I23" s="703">
        <f>IF('[1]Tasa de Falla'!GL23=0,"",'[1]Tasa de Falla'!GL23)</f>
      </c>
      <c r="J23" s="703">
        <f>IF('[1]Tasa de Falla'!GM23=0,"",'[1]Tasa de Falla'!GM23)</f>
      </c>
      <c r="K23" s="703">
        <f>IF('[1]Tasa de Falla'!GN23=0,"",'[1]Tasa de Falla'!GN23)</f>
      </c>
      <c r="L23" s="703">
        <f>IF('[1]Tasa de Falla'!GO23=0,"",'[1]Tasa de Falla'!GO23)</f>
      </c>
      <c r="M23" s="703">
        <f>IF('[1]Tasa de Falla'!GP23=0,"",'[1]Tasa de Falla'!GP23)</f>
      </c>
      <c r="N23" s="703">
        <f>IF('[1]Tasa de Falla'!GQ23=0,"",'[1]Tasa de Falla'!GQ23)</f>
      </c>
      <c r="O23" s="703">
        <f>IF('[1]Tasa de Falla'!GR23=0,"",'[1]Tasa de Falla'!GR23)</f>
      </c>
      <c r="P23" s="703">
        <f>IF('[1]Tasa de Falla'!GS23=0,"",'[1]Tasa de Falla'!GS23)</f>
      </c>
      <c r="Q23" s="703">
        <f>IF('[1]Tasa de Falla'!GT23=0,"",'[1]Tasa de Falla'!GT23)</f>
      </c>
      <c r="R23" s="703">
        <f>IF('[1]Tasa de Falla'!GU23=0,"",'[1]Tasa de Falla'!GU23)</f>
      </c>
      <c r="S23" s="704"/>
      <c r="T23" s="3"/>
    </row>
    <row r="24" spans="2:20" ht="15" customHeight="1">
      <c r="B24" s="2"/>
      <c r="C24" s="705">
        <f>IF('[1]Tasa de Falla'!C24=0,"",'[1]Tasa de Falla'!C24)</f>
        <v>8</v>
      </c>
      <c r="D24" s="736" t="str">
        <f>IF('[1]Tasa de Falla'!D24=0,"",'[1]Tasa de Falla'!D24)</f>
        <v>COMODORO RIVADAVIA - PICO TRUNCADO</v>
      </c>
      <c r="E24" s="736">
        <f>IF('[1]Tasa de Falla'!E24=0,"",'[1]Tasa de Falla'!E24)</f>
        <v>132</v>
      </c>
      <c r="F24" s="737">
        <f>IF('[1]Tasa de Falla'!F24=0,"",'[1]Tasa de Falla'!F24)</f>
        <v>138</v>
      </c>
      <c r="G24" s="703">
        <f>IF('[1]Tasa de Falla'!GJ24=0,"",'[1]Tasa de Falla'!GJ24)</f>
      </c>
      <c r="H24" s="703">
        <f>IF('[1]Tasa de Falla'!GK24=0,"",'[1]Tasa de Falla'!GK24)</f>
      </c>
      <c r="I24" s="703">
        <f>IF('[1]Tasa de Falla'!GL24=0,"",'[1]Tasa de Falla'!GL24)</f>
      </c>
      <c r="J24" s="703">
        <f>IF('[1]Tasa de Falla'!GM24=0,"",'[1]Tasa de Falla'!GM24)</f>
      </c>
      <c r="K24" s="703">
        <f>IF('[1]Tasa de Falla'!GN24=0,"",'[1]Tasa de Falla'!GN24)</f>
      </c>
      <c r="L24" s="703">
        <f>IF('[1]Tasa de Falla'!GO24=0,"",'[1]Tasa de Falla'!GO24)</f>
      </c>
      <c r="M24" s="703">
        <f>IF('[1]Tasa de Falla'!GP24=0,"",'[1]Tasa de Falla'!GP24)</f>
      </c>
      <c r="N24" s="703">
        <f>IF('[1]Tasa de Falla'!GQ24=0,"",'[1]Tasa de Falla'!GQ24)</f>
      </c>
      <c r="O24" s="703">
        <f>IF('[1]Tasa de Falla'!GR24=0,"",'[1]Tasa de Falla'!GR24)</f>
        <v>1</v>
      </c>
      <c r="P24" s="703">
        <f>IF('[1]Tasa de Falla'!GS24=0,"",'[1]Tasa de Falla'!GS24)</f>
      </c>
      <c r="Q24" s="703">
        <f>IF('[1]Tasa de Falla'!GT24=0,"",'[1]Tasa de Falla'!GT24)</f>
      </c>
      <c r="R24" s="703">
        <f>IF('[1]Tasa de Falla'!GU24=0,"",'[1]Tasa de Falla'!GU24)</f>
      </c>
      <c r="S24" s="704"/>
      <c r="T24" s="3"/>
    </row>
    <row r="25" spans="2:20" ht="15" customHeight="1">
      <c r="B25" s="2"/>
      <c r="C25" s="738">
        <f>IF('[1]Tasa de Falla'!C25=0,"",'[1]Tasa de Falla'!C25)</f>
        <v>9</v>
      </c>
      <c r="D25" s="739" t="str">
        <f>IF('[1]Tasa de Falla'!D25=0,"",'[1]Tasa de Falla'!D25)</f>
        <v>FUTALEUFÚ - PUERTO MADRYN 1</v>
      </c>
      <c r="E25" s="739">
        <f>IF('[1]Tasa de Falla'!E25=0,"",'[1]Tasa de Falla'!E25)</f>
        <v>330</v>
      </c>
      <c r="F25" s="740">
        <f>IF('[1]Tasa de Falla'!F25=0,"",'[1]Tasa de Falla'!F25)</f>
        <v>550</v>
      </c>
      <c r="G25" s="703">
        <f>IF('[1]Tasa de Falla'!GJ25=0,"",'[1]Tasa de Falla'!GJ25)</f>
      </c>
      <c r="H25" s="703">
        <f>IF('[1]Tasa de Falla'!GK25=0,"",'[1]Tasa de Falla'!GK25)</f>
      </c>
      <c r="I25" s="703">
        <f>IF('[1]Tasa de Falla'!GL25=0,"",'[1]Tasa de Falla'!GL25)</f>
      </c>
      <c r="J25" s="703">
        <f>IF('[1]Tasa de Falla'!GM25=0,"",'[1]Tasa de Falla'!GM25)</f>
      </c>
      <c r="K25" s="703">
        <f>IF('[1]Tasa de Falla'!GN25=0,"",'[1]Tasa de Falla'!GN25)</f>
      </c>
      <c r="L25" s="703">
        <f>IF('[1]Tasa de Falla'!GO25=0,"",'[1]Tasa de Falla'!GO25)</f>
        <v>2</v>
      </c>
      <c r="M25" s="703">
        <f>IF('[1]Tasa de Falla'!GP25=0,"",'[1]Tasa de Falla'!GP25)</f>
      </c>
      <c r="N25" s="703">
        <f>IF('[1]Tasa de Falla'!GQ25=0,"",'[1]Tasa de Falla'!GQ25)</f>
      </c>
      <c r="O25" s="703">
        <f>IF('[1]Tasa de Falla'!GR25=0,"",'[1]Tasa de Falla'!GR25)</f>
      </c>
      <c r="P25" s="703">
        <f>IF('[1]Tasa de Falla'!GS25=0,"",'[1]Tasa de Falla'!GS25)</f>
      </c>
      <c r="Q25" s="703">
        <f>IF('[1]Tasa de Falla'!GT25=0,"",'[1]Tasa de Falla'!GT25)</f>
      </c>
      <c r="R25" s="703">
        <f>IF('[1]Tasa de Falla'!GU25=0,"",'[1]Tasa de Falla'!GU25)</f>
      </c>
      <c r="S25" s="704"/>
      <c r="T25" s="3"/>
    </row>
    <row r="26" spans="2:20" ht="15" customHeight="1">
      <c r="B26" s="2"/>
      <c r="C26" s="705">
        <f>IF('[1]Tasa de Falla'!C26=0,"",'[1]Tasa de Falla'!C26)</f>
        <v>10</v>
      </c>
      <c r="D26" s="736" t="str">
        <f>IF('[1]Tasa de Falla'!D26=0,"",'[1]Tasa de Falla'!D26)</f>
        <v>FUTALEUFÚ - PUERTO MADRYN 2</v>
      </c>
      <c r="E26" s="736">
        <f>IF('[1]Tasa de Falla'!E26=0,"",'[1]Tasa de Falla'!E26)</f>
        <v>330</v>
      </c>
      <c r="F26" s="737">
        <f>IF('[1]Tasa de Falla'!F26=0,"",'[1]Tasa de Falla'!F26)</f>
        <v>550</v>
      </c>
      <c r="G26" s="703">
        <f>IF('[1]Tasa de Falla'!GJ26=0,"",'[1]Tasa de Falla'!GJ26)</f>
      </c>
      <c r="H26" s="703">
        <f>IF('[1]Tasa de Falla'!GK26=0,"",'[1]Tasa de Falla'!GK26)</f>
      </c>
      <c r="I26" s="703">
        <f>IF('[1]Tasa de Falla'!GL26=0,"",'[1]Tasa de Falla'!GL26)</f>
        <v>1</v>
      </c>
      <c r="J26" s="703">
        <f>IF('[1]Tasa de Falla'!GM26=0,"",'[1]Tasa de Falla'!GM26)</f>
      </c>
      <c r="K26" s="703">
        <f>IF('[1]Tasa de Falla'!GN26=0,"",'[1]Tasa de Falla'!GN26)</f>
      </c>
      <c r="L26" s="703">
        <f>IF('[1]Tasa de Falla'!GO26=0,"",'[1]Tasa de Falla'!GO26)</f>
      </c>
      <c r="M26" s="703">
        <f>IF('[1]Tasa de Falla'!GP26=0,"",'[1]Tasa de Falla'!GP26)</f>
      </c>
      <c r="N26" s="703">
        <f>IF('[1]Tasa de Falla'!GQ26=0,"",'[1]Tasa de Falla'!GQ26)</f>
      </c>
      <c r="O26" s="703">
        <f>IF('[1]Tasa de Falla'!GR26=0,"",'[1]Tasa de Falla'!GR26)</f>
        <v>1</v>
      </c>
      <c r="P26" s="703">
        <f>IF('[1]Tasa de Falla'!GS26=0,"",'[1]Tasa de Falla'!GS26)</f>
      </c>
      <c r="Q26" s="703">
        <f>IF('[1]Tasa de Falla'!GT26=0,"",'[1]Tasa de Falla'!GT26)</f>
      </c>
      <c r="R26" s="703">
        <f>IF('[1]Tasa de Falla'!GU26=0,"",'[1]Tasa de Falla'!GU26)</f>
      </c>
      <c r="S26" s="704"/>
      <c r="T26" s="3"/>
    </row>
    <row r="27" spans="2:20" ht="15" customHeight="1">
      <c r="B27" s="2"/>
      <c r="C27" s="738">
        <f>IF('[1]Tasa de Falla'!C27=0,"",'[1]Tasa de Falla'!C27)</f>
        <v>11</v>
      </c>
      <c r="D27" s="739" t="str">
        <f>IF('[1]Tasa de Falla'!D27=0,"",'[1]Tasa de Falla'!D27)</f>
        <v>PLANTA ALUMINIO APPA - PUERTO MADRYN 1</v>
      </c>
      <c r="E27" s="739">
        <f>IF('[1]Tasa de Falla'!E27=0,"",'[1]Tasa de Falla'!E27)</f>
        <v>330</v>
      </c>
      <c r="F27" s="740">
        <f>IF('[1]Tasa de Falla'!F27=0,"",'[1]Tasa de Falla'!F27)</f>
        <v>5.5</v>
      </c>
      <c r="G27" s="703">
        <f>IF('[1]Tasa de Falla'!GJ27=0,"",'[1]Tasa de Falla'!GJ27)</f>
      </c>
      <c r="H27" s="703">
        <f>IF('[1]Tasa de Falla'!GK27=0,"",'[1]Tasa de Falla'!GK27)</f>
      </c>
      <c r="I27" s="703">
        <f>IF('[1]Tasa de Falla'!GL27=0,"",'[1]Tasa de Falla'!GL27)</f>
      </c>
      <c r="J27" s="703">
        <f>IF('[1]Tasa de Falla'!GM27=0,"",'[1]Tasa de Falla'!GM27)</f>
      </c>
      <c r="K27" s="703">
        <f>IF('[1]Tasa de Falla'!GN27=0,"",'[1]Tasa de Falla'!GN27)</f>
      </c>
      <c r="L27" s="703">
        <f>IF('[1]Tasa de Falla'!GO27=0,"",'[1]Tasa de Falla'!GO27)</f>
      </c>
      <c r="M27" s="703">
        <f>IF('[1]Tasa de Falla'!GP27=0,"",'[1]Tasa de Falla'!GP27)</f>
      </c>
      <c r="N27" s="703">
        <f>IF('[1]Tasa de Falla'!GQ27=0,"",'[1]Tasa de Falla'!GQ27)</f>
      </c>
      <c r="O27" s="703">
        <f>IF('[1]Tasa de Falla'!GR27=0,"",'[1]Tasa de Falla'!GR27)</f>
      </c>
      <c r="P27" s="703">
        <f>IF('[1]Tasa de Falla'!GS27=0,"",'[1]Tasa de Falla'!GS27)</f>
      </c>
      <c r="Q27" s="703">
        <f>IF('[1]Tasa de Falla'!GT27=0,"",'[1]Tasa de Falla'!GT27)</f>
      </c>
      <c r="R27" s="703">
        <f>IF('[1]Tasa de Falla'!GU27=0,"",'[1]Tasa de Falla'!GU27)</f>
      </c>
      <c r="S27" s="704"/>
      <c r="T27" s="3"/>
    </row>
    <row r="28" spans="2:20" ht="15" customHeight="1">
      <c r="B28" s="2"/>
      <c r="C28" s="705">
        <f>IF('[1]Tasa de Falla'!C28=0,"",'[1]Tasa de Falla'!C28)</f>
        <v>12</v>
      </c>
      <c r="D28" s="736" t="str">
        <f>IF('[1]Tasa de Falla'!D28=0,"",'[1]Tasa de Falla'!D28)</f>
        <v>PLANTA ALUMINIO APPA - PUERTO MADRYN 2</v>
      </c>
      <c r="E28" s="736">
        <f>IF('[1]Tasa de Falla'!E28=0,"",'[1]Tasa de Falla'!E28)</f>
        <v>330</v>
      </c>
      <c r="F28" s="737">
        <f>IF('[1]Tasa de Falla'!F28=0,"",'[1]Tasa de Falla'!F28)</f>
        <v>5.5</v>
      </c>
      <c r="G28" s="703">
        <f>IF('[1]Tasa de Falla'!GJ28=0,"",'[1]Tasa de Falla'!GJ28)</f>
      </c>
      <c r="H28" s="703">
        <f>IF('[1]Tasa de Falla'!GK28=0,"",'[1]Tasa de Falla'!GK28)</f>
      </c>
      <c r="I28" s="703">
        <f>IF('[1]Tasa de Falla'!GL28=0,"",'[1]Tasa de Falla'!GL28)</f>
      </c>
      <c r="J28" s="703">
        <f>IF('[1]Tasa de Falla'!GM28=0,"",'[1]Tasa de Falla'!GM28)</f>
      </c>
      <c r="K28" s="703">
        <f>IF('[1]Tasa de Falla'!GN28=0,"",'[1]Tasa de Falla'!GN28)</f>
      </c>
      <c r="L28" s="703">
        <f>IF('[1]Tasa de Falla'!GO28=0,"",'[1]Tasa de Falla'!GO28)</f>
      </c>
      <c r="M28" s="703">
        <f>IF('[1]Tasa de Falla'!GP28=0,"",'[1]Tasa de Falla'!GP28)</f>
      </c>
      <c r="N28" s="703">
        <f>IF('[1]Tasa de Falla'!GQ28=0,"",'[1]Tasa de Falla'!GQ28)</f>
      </c>
      <c r="O28" s="703">
        <f>IF('[1]Tasa de Falla'!GR28=0,"",'[1]Tasa de Falla'!GR28)</f>
      </c>
      <c r="P28" s="703">
        <f>IF('[1]Tasa de Falla'!GS28=0,"",'[1]Tasa de Falla'!GS28)</f>
      </c>
      <c r="Q28" s="703">
        <f>IF('[1]Tasa de Falla'!GT28=0,"",'[1]Tasa de Falla'!GT28)</f>
      </c>
      <c r="R28" s="703">
        <f>IF('[1]Tasa de Falla'!GU28=0,"",'[1]Tasa de Falla'!GU28)</f>
      </c>
      <c r="S28" s="704"/>
      <c r="T28" s="3"/>
    </row>
    <row r="29" spans="2:20" ht="15" customHeight="1">
      <c r="B29" s="2"/>
      <c r="C29" s="738">
        <f>IF('[1]Tasa de Falla'!C29=0,"",'[1]Tasa de Falla'!C29)</f>
        <v>13</v>
      </c>
      <c r="D29" s="739" t="str">
        <f>IF('[1]Tasa de Falla'!D29=0,"",'[1]Tasa de Falla'!D29)</f>
        <v>PICO TRUNCADO I - PICO TRUNCADO II</v>
      </c>
      <c r="E29" s="739">
        <f>IF('[1]Tasa de Falla'!E29=0,"",'[1]Tasa de Falla'!E29)</f>
        <v>132</v>
      </c>
      <c r="F29" s="740">
        <f>IF('[1]Tasa de Falla'!F29=0,"",'[1]Tasa de Falla'!F29)</f>
        <v>13.4</v>
      </c>
      <c r="G29" s="703">
        <f>IF('[1]Tasa de Falla'!GJ29=0,"",'[1]Tasa de Falla'!GJ29)</f>
      </c>
      <c r="H29" s="703">
        <f>IF('[1]Tasa de Falla'!GK29=0,"",'[1]Tasa de Falla'!GK29)</f>
      </c>
      <c r="I29" s="703">
        <f>IF('[1]Tasa de Falla'!GL29=0,"",'[1]Tasa de Falla'!GL29)</f>
      </c>
      <c r="J29" s="703">
        <f>IF('[1]Tasa de Falla'!GM29=0,"",'[1]Tasa de Falla'!GM29)</f>
      </c>
      <c r="K29" s="703">
        <f>IF('[1]Tasa de Falla'!GN29=0,"",'[1]Tasa de Falla'!GN29)</f>
      </c>
      <c r="L29" s="703">
        <f>IF('[1]Tasa de Falla'!GO29=0,"",'[1]Tasa de Falla'!GO29)</f>
      </c>
      <c r="M29" s="703">
        <f>IF('[1]Tasa de Falla'!GP29=0,"",'[1]Tasa de Falla'!GP29)</f>
      </c>
      <c r="N29" s="703">
        <f>IF('[1]Tasa de Falla'!GQ29=0,"",'[1]Tasa de Falla'!GQ29)</f>
      </c>
      <c r="O29" s="703">
        <f>IF('[1]Tasa de Falla'!GR29=0,"",'[1]Tasa de Falla'!GR29)</f>
      </c>
      <c r="P29" s="703">
        <f>IF('[1]Tasa de Falla'!GS29=0,"",'[1]Tasa de Falla'!GS29)</f>
      </c>
      <c r="Q29" s="703">
        <f>IF('[1]Tasa de Falla'!GT29=0,"",'[1]Tasa de Falla'!GT29)</f>
        <v>1</v>
      </c>
      <c r="R29" s="703">
        <f>IF('[1]Tasa de Falla'!GU29=0,"",'[1]Tasa de Falla'!GU29)</f>
      </c>
      <c r="S29" s="704"/>
      <c r="T29" s="3"/>
    </row>
    <row r="30" spans="2:20" ht="15" customHeight="1">
      <c r="B30" s="2"/>
      <c r="C30" s="705">
        <f>IF('[1]Tasa de Falla'!C30=0,"",'[1]Tasa de Falla'!C30)</f>
        <v>14</v>
      </c>
      <c r="D30" s="736" t="str">
        <f>IF('[1]Tasa de Falla'!D30=0,"",'[1]Tasa de Falla'!D30)</f>
        <v>PLANTA ALUMINIO DGPA - PTO MADRYN</v>
      </c>
      <c r="E30" s="736">
        <f>IF('[1]Tasa de Falla'!E30=0,"",'[1]Tasa de Falla'!E30)</f>
        <v>132</v>
      </c>
      <c r="F30" s="737">
        <f>IF('[1]Tasa de Falla'!F30=0,"",'[1]Tasa de Falla'!F30)</f>
        <v>5.7</v>
      </c>
      <c r="G30" s="703">
        <f>IF('[1]Tasa de Falla'!GJ30=0,"",'[1]Tasa de Falla'!GJ30)</f>
      </c>
      <c r="H30" s="703">
        <f>IF('[1]Tasa de Falla'!GK30=0,"",'[1]Tasa de Falla'!GK30)</f>
      </c>
      <c r="I30" s="703">
        <f>IF('[1]Tasa de Falla'!GL30=0,"",'[1]Tasa de Falla'!GL30)</f>
      </c>
      <c r="J30" s="703">
        <f>IF('[1]Tasa de Falla'!GM30=0,"",'[1]Tasa de Falla'!GM30)</f>
      </c>
      <c r="K30" s="703">
        <f>IF('[1]Tasa de Falla'!GN30=0,"",'[1]Tasa de Falla'!GN30)</f>
      </c>
      <c r="L30" s="703">
        <f>IF('[1]Tasa de Falla'!GO30=0,"",'[1]Tasa de Falla'!GO30)</f>
      </c>
      <c r="M30" s="703">
        <f>IF('[1]Tasa de Falla'!GP30=0,"",'[1]Tasa de Falla'!GP30)</f>
      </c>
      <c r="N30" s="703">
        <f>IF('[1]Tasa de Falla'!GQ30=0,"",'[1]Tasa de Falla'!GQ30)</f>
      </c>
      <c r="O30" s="703">
        <f>IF('[1]Tasa de Falla'!GR30=0,"",'[1]Tasa de Falla'!GR30)</f>
      </c>
      <c r="P30" s="703">
        <f>IF('[1]Tasa de Falla'!GS30=0,"",'[1]Tasa de Falla'!GS30)</f>
      </c>
      <c r="Q30" s="703">
        <f>IF('[1]Tasa de Falla'!GT30=0,"",'[1]Tasa de Falla'!GT30)</f>
      </c>
      <c r="R30" s="703">
        <f>IF('[1]Tasa de Falla'!GU30=0,"",'[1]Tasa de Falla'!GU30)</f>
      </c>
      <c r="S30" s="704"/>
      <c r="T30" s="3"/>
    </row>
    <row r="31" spans="2:20" ht="15" customHeight="1">
      <c r="B31" s="2"/>
      <c r="C31" s="738">
        <f>IF('[1]Tasa de Falla'!C31=0,"",'[1]Tasa de Falla'!C31)</f>
        <v>15</v>
      </c>
      <c r="D31" s="739" t="str">
        <f>IF('[1]Tasa de Falla'!D31=0,"",'[1]Tasa de Falla'!D31)</f>
        <v>PLANTA ALUMINIO DGPA - SS.AA. PTO MADRYN</v>
      </c>
      <c r="E31" s="739">
        <f>IF('[1]Tasa de Falla'!E31=0,"",'[1]Tasa de Falla'!E31)</f>
        <v>33</v>
      </c>
      <c r="F31" s="740">
        <f>IF('[1]Tasa de Falla'!F31=0,"",'[1]Tasa de Falla'!F31)</f>
        <v>6</v>
      </c>
      <c r="G31" s="703">
        <f>IF('[1]Tasa de Falla'!GJ31=0,"",'[1]Tasa de Falla'!GJ31)</f>
      </c>
      <c r="H31" s="703">
        <f>IF('[1]Tasa de Falla'!GK31=0,"",'[1]Tasa de Falla'!GK31)</f>
      </c>
      <c r="I31" s="703">
        <f>IF('[1]Tasa de Falla'!GL31=0,"",'[1]Tasa de Falla'!GL31)</f>
      </c>
      <c r="J31" s="703">
        <f>IF('[1]Tasa de Falla'!GM31=0,"",'[1]Tasa de Falla'!GM31)</f>
      </c>
      <c r="K31" s="703">
        <f>IF('[1]Tasa de Falla'!GN31=0,"",'[1]Tasa de Falla'!GN31)</f>
      </c>
      <c r="L31" s="703">
        <f>IF('[1]Tasa de Falla'!GO31=0,"",'[1]Tasa de Falla'!GO31)</f>
      </c>
      <c r="M31" s="703">
        <f>IF('[1]Tasa de Falla'!GP31=0,"",'[1]Tasa de Falla'!GP31)</f>
      </c>
      <c r="N31" s="703">
        <f>IF('[1]Tasa de Falla'!GQ31=0,"",'[1]Tasa de Falla'!GQ31)</f>
      </c>
      <c r="O31" s="703">
        <f>IF('[1]Tasa de Falla'!GR31=0,"",'[1]Tasa de Falla'!GR31)</f>
      </c>
      <c r="P31" s="703">
        <f>IF('[1]Tasa de Falla'!GS31=0,"",'[1]Tasa de Falla'!GS31)</f>
      </c>
      <c r="Q31" s="703">
        <f>IF('[1]Tasa de Falla'!GT31=0,"",'[1]Tasa de Falla'!GT31)</f>
      </c>
      <c r="R31" s="703">
        <f>IF('[1]Tasa de Falla'!GU31=0,"",'[1]Tasa de Falla'!GU31)</f>
      </c>
      <c r="S31" s="704"/>
      <c r="T31" s="3"/>
    </row>
    <row r="32" spans="2:20" ht="15" customHeight="1">
      <c r="B32" s="2"/>
      <c r="C32" s="705">
        <f>IF('[1]Tasa de Falla'!C32=0,"",'[1]Tasa de Falla'!C32)</f>
        <v>16</v>
      </c>
      <c r="D32" s="736" t="str">
        <f>IF('[1]Tasa de Falla'!D32=0,"",'[1]Tasa de Falla'!D32)</f>
        <v>PLANTA ALUMINIO DGPA - TRELEW</v>
      </c>
      <c r="E32" s="736">
        <f>IF('[1]Tasa de Falla'!E32=0,"",'[1]Tasa de Falla'!E32)</f>
        <v>132</v>
      </c>
      <c r="F32" s="737">
        <f>IF('[1]Tasa de Falla'!F32=0,"",'[1]Tasa de Falla'!F32)</f>
        <v>62</v>
      </c>
      <c r="G32" s="703">
        <f>IF('[1]Tasa de Falla'!GJ32=0,"",'[1]Tasa de Falla'!GJ32)</f>
      </c>
      <c r="H32" s="703">
        <f>IF('[1]Tasa de Falla'!GK32=0,"",'[1]Tasa de Falla'!GK32)</f>
      </c>
      <c r="I32" s="703">
        <f>IF('[1]Tasa de Falla'!GL32=0,"",'[1]Tasa de Falla'!GL32)</f>
      </c>
      <c r="J32" s="703">
        <f>IF('[1]Tasa de Falla'!GM32=0,"",'[1]Tasa de Falla'!GM32)</f>
      </c>
      <c r="K32" s="703">
        <f>IF('[1]Tasa de Falla'!GN32=0,"",'[1]Tasa de Falla'!GN32)</f>
      </c>
      <c r="L32" s="703">
        <f>IF('[1]Tasa de Falla'!GO32=0,"",'[1]Tasa de Falla'!GO32)</f>
      </c>
      <c r="M32" s="703">
        <f>IF('[1]Tasa de Falla'!GP32=0,"",'[1]Tasa de Falla'!GP32)</f>
      </c>
      <c r="N32" s="703">
        <f>IF('[1]Tasa de Falla'!GQ32=0,"",'[1]Tasa de Falla'!GQ32)</f>
      </c>
      <c r="O32" s="703">
        <f>IF('[1]Tasa de Falla'!GR32=0,"",'[1]Tasa de Falla'!GR32)</f>
      </c>
      <c r="P32" s="703">
        <f>IF('[1]Tasa de Falla'!GS32=0,"",'[1]Tasa de Falla'!GS32)</f>
      </c>
      <c r="Q32" s="703">
        <f>IF('[1]Tasa de Falla'!GT32=0,"",'[1]Tasa de Falla'!GT32)</f>
        <v>1</v>
      </c>
      <c r="R32" s="703">
        <f>IF('[1]Tasa de Falla'!GU32=0,"",'[1]Tasa de Falla'!GU32)</f>
      </c>
      <c r="S32" s="704"/>
      <c r="T32" s="3"/>
    </row>
    <row r="33" spans="2:20" ht="18" customHeight="1">
      <c r="B33" s="2"/>
      <c r="C33" s="738">
        <f>IF('[1]Tasa de Falla'!C33=0,"",'[1]Tasa de Falla'!C33)</f>
        <v>17</v>
      </c>
      <c r="D33" s="739" t="str">
        <f>IF('[1]Tasa de Falla'!D33=0,"",'[1]Tasa de Falla'!D33)</f>
        <v>PUERTO MADRYN - SIERRA GRANDE</v>
      </c>
      <c r="E33" s="739">
        <f>IF('[1]Tasa de Falla'!E33=0,"",'[1]Tasa de Falla'!E33)</f>
        <v>132</v>
      </c>
      <c r="F33" s="740">
        <f>IF('[1]Tasa de Falla'!F33=0,"",'[1]Tasa de Falla'!F33)</f>
        <v>121.5</v>
      </c>
      <c r="G33" s="703">
        <f>IF('[1]Tasa de Falla'!GJ33=0,"",'[1]Tasa de Falla'!GJ33)</f>
      </c>
      <c r="H33" s="703">
        <f>IF('[1]Tasa de Falla'!GK33=0,"",'[1]Tasa de Falla'!GK33)</f>
        <v>1</v>
      </c>
      <c r="I33" s="703">
        <f>IF('[1]Tasa de Falla'!GL33=0,"",'[1]Tasa de Falla'!GL33)</f>
      </c>
      <c r="J33" s="703">
        <f>IF('[1]Tasa de Falla'!GM33=0,"",'[1]Tasa de Falla'!GM33)</f>
      </c>
      <c r="K33" s="703">
        <f>IF('[1]Tasa de Falla'!GN33=0,"",'[1]Tasa de Falla'!GN33)</f>
        <v>3</v>
      </c>
      <c r="L33" s="703">
        <f>IF('[1]Tasa de Falla'!GO33=0,"",'[1]Tasa de Falla'!GO33)</f>
      </c>
      <c r="M33" s="703">
        <f>IF('[1]Tasa de Falla'!GP33=0,"",'[1]Tasa de Falla'!GP33)</f>
      </c>
      <c r="N33" s="703">
        <f>IF('[1]Tasa de Falla'!GQ33=0,"",'[1]Tasa de Falla'!GQ33)</f>
      </c>
      <c r="O33" s="703">
        <f>IF('[1]Tasa de Falla'!GR33=0,"",'[1]Tasa de Falla'!GR33)</f>
      </c>
      <c r="P33" s="703">
        <f>IF('[1]Tasa de Falla'!GS33=0,"",'[1]Tasa de Falla'!GS33)</f>
      </c>
      <c r="Q33" s="703">
        <f>IF('[1]Tasa de Falla'!GT33=0,"",'[1]Tasa de Falla'!GT33)</f>
      </c>
      <c r="R33" s="703">
        <f>IF('[1]Tasa de Falla'!GU33=0,"",'[1]Tasa de Falla'!GU33)</f>
      </c>
      <c r="S33" s="704"/>
      <c r="T33" s="3"/>
    </row>
    <row r="34" spans="2:20" ht="16.5" customHeight="1">
      <c r="B34" s="2"/>
      <c r="C34" s="705">
        <f>IF('[1]Tasa de Falla'!C34=0,"",'[1]Tasa de Falla'!C34)</f>
        <v>18</v>
      </c>
      <c r="D34" s="736" t="str">
        <f>IF('[1]Tasa de Falla'!D34=0,"",'[1]Tasa de Falla'!D34)</f>
        <v>BARRIO SAN MARTIN - A CONEXION "T"</v>
      </c>
      <c r="E34" s="736">
        <f>IF('[1]Tasa de Falla'!E34=0,"",'[1]Tasa de Falla'!E34)</f>
        <v>132</v>
      </c>
      <c r="F34" s="737">
        <f>IF('[1]Tasa de Falla'!F34=0,"",'[1]Tasa de Falla'!F34)</f>
        <v>7.5</v>
      </c>
      <c r="G34" s="703" t="str">
        <f>IF('[1]Tasa de Falla'!GJ34=0,"",'[1]Tasa de Falla'!GJ34)</f>
        <v>XXXX</v>
      </c>
      <c r="H34" s="703" t="str">
        <f>IF('[1]Tasa de Falla'!GK34=0,"",'[1]Tasa de Falla'!GK34)</f>
        <v>XXXX</v>
      </c>
      <c r="I34" s="703" t="str">
        <f>IF('[1]Tasa de Falla'!GL34=0,"",'[1]Tasa de Falla'!GL34)</f>
        <v>XXXX</v>
      </c>
      <c r="J34" s="703" t="str">
        <f>IF('[1]Tasa de Falla'!GM34=0,"",'[1]Tasa de Falla'!GM34)</f>
        <v>XXXX</v>
      </c>
      <c r="K34" s="703" t="str">
        <f>IF('[1]Tasa de Falla'!GN34=0,"",'[1]Tasa de Falla'!GN34)</f>
        <v>XXXX</v>
      </c>
      <c r="L34" s="703" t="str">
        <f>IF('[1]Tasa de Falla'!GO34=0,"",'[1]Tasa de Falla'!GO34)</f>
        <v>XXXX</v>
      </c>
      <c r="M34" s="703" t="str">
        <f>IF('[1]Tasa de Falla'!GP34=0,"",'[1]Tasa de Falla'!GP34)</f>
        <v>XXXX</v>
      </c>
      <c r="N34" s="703" t="str">
        <f>IF('[1]Tasa de Falla'!GQ34=0,"",'[1]Tasa de Falla'!GQ34)</f>
        <v>XXXX</v>
      </c>
      <c r="O34" s="703" t="str">
        <f>IF('[1]Tasa de Falla'!GR34=0,"",'[1]Tasa de Falla'!GR34)</f>
        <v>XXXX</v>
      </c>
      <c r="P34" s="703" t="str">
        <f>IF('[1]Tasa de Falla'!GS34=0,"",'[1]Tasa de Falla'!GS34)</f>
        <v>XXXX</v>
      </c>
      <c r="Q34" s="703" t="str">
        <f>IF('[1]Tasa de Falla'!GT34=0,"",'[1]Tasa de Falla'!GT34)</f>
        <v>XXXX</v>
      </c>
      <c r="R34" s="703" t="str">
        <f>IF('[1]Tasa de Falla'!GU34=0,"",'[1]Tasa de Falla'!GU34)</f>
        <v>XXXX</v>
      </c>
      <c r="S34" s="704"/>
      <c r="T34" s="3"/>
    </row>
    <row r="35" spans="2:20" ht="15" customHeight="1">
      <c r="B35" s="2"/>
      <c r="C35" s="738">
        <f>IF('[1]Tasa de Falla'!C35=0,"",'[1]Tasa de Falla'!C35)</f>
        <v>19</v>
      </c>
      <c r="D35" s="739" t="str">
        <f>IF('[1]Tasa de Falla'!D35=0,"",'[1]Tasa de Falla'!D35)</f>
        <v>PICO TRUNCADO I - LAS HERAS</v>
      </c>
      <c r="E35" s="739">
        <f>IF('[1]Tasa de Falla'!E35=0,"",'[1]Tasa de Falla'!E35)</f>
        <v>132</v>
      </c>
      <c r="F35" s="740">
        <f>IF('[1]Tasa de Falla'!F35=0,"",'[1]Tasa de Falla'!F35)</f>
        <v>82.5</v>
      </c>
      <c r="G35" s="703">
        <f>IF('[1]Tasa de Falla'!GJ35=0,"",'[1]Tasa de Falla'!GJ35)</f>
      </c>
      <c r="H35" s="703">
        <f>IF('[1]Tasa de Falla'!GK35=0,"",'[1]Tasa de Falla'!GK35)</f>
      </c>
      <c r="I35" s="703">
        <f>IF('[1]Tasa de Falla'!GL35=0,"",'[1]Tasa de Falla'!GL35)</f>
      </c>
      <c r="J35" s="703" t="str">
        <f>IF('[1]Tasa de Falla'!GM35=0,"",'[1]Tasa de Falla'!GM35)</f>
        <v>XXXX</v>
      </c>
      <c r="K35" s="703" t="str">
        <f>IF('[1]Tasa de Falla'!GN35=0,"",'[1]Tasa de Falla'!GN35)</f>
        <v>XXXX</v>
      </c>
      <c r="L35" s="703" t="str">
        <f>IF('[1]Tasa de Falla'!GO35=0,"",'[1]Tasa de Falla'!GO35)</f>
        <v>XXXX</v>
      </c>
      <c r="M35" s="703" t="str">
        <f>IF('[1]Tasa de Falla'!GP35=0,"",'[1]Tasa de Falla'!GP35)</f>
        <v>XXXX</v>
      </c>
      <c r="N35" s="703" t="str">
        <f>IF('[1]Tasa de Falla'!GQ35=0,"",'[1]Tasa de Falla'!GQ35)</f>
        <v>XXXX</v>
      </c>
      <c r="O35" s="703" t="str">
        <f>IF('[1]Tasa de Falla'!GR35=0,"",'[1]Tasa de Falla'!GR35)</f>
        <v>XXXX</v>
      </c>
      <c r="P35" s="703" t="str">
        <f>IF('[1]Tasa de Falla'!GS35=0,"",'[1]Tasa de Falla'!GS35)</f>
        <v>XXXX</v>
      </c>
      <c r="Q35" s="703" t="str">
        <f>IF('[1]Tasa de Falla'!GT35=0,"",'[1]Tasa de Falla'!GT35)</f>
        <v>XXXX</v>
      </c>
      <c r="R35" s="703" t="str">
        <f>IF('[1]Tasa de Falla'!GU35=0,"",'[1]Tasa de Falla'!GU35)</f>
        <v>XXXX</v>
      </c>
      <c r="S35" s="704"/>
      <c r="T35" s="3"/>
    </row>
    <row r="36" spans="2:20" ht="15" customHeight="1">
      <c r="B36" s="2"/>
      <c r="C36" s="705">
        <f>IF('[1]Tasa de Falla'!C36=0,"",'[1]Tasa de Falla'!C36)</f>
        <v>20</v>
      </c>
      <c r="D36" s="736" t="str">
        <f>IF('[1]Tasa de Falla'!D36=0,"",'[1]Tasa de Falla'!D36)</f>
        <v>LAS HERAS - LOS PERALES</v>
      </c>
      <c r="E36" s="736">
        <f>IF('[1]Tasa de Falla'!E36=0,"",'[1]Tasa de Falla'!E36)</f>
        <v>132</v>
      </c>
      <c r="F36" s="737">
        <f>IF('[1]Tasa de Falla'!F36=0,"",'[1]Tasa de Falla'!F36)</f>
        <v>47</v>
      </c>
      <c r="G36" s="703">
        <f>IF('[1]Tasa de Falla'!GJ36=0,"",'[1]Tasa de Falla'!GJ36)</f>
      </c>
      <c r="H36" s="703">
        <f>IF('[1]Tasa de Falla'!GK36=0,"",'[1]Tasa de Falla'!GK36)</f>
      </c>
      <c r="I36" s="703">
        <f>IF('[1]Tasa de Falla'!GL36=0,"",'[1]Tasa de Falla'!GL36)</f>
      </c>
      <c r="J36" s="703">
        <f>IF('[1]Tasa de Falla'!GM36=0,"",'[1]Tasa de Falla'!GM36)</f>
      </c>
      <c r="K36" s="703">
        <f>IF('[1]Tasa de Falla'!GN36=0,"",'[1]Tasa de Falla'!GN36)</f>
      </c>
      <c r="L36" s="703">
        <f>IF('[1]Tasa de Falla'!GO36=0,"",'[1]Tasa de Falla'!GO36)</f>
      </c>
      <c r="M36" s="703">
        <f>IF('[1]Tasa de Falla'!GP36=0,"",'[1]Tasa de Falla'!GP36)</f>
        <v>1</v>
      </c>
      <c r="N36" s="703">
        <f>IF('[1]Tasa de Falla'!GQ36=0,"",'[1]Tasa de Falla'!GQ36)</f>
      </c>
      <c r="O36" s="703">
        <f>IF('[1]Tasa de Falla'!GR36=0,"",'[1]Tasa de Falla'!GR36)</f>
      </c>
      <c r="P36" s="703">
        <f>IF('[1]Tasa de Falla'!GS36=0,"",'[1]Tasa de Falla'!GS36)</f>
      </c>
      <c r="Q36" s="703">
        <f>IF('[1]Tasa de Falla'!GT36=0,"",'[1]Tasa de Falla'!GT36)</f>
      </c>
      <c r="R36" s="703">
        <f>IF('[1]Tasa de Falla'!GU36=0,"",'[1]Tasa de Falla'!GU36)</f>
      </c>
      <c r="S36" s="704"/>
      <c r="T36" s="3"/>
    </row>
    <row r="37" spans="2:20" ht="15" customHeight="1">
      <c r="B37" s="2"/>
      <c r="C37" s="738">
        <f>IF('[1]Tasa de Falla'!C37=0,"",'[1]Tasa de Falla'!C37)</f>
        <v>21</v>
      </c>
      <c r="D37" s="739" t="str">
        <f>IF('[1]Tasa de Falla'!D37=0,"",'[1]Tasa de Falla'!D37)</f>
        <v>N. P. MADRYN - P. MADRYN 330 kV</v>
      </c>
      <c r="E37" s="739">
        <f>IF('[1]Tasa de Falla'!E37=0,"",'[1]Tasa de Falla'!E37)</f>
        <v>330</v>
      </c>
      <c r="F37" s="740">
        <f>IF('[1]Tasa de Falla'!F37=0,"",'[1]Tasa de Falla'!F37)</f>
        <v>0.47</v>
      </c>
      <c r="G37" s="703">
        <f>IF('[1]Tasa de Falla'!GJ37=0,"",'[1]Tasa de Falla'!GJ37)</f>
      </c>
      <c r="H37" s="703">
        <f>IF('[1]Tasa de Falla'!GK37=0,"",'[1]Tasa de Falla'!GK37)</f>
      </c>
      <c r="I37" s="703">
        <f>IF('[1]Tasa de Falla'!GL37=0,"",'[1]Tasa de Falla'!GL37)</f>
      </c>
      <c r="J37" s="703">
        <f>IF('[1]Tasa de Falla'!GM37=0,"",'[1]Tasa de Falla'!GM37)</f>
      </c>
      <c r="K37" s="703">
        <f>IF('[1]Tasa de Falla'!GN37=0,"",'[1]Tasa de Falla'!GN37)</f>
      </c>
      <c r="L37" s="703">
        <f>IF('[1]Tasa de Falla'!GO37=0,"",'[1]Tasa de Falla'!GO37)</f>
      </c>
      <c r="M37" s="703">
        <f>IF('[1]Tasa de Falla'!GP37=0,"",'[1]Tasa de Falla'!GP37)</f>
      </c>
      <c r="N37" s="703">
        <f>IF('[1]Tasa de Falla'!GQ37=0,"",'[1]Tasa de Falla'!GQ37)</f>
      </c>
      <c r="O37" s="703">
        <f>IF('[1]Tasa de Falla'!GR37=0,"",'[1]Tasa de Falla'!GR37)</f>
      </c>
      <c r="P37" s="703">
        <f>IF('[1]Tasa de Falla'!GS37=0,"",'[1]Tasa de Falla'!GS37)</f>
      </c>
      <c r="Q37" s="703">
        <f>IF('[1]Tasa de Falla'!GT37=0,"",'[1]Tasa de Falla'!GT37)</f>
      </c>
      <c r="R37" s="703">
        <f>IF('[1]Tasa de Falla'!GU37=0,"",'[1]Tasa de Falla'!GU37)</f>
      </c>
      <c r="S37" s="704"/>
      <c r="T37" s="3"/>
    </row>
    <row r="38" spans="2:20" ht="18" customHeight="1">
      <c r="B38" s="2"/>
      <c r="C38" s="705">
        <f>IF('[1]Tasa de Falla'!C38=0,"",'[1]Tasa de Falla'!C38)</f>
        <v>31</v>
      </c>
      <c r="D38" s="736" t="str">
        <f>IF('[1]Tasa de Falla'!D38=0,"",'[1]Tasa de Falla'!D38)</f>
        <v>LAS HERAS - MINA SAN JOSE</v>
      </c>
      <c r="E38" s="736">
        <f>IF('[1]Tasa de Falla'!E38=0,"",'[1]Tasa de Falla'!E38)</f>
        <v>132</v>
      </c>
      <c r="F38" s="737">
        <f>IF('[1]Tasa de Falla'!F38=0,"",'[1]Tasa de Falla'!F38)</f>
        <v>128</v>
      </c>
      <c r="G38" s="703" t="str">
        <f>IF('[1]Tasa de Falla'!GJ38=0,"",'[1]Tasa de Falla'!GJ38)</f>
        <v>XXXX</v>
      </c>
      <c r="H38" s="703" t="str">
        <f>IF('[1]Tasa de Falla'!GK38=0,"",'[1]Tasa de Falla'!GK38)</f>
        <v>XXXX</v>
      </c>
      <c r="I38" s="703" t="str">
        <f>IF('[1]Tasa de Falla'!GL38=0,"",'[1]Tasa de Falla'!GL38)</f>
        <v>XXXX</v>
      </c>
      <c r="J38" s="703">
        <f>IF('[1]Tasa de Falla'!GM38=0,"",'[1]Tasa de Falla'!GM38)</f>
        <v>1</v>
      </c>
      <c r="K38" s="703">
        <f>IF('[1]Tasa de Falla'!GN38=0,"",'[1]Tasa de Falla'!GN38)</f>
      </c>
      <c r="L38" s="703">
        <f>IF('[1]Tasa de Falla'!GO38=0,"",'[1]Tasa de Falla'!GO38)</f>
      </c>
      <c r="M38" s="703">
        <f>IF('[1]Tasa de Falla'!GP38=0,"",'[1]Tasa de Falla'!GP38)</f>
        <v>1</v>
      </c>
      <c r="N38" s="703">
        <f>IF('[1]Tasa de Falla'!GQ38=0,"",'[1]Tasa de Falla'!GQ38)</f>
      </c>
      <c r="O38" s="703">
        <f>IF('[1]Tasa de Falla'!GR38=0,"",'[1]Tasa de Falla'!GR38)</f>
      </c>
      <c r="P38" s="703">
        <f>IF('[1]Tasa de Falla'!GS38=0,"",'[1]Tasa de Falla'!GS38)</f>
      </c>
      <c r="Q38" s="703">
        <f>IF('[1]Tasa de Falla'!GT38=0,"",'[1]Tasa de Falla'!GT38)</f>
      </c>
      <c r="R38" s="703">
        <f>IF('[1]Tasa de Falla'!GU38=0,"",'[1]Tasa de Falla'!GU38)</f>
      </c>
      <c r="S38" s="704"/>
      <c r="T38" s="3"/>
    </row>
    <row r="39" spans="2:20" ht="19.5" customHeight="1">
      <c r="B39" s="2"/>
      <c r="C39" s="738">
        <f>IF('[1]Tasa de Falla'!C39=0,"",'[1]Tasa de Falla'!C39)</f>
        <v>27</v>
      </c>
      <c r="D39" s="739" t="str">
        <f>IF('[1]Tasa de Falla'!D39=0,"",'[1]Tasa de Falla'!D39)</f>
        <v>PAMPA DEL CASTILLO - EL TORDILLO</v>
      </c>
      <c r="E39" s="739">
        <f>IF('[1]Tasa de Falla'!E39=0,"",'[1]Tasa de Falla'!E39)</f>
        <v>132</v>
      </c>
      <c r="F39" s="740">
        <f>IF('[1]Tasa de Falla'!F39=0,"",'[1]Tasa de Falla'!F39)</f>
        <v>8.9</v>
      </c>
      <c r="G39" s="703">
        <f>IF('[1]Tasa de Falla'!GJ39=0,"",'[1]Tasa de Falla'!GJ39)</f>
      </c>
      <c r="H39" s="703">
        <f>IF('[1]Tasa de Falla'!GK39=0,"",'[1]Tasa de Falla'!GK39)</f>
      </c>
      <c r="I39" s="703">
        <f>IF('[1]Tasa de Falla'!GL39=0,"",'[1]Tasa de Falla'!GL39)</f>
      </c>
      <c r="J39" s="703">
        <f>IF('[1]Tasa de Falla'!GM39=0,"",'[1]Tasa de Falla'!GM39)</f>
      </c>
      <c r="K39" s="703">
        <f>IF('[1]Tasa de Falla'!GN39=0,"",'[1]Tasa de Falla'!GN39)</f>
      </c>
      <c r="L39" s="703">
        <f>IF('[1]Tasa de Falla'!GO39=0,"",'[1]Tasa de Falla'!GO39)</f>
      </c>
      <c r="M39" s="703">
        <f>IF('[1]Tasa de Falla'!GP39=0,"",'[1]Tasa de Falla'!GP39)</f>
      </c>
      <c r="N39" s="703">
        <f>IF('[1]Tasa de Falla'!GQ39=0,"",'[1]Tasa de Falla'!GQ39)</f>
      </c>
      <c r="O39" s="703">
        <f>IF('[1]Tasa de Falla'!GR39=0,"",'[1]Tasa de Falla'!GR39)</f>
      </c>
      <c r="P39" s="703">
        <f>IF('[1]Tasa de Falla'!GS39=0,"",'[1]Tasa de Falla'!GS39)</f>
      </c>
      <c r="Q39" s="703">
        <f>IF('[1]Tasa de Falla'!GT39=0,"",'[1]Tasa de Falla'!GT39)</f>
      </c>
      <c r="R39" s="703">
        <f>IF('[1]Tasa de Falla'!GU39=0,"",'[1]Tasa de Falla'!GU39)</f>
      </c>
      <c r="S39" s="704"/>
      <c r="T39" s="3"/>
    </row>
    <row r="40" spans="2:20" ht="16.5" customHeight="1">
      <c r="B40" s="2"/>
      <c r="C40" s="705">
        <f>IF('[1]Tasa de Falla'!C40=0,"",'[1]Tasa de Falla'!C40)</f>
        <v>28</v>
      </c>
      <c r="D40" s="736" t="str">
        <f>IF('[1]Tasa de Falla'!D40=0,"",'[1]Tasa de Falla'!D40)</f>
        <v>PLANTA ALUMINIO APPA - PUERTO MADRYN 3</v>
      </c>
      <c r="E40" s="736">
        <f>IF('[1]Tasa de Falla'!E40=0,"",'[1]Tasa de Falla'!E40)</f>
        <v>330</v>
      </c>
      <c r="F40" s="737">
        <f>IF('[1]Tasa de Falla'!F40=0,"",'[1]Tasa de Falla'!F40)</f>
        <v>4.85</v>
      </c>
      <c r="G40" s="703">
        <f>IF('[1]Tasa de Falla'!GJ40=0,"",'[1]Tasa de Falla'!GJ40)</f>
      </c>
      <c r="H40" s="703">
        <f>IF('[1]Tasa de Falla'!GK40=0,"",'[1]Tasa de Falla'!GK40)</f>
      </c>
      <c r="I40" s="703">
        <f>IF('[1]Tasa de Falla'!GL40=0,"",'[1]Tasa de Falla'!GL40)</f>
      </c>
      <c r="J40" s="703">
        <f>IF('[1]Tasa de Falla'!GM40=0,"",'[1]Tasa de Falla'!GM40)</f>
      </c>
      <c r="K40" s="703">
        <f>IF('[1]Tasa de Falla'!GN40=0,"",'[1]Tasa de Falla'!GN40)</f>
      </c>
      <c r="L40" s="703">
        <f>IF('[1]Tasa de Falla'!GO40=0,"",'[1]Tasa de Falla'!GO40)</f>
      </c>
      <c r="M40" s="703">
        <f>IF('[1]Tasa de Falla'!GP40=0,"",'[1]Tasa de Falla'!GP40)</f>
      </c>
      <c r="N40" s="703">
        <f>IF('[1]Tasa de Falla'!GQ40=0,"",'[1]Tasa de Falla'!GQ40)</f>
      </c>
      <c r="O40" s="703">
        <f>IF('[1]Tasa de Falla'!GR40=0,"",'[1]Tasa de Falla'!GR40)</f>
      </c>
      <c r="P40" s="703">
        <f>IF('[1]Tasa de Falla'!GS40=0,"",'[1]Tasa de Falla'!GS40)</f>
      </c>
      <c r="Q40" s="703">
        <f>IF('[1]Tasa de Falla'!GT40=0,"",'[1]Tasa de Falla'!GT40)</f>
      </c>
      <c r="R40" s="703">
        <f>IF('[1]Tasa de Falla'!GU40=0,"",'[1]Tasa de Falla'!GU40)</f>
      </c>
      <c r="S40" s="704"/>
      <c r="T40" s="3"/>
    </row>
    <row r="41" spans="2:20" ht="16.5" customHeight="1">
      <c r="B41" s="2"/>
      <c r="C41" s="738">
        <f>IF('[1]Tasa de Falla'!C41=0,"",'[1]Tasa de Falla'!C41)</f>
        <v>30</v>
      </c>
      <c r="D41" s="739" t="str">
        <f>IF('[1]Tasa de Falla'!D41=0,"",'[1]Tasa de Falla'!D41)</f>
        <v>TRELEW - RAWSON</v>
      </c>
      <c r="E41" s="739">
        <f>IF('[1]Tasa de Falla'!E41=0,"",'[1]Tasa de Falla'!E41)</f>
        <v>132</v>
      </c>
      <c r="F41" s="740">
        <f>IF('[1]Tasa de Falla'!F41=0,"",'[1]Tasa de Falla'!F41)</f>
        <v>21.8</v>
      </c>
      <c r="G41" s="703">
        <f>IF('[1]Tasa de Falla'!GJ41=0,"",'[1]Tasa de Falla'!GJ41)</f>
      </c>
      <c r="H41" s="703">
        <f>IF('[1]Tasa de Falla'!GK41=0,"",'[1]Tasa de Falla'!GK41)</f>
      </c>
      <c r="I41" s="703">
        <f>IF('[1]Tasa de Falla'!GL41=0,"",'[1]Tasa de Falla'!GL41)</f>
      </c>
      <c r="J41" s="703">
        <f>IF('[1]Tasa de Falla'!GM41=0,"",'[1]Tasa de Falla'!GM41)</f>
      </c>
      <c r="K41" s="703">
        <f>IF('[1]Tasa de Falla'!GN41=0,"",'[1]Tasa de Falla'!GN41)</f>
        <v>1</v>
      </c>
      <c r="L41" s="703">
        <f>IF('[1]Tasa de Falla'!GO41=0,"",'[1]Tasa de Falla'!GO41)</f>
      </c>
      <c r="M41" s="703">
        <f>IF('[1]Tasa de Falla'!GP41=0,"",'[1]Tasa de Falla'!GP41)</f>
      </c>
      <c r="N41" s="703">
        <f>IF('[1]Tasa de Falla'!GQ41=0,"",'[1]Tasa de Falla'!GQ41)</f>
      </c>
      <c r="O41" s="703">
        <f>IF('[1]Tasa de Falla'!GR41=0,"",'[1]Tasa de Falla'!GR41)</f>
      </c>
      <c r="P41" s="703">
        <f>IF('[1]Tasa de Falla'!GS41=0,"",'[1]Tasa de Falla'!GS41)</f>
      </c>
      <c r="Q41" s="703">
        <f>IF('[1]Tasa de Falla'!GT41=0,"",'[1]Tasa de Falla'!GT41)</f>
      </c>
      <c r="R41" s="703">
        <f>IF('[1]Tasa de Falla'!GU41=0,"",'[1]Tasa de Falla'!GU41)</f>
      </c>
      <c r="S41" s="704"/>
      <c r="T41" s="3"/>
    </row>
    <row r="42" spans="2:20" ht="16.5" customHeight="1">
      <c r="B42" s="2"/>
      <c r="C42" s="705">
        <f>IF('[1]Tasa de Falla'!C42=0,"",'[1]Tasa de Falla'!C42)</f>
        <v>37</v>
      </c>
      <c r="D42" s="736" t="str">
        <f>IF('[1]Tasa de Falla'!D42=0,"",'[1]Tasa de Falla'!D42)</f>
        <v>PICO TRUNCADO 1 - SANTA CRUZ NORTE     1</v>
      </c>
      <c r="E42" s="736">
        <f>IF('[1]Tasa de Falla'!E42=0,"",'[1]Tasa de Falla'!E42)</f>
        <v>132</v>
      </c>
      <c r="F42" s="737">
        <f>IF('[1]Tasa de Falla'!F42=0,"",'[1]Tasa de Falla'!F42)</f>
        <v>2.5</v>
      </c>
      <c r="G42" s="703">
        <f>IF('[1]Tasa de Falla'!GJ42=0,"",'[1]Tasa de Falla'!GJ42)</f>
      </c>
      <c r="H42" s="703">
        <f>IF('[1]Tasa de Falla'!GK42=0,"",'[1]Tasa de Falla'!GK42)</f>
      </c>
      <c r="I42" s="703">
        <f>IF('[1]Tasa de Falla'!GL42=0,"",'[1]Tasa de Falla'!GL42)</f>
      </c>
      <c r="J42" s="703">
        <f>IF('[1]Tasa de Falla'!GM42=0,"",'[1]Tasa de Falla'!GM42)</f>
      </c>
      <c r="K42" s="703">
        <f>IF('[1]Tasa de Falla'!GN42=0,"",'[1]Tasa de Falla'!GN42)</f>
      </c>
      <c r="L42" s="703">
        <f>IF('[1]Tasa de Falla'!GO42=0,"",'[1]Tasa de Falla'!GO42)</f>
      </c>
      <c r="M42" s="703">
        <f>IF('[1]Tasa de Falla'!GP42=0,"",'[1]Tasa de Falla'!GP42)</f>
      </c>
      <c r="N42" s="703">
        <f>IF('[1]Tasa de Falla'!GQ42=0,"",'[1]Tasa de Falla'!GQ42)</f>
      </c>
      <c r="O42" s="703">
        <f>IF('[1]Tasa de Falla'!GR42=0,"",'[1]Tasa de Falla'!GR42)</f>
      </c>
      <c r="P42" s="703">
        <f>IF('[1]Tasa de Falla'!GS42=0,"",'[1]Tasa de Falla'!GS42)</f>
      </c>
      <c r="Q42" s="703">
        <f>IF('[1]Tasa de Falla'!GT42=0,"",'[1]Tasa de Falla'!GT42)</f>
      </c>
      <c r="R42" s="703">
        <f>IF('[1]Tasa de Falla'!GU42=0,"",'[1]Tasa de Falla'!GU42)</f>
      </c>
      <c r="S42" s="704"/>
      <c r="T42" s="3"/>
    </row>
    <row r="43" spans="2:20" ht="15" customHeight="1">
      <c r="B43" s="2"/>
      <c r="C43" s="738">
        <f>IF('[1]Tasa de Falla'!C43=0,"",'[1]Tasa de Falla'!C43)</f>
        <v>38</v>
      </c>
      <c r="D43" s="739" t="str">
        <f>IF('[1]Tasa de Falla'!D43=0,"",'[1]Tasa de Falla'!D43)</f>
        <v>PICO TRUNCADO 1 - SANTA CRUZ NORTE     2</v>
      </c>
      <c r="E43" s="739">
        <f>IF('[1]Tasa de Falla'!E43=0,"",'[1]Tasa de Falla'!E43)</f>
        <v>132</v>
      </c>
      <c r="F43" s="740">
        <f>IF('[1]Tasa de Falla'!F43=0,"",'[1]Tasa de Falla'!F43)</f>
        <v>2.5</v>
      </c>
      <c r="G43" s="703">
        <f>IF('[1]Tasa de Falla'!GJ43=0,"",'[1]Tasa de Falla'!GJ43)</f>
      </c>
      <c r="H43" s="703">
        <f>IF('[1]Tasa de Falla'!GK43=0,"",'[1]Tasa de Falla'!GK43)</f>
      </c>
      <c r="I43" s="703">
        <f>IF('[1]Tasa de Falla'!GL43=0,"",'[1]Tasa de Falla'!GL43)</f>
      </c>
      <c r="J43" s="703">
        <f>IF('[1]Tasa de Falla'!GM43=0,"",'[1]Tasa de Falla'!GM43)</f>
      </c>
      <c r="K43" s="703">
        <f>IF('[1]Tasa de Falla'!GN43=0,"",'[1]Tasa de Falla'!GN43)</f>
      </c>
      <c r="L43" s="703">
        <f>IF('[1]Tasa de Falla'!GO43=0,"",'[1]Tasa de Falla'!GO43)</f>
      </c>
      <c r="M43" s="703">
        <f>IF('[1]Tasa de Falla'!GP43=0,"",'[1]Tasa de Falla'!GP43)</f>
      </c>
      <c r="N43" s="703">
        <f>IF('[1]Tasa de Falla'!GQ43=0,"",'[1]Tasa de Falla'!GQ43)</f>
      </c>
      <c r="O43" s="703">
        <f>IF('[1]Tasa de Falla'!GR43=0,"",'[1]Tasa de Falla'!GR43)</f>
      </c>
      <c r="P43" s="703">
        <f>IF('[1]Tasa de Falla'!GS43=0,"",'[1]Tasa de Falla'!GS43)</f>
      </c>
      <c r="Q43" s="703">
        <f>IF('[1]Tasa de Falla'!GT43=0,"",'[1]Tasa de Falla'!GT43)</f>
      </c>
      <c r="R43" s="703">
        <f>IF('[1]Tasa de Falla'!GU43=0,"",'[1]Tasa de Falla'!GU43)</f>
      </c>
      <c r="S43" s="704"/>
      <c r="T43" s="3"/>
    </row>
    <row r="44" spans="2:20" ht="15" customHeight="1">
      <c r="B44" s="2"/>
      <c r="C44" s="705">
        <f>IF('[1]Tasa de Falla'!C44=0,"",'[1]Tasa de Falla'!C44)</f>
        <v>39</v>
      </c>
      <c r="D44" s="736" t="str">
        <f>IF('[1]Tasa de Falla'!D44=0,"",'[1]Tasa de Falla'!D44)</f>
        <v>LAS HERAS - SANTA CRUZ NORTE</v>
      </c>
      <c r="E44" s="736">
        <f>IF('[1]Tasa de Falla'!E44=0,"",'[1]Tasa de Falla'!E44)</f>
        <v>132</v>
      </c>
      <c r="F44" s="737">
        <f>IF('[1]Tasa de Falla'!F44=0,"",'[1]Tasa de Falla'!F44)</f>
        <v>80</v>
      </c>
      <c r="G44" s="703" t="str">
        <f>IF('[1]Tasa de Falla'!GJ44=0,"",'[1]Tasa de Falla'!GJ44)</f>
        <v>XXXX</v>
      </c>
      <c r="H44" s="703" t="str">
        <f>IF('[1]Tasa de Falla'!GK44=0,"",'[1]Tasa de Falla'!GK44)</f>
        <v>XXXX</v>
      </c>
      <c r="I44" s="703" t="str">
        <f>IF('[1]Tasa de Falla'!GL44=0,"",'[1]Tasa de Falla'!GL44)</f>
        <v>XXXX</v>
      </c>
      <c r="J44" s="703">
        <f>IF('[1]Tasa de Falla'!GM44=0,"",'[1]Tasa de Falla'!GM44)</f>
      </c>
      <c r="K44" s="703">
        <f>IF('[1]Tasa de Falla'!GN44=0,"",'[1]Tasa de Falla'!GN44)</f>
      </c>
      <c r="L44" s="703">
        <f>IF('[1]Tasa de Falla'!GO44=0,"",'[1]Tasa de Falla'!GO44)</f>
      </c>
      <c r="M44" s="703">
        <f>IF('[1]Tasa de Falla'!GP44=0,"",'[1]Tasa de Falla'!GP44)</f>
      </c>
      <c r="N44" s="703">
        <f>IF('[1]Tasa de Falla'!GQ44=0,"",'[1]Tasa de Falla'!GQ44)</f>
      </c>
      <c r="O44" s="703">
        <f>IF('[1]Tasa de Falla'!GR44=0,"",'[1]Tasa de Falla'!GR44)</f>
      </c>
      <c r="P44" s="703">
        <f>IF('[1]Tasa de Falla'!GS44=0,"",'[1]Tasa de Falla'!GS44)</f>
      </c>
      <c r="Q44" s="703">
        <f>IF('[1]Tasa de Falla'!GT44=0,"",'[1]Tasa de Falla'!GT44)</f>
      </c>
      <c r="R44" s="703">
        <f>IF('[1]Tasa de Falla'!GU44=0,"",'[1]Tasa de Falla'!GU44)</f>
      </c>
      <c r="S44" s="704"/>
      <c r="T44" s="3"/>
    </row>
    <row r="45" spans="2:20" ht="15" customHeight="1">
      <c r="B45" s="2"/>
      <c r="C45" s="738">
        <f>IF('[1]Tasa de Falla'!C45=0,"",'[1]Tasa de Falla'!C45)</f>
      </c>
      <c r="D45" s="739">
        <f>IF('[1]Tasa de Falla'!D45=0,"",'[1]Tasa de Falla'!D45)</f>
      </c>
      <c r="E45" s="739">
        <f>IF('[1]Tasa de Falla'!E45=0,"",'[1]Tasa de Falla'!E45)</f>
      </c>
      <c r="F45" s="740">
        <f>IF('[1]Tasa de Falla'!F45=0,"",'[1]Tasa de Falla'!F45)</f>
      </c>
      <c r="G45" s="703">
        <f>IF('[1]Tasa de Falla'!GJ45=0,"",'[1]Tasa de Falla'!GJ45)</f>
      </c>
      <c r="H45" s="703">
        <f>IF('[1]Tasa de Falla'!GK45=0,"",'[1]Tasa de Falla'!GK45)</f>
      </c>
      <c r="I45" s="703">
        <f>IF('[1]Tasa de Falla'!GL45=0,"",'[1]Tasa de Falla'!GL45)</f>
      </c>
      <c r="J45" s="703">
        <f>IF('[1]Tasa de Falla'!GM45=0,"",'[1]Tasa de Falla'!GM45)</f>
      </c>
      <c r="K45" s="703">
        <f>IF('[1]Tasa de Falla'!GN45=0,"",'[1]Tasa de Falla'!GN45)</f>
      </c>
      <c r="L45" s="703">
        <f>IF('[1]Tasa de Falla'!GO45=0,"",'[1]Tasa de Falla'!GO45)</f>
      </c>
      <c r="M45" s="703">
        <f>IF('[1]Tasa de Falla'!GP45=0,"",'[1]Tasa de Falla'!GP45)</f>
      </c>
      <c r="N45" s="703">
        <f>IF('[1]Tasa de Falla'!GQ45=0,"",'[1]Tasa de Falla'!GQ45)</f>
      </c>
      <c r="O45" s="703">
        <f>IF('[1]Tasa de Falla'!GR45=0,"",'[1]Tasa de Falla'!GR45)</f>
      </c>
      <c r="P45" s="703">
        <f>IF('[1]Tasa de Falla'!GS45=0,"",'[1]Tasa de Falla'!GS45)</f>
      </c>
      <c r="Q45" s="703">
        <f>IF('[1]Tasa de Falla'!GT45=0,"",'[1]Tasa de Falla'!GT45)</f>
      </c>
      <c r="R45" s="703">
        <f>IF('[1]Tasa de Falla'!GU45=0,"",'[1]Tasa de Falla'!GU45)</f>
      </c>
      <c r="S45" s="704"/>
      <c r="T45" s="3"/>
    </row>
    <row r="46" spans="2:20" ht="15" customHeight="1">
      <c r="B46" s="2"/>
      <c r="C46" s="705">
        <f>IF('[1]Tasa de Falla'!C46=0,"",'[1]Tasa de Falla'!C46)</f>
        <v>19</v>
      </c>
      <c r="D46" s="736" t="str">
        <f>IF('[1]Tasa de Falla'!D46=0,"",'[1]Tasa de Falla'!D46)</f>
        <v>PUNTA COLORADA - SIERRA GRANDE</v>
      </c>
      <c r="E46" s="736">
        <f>IF('[1]Tasa de Falla'!E46=0,"",'[1]Tasa de Falla'!E46)</f>
        <v>132</v>
      </c>
      <c r="F46" s="737">
        <f>IF('[1]Tasa de Falla'!F46=0,"",'[1]Tasa de Falla'!F46)</f>
        <v>31</v>
      </c>
      <c r="G46" s="703">
        <f>IF('[1]Tasa de Falla'!GJ46=0,"",'[1]Tasa de Falla'!GJ46)</f>
      </c>
      <c r="H46" s="703">
        <f>IF('[1]Tasa de Falla'!GK46=0,"",'[1]Tasa de Falla'!GK46)</f>
      </c>
      <c r="I46" s="703">
        <f>IF('[1]Tasa de Falla'!GL46=0,"",'[1]Tasa de Falla'!GL46)</f>
      </c>
      <c r="J46" s="703">
        <f>IF('[1]Tasa de Falla'!GM46=0,"",'[1]Tasa de Falla'!GM46)</f>
      </c>
      <c r="K46" s="703">
        <f>IF('[1]Tasa de Falla'!GN46=0,"",'[1]Tasa de Falla'!GN46)</f>
      </c>
      <c r="L46" s="703">
        <f>IF('[1]Tasa de Falla'!GO46=0,"",'[1]Tasa de Falla'!GO46)</f>
      </c>
      <c r="M46" s="703">
        <f>IF('[1]Tasa de Falla'!GP46=0,"",'[1]Tasa de Falla'!GP46)</f>
      </c>
      <c r="N46" s="703">
        <f>IF('[1]Tasa de Falla'!GQ46=0,"",'[1]Tasa de Falla'!GQ46)</f>
      </c>
      <c r="O46" s="703">
        <f>IF('[1]Tasa de Falla'!GR46=0,"",'[1]Tasa de Falla'!GR46)</f>
      </c>
      <c r="P46" s="703">
        <f>IF('[1]Tasa de Falla'!GS46=0,"",'[1]Tasa de Falla'!GS46)</f>
      </c>
      <c r="Q46" s="703">
        <f>IF('[1]Tasa de Falla'!GT46=0,"",'[1]Tasa de Falla'!GT46)</f>
      </c>
      <c r="R46" s="703">
        <f>IF('[1]Tasa de Falla'!GU46=0,"",'[1]Tasa de Falla'!GU46)</f>
      </c>
      <c r="S46" s="704"/>
      <c r="T46" s="3"/>
    </row>
    <row r="47" spans="2:20" ht="15" customHeight="1">
      <c r="B47" s="2"/>
      <c r="C47" s="738">
        <f>IF('[1]Tasa de Falla'!C47=0,"",'[1]Tasa de Falla'!C47)</f>
        <v>20</v>
      </c>
      <c r="D47" s="739" t="str">
        <f>IF('[1]Tasa de Falla'!D47=0,"",'[1]Tasa de Falla'!D47)</f>
        <v>CARMEN DE PATAGONES - VIEDMA</v>
      </c>
      <c r="E47" s="739">
        <f>IF('[1]Tasa de Falla'!E47=0,"",'[1]Tasa de Falla'!E47)</f>
        <v>132</v>
      </c>
      <c r="F47" s="740">
        <f>IF('[1]Tasa de Falla'!F47=0,"",'[1]Tasa de Falla'!F47)</f>
        <v>7</v>
      </c>
      <c r="G47" s="703" t="str">
        <f>IF('[1]Tasa de Falla'!GJ47=0,"",'[1]Tasa de Falla'!GJ47)</f>
        <v>XXXX</v>
      </c>
      <c r="H47" s="703" t="str">
        <f>IF('[1]Tasa de Falla'!GK47=0,"",'[1]Tasa de Falla'!GK47)</f>
        <v>XXXX</v>
      </c>
      <c r="I47" s="703" t="str">
        <f>IF('[1]Tasa de Falla'!GL47=0,"",'[1]Tasa de Falla'!GL47)</f>
        <v>XXXX</v>
      </c>
      <c r="J47" s="703" t="str">
        <f>IF('[1]Tasa de Falla'!GM47=0,"",'[1]Tasa de Falla'!GM47)</f>
        <v>XXXX</v>
      </c>
      <c r="K47" s="703" t="str">
        <f>IF('[1]Tasa de Falla'!GN47=0,"",'[1]Tasa de Falla'!GN47)</f>
        <v>XXXX</v>
      </c>
      <c r="L47" s="703" t="str">
        <f>IF('[1]Tasa de Falla'!GO47=0,"",'[1]Tasa de Falla'!GO47)</f>
        <v>XXXX</v>
      </c>
      <c r="M47" s="703" t="str">
        <f>IF('[1]Tasa de Falla'!GP47=0,"",'[1]Tasa de Falla'!GP47)</f>
        <v>XXXX</v>
      </c>
      <c r="N47" s="703" t="str">
        <f>IF('[1]Tasa de Falla'!GQ47=0,"",'[1]Tasa de Falla'!GQ47)</f>
        <v>XXXX</v>
      </c>
      <c r="O47" s="703" t="str">
        <f>IF('[1]Tasa de Falla'!GR47=0,"",'[1]Tasa de Falla'!GR47)</f>
        <v>XXXX</v>
      </c>
      <c r="P47" s="703" t="str">
        <f>IF('[1]Tasa de Falla'!GS47=0,"",'[1]Tasa de Falla'!GS47)</f>
        <v>XXXX</v>
      </c>
      <c r="Q47" s="703" t="str">
        <f>IF('[1]Tasa de Falla'!GT47=0,"",'[1]Tasa de Falla'!GT47)</f>
        <v>XXXX</v>
      </c>
      <c r="R47" s="703" t="str">
        <f>IF('[1]Tasa de Falla'!GU47=0,"",'[1]Tasa de Falla'!GU47)</f>
        <v>XXXX</v>
      </c>
      <c r="S47" s="704"/>
      <c r="T47" s="3"/>
    </row>
    <row r="48" spans="2:20" ht="15" customHeight="1">
      <c r="B48" s="2"/>
      <c r="C48" s="705">
        <f>IF('[1]Tasa de Falla'!C48=0,"",'[1]Tasa de Falla'!C48)</f>
      </c>
      <c r="D48" s="736" t="str">
        <f>IF('[1]Tasa de Falla'!D48=0,"",'[1]Tasa de Falla'!D48)</f>
        <v>CARMEN DE PATAGONES - VIEDMA</v>
      </c>
      <c r="E48" s="736">
        <f>IF('[1]Tasa de Falla'!E48=0,"",'[1]Tasa de Falla'!E48)</f>
        <v>132</v>
      </c>
      <c r="F48" s="737">
        <f>IF('[1]Tasa de Falla'!F48=0,"",'[1]Tasa de Falla'!F48)</f>
        <v>4.4</v>
      </c>
      <c r="G48" s="703">
        <f>IF('[1]Tasa de Falla'!GJ48=0,"",'[1]Tasa de Falla'!GJ48)</f>
        <v>1</v>
      </c>
      <c r="H48" s="703">
        <f>IF('[1]Tasa de Falla'!GK48=0,"",'[1]Tasa de Falla'!GK48)</f>
      </c>
      <c r="I48" s="703">
        <f>IF('[1]Tasa de Falla'!GL48=0,"",'[1]Tasa de Falla'!GL48)</f>
      </c>
      <c r="J48" s="703">
        <f>IF('[1]Tasa de Falla'!GM48=0,"",'[1]Tasa de Falla'!GM48)</f>
      </c>
      <c r="K48" s="703">
        <f>IF('[1]Tasa de Falla'!GN48=0,"",'[1]Tasa de Falla'!GN48)</f>
      </c>
      <c r="L48" s="703">
        <f>IF('[1]Tasa de Falla'!GO48=0,"",'[1]Tasa de Falla'!GO48)</f>
      </c>
      <c r="M48" s="703">
        <f>IF('[1]Tasa de Falla'!GP48=0,"",'[1]Tasa de Falla'!GP48)</f>
      </c>
      <c r="N48" s="703">
        <f>IF('[1]Tasa de Falla'!GQ48=0,"",'[1]Tasa de Falla'!GQ48)</f>
      </c>
      <c r="O48" s="703">
        <f>IF('[1]Tasa de Falla'!GR48=0,"",'[1]Tasa de Falla'!GR48)</f>
      </c>
      <c r="P48" s="703">
        <f>IF('[1]Tasa de Falla'!GS48=0,"",'[1]Tasa de Falla'!GS48)</f>
        <v>2</v>
      </c>
      <c r="Q48" s="703">
        <f>IF('[1]Tasa de Falla'!GT48=0,"",'[1]Tasa de Falla'!GT48)</f>
      </c>
      <c r="R48" s="703">
        <f>IF('[1]Tasa de Falla'!GU48=0,"",'[1]Tasa de Falla'!GU48)</f>
        <v>1</v>
      </c>
      <c r="S48" s="704"/>
      <c r="T48" s="3"/>
    </row>
    <row r="49" spans="2:20" ht="15" customHeight="1">
      <c r="B49" s="2"/>
      <c r="C49" s="738">
        <f>IF('[1]Tasa de Falla'!C49=0,"",'[1]Tasa de Falla'!C49)</f>
        <v>21</v>
      </c>
      <c r="D49" s="739" t="str">
        <f>IF('[1]Tasa de Falla'!D49=0,"",'[1]Tasa de Falla'!D49)</f>
        <v>SAN ANTONIO OESTE - SIERRA GRANDE</v>
      </c>
      <c r="E49" s="739">
        <f>IF('[1]Tasa de Falla'!E49=0,"",'[1]Tasa de Falla'!E49)</f>
        <v>132</v>
      </c>
      <c r="F49" s="740">
        <f>IF('[1]Tasa de Falla'!F49=0,"",'[1]Tasa de Falla'!F49)</f>
        <v>110.3</v>
      </c>
      <c r="G49" s="703">
        <f>IF('[1]Tasa de Falla'!GJ49=0,"",'[1]Tasa de Falla'!GJ49)</f>
      </c>
      <c r="H49" s="703">
        <f>IF('[1]Tasa de Falla'!GK49=0,"",'[1]Tasa de Falla'!GK49)</f>
      </c>
      <c r="I49" s="703">
        <f>IF('[1]Tasa de Falla'!GL49=0,"",'[1]Tasa de Falla'!GL49)</f>
      </c>
      <c r="J49" s="703">
        <f>IF('[1]Tasa de Falla'!GM49=0,"",'[1]Tasa de Falla'!GM49)</f>
      </c>
      <c r="K49" s="703">
        <f>IF('[1]Tasa de Falla'!GN49=0,"",'[1]Tasa de Falla'!GN49)</f>
      </c>
      <c r="L49" s="703">
        <f>IF('[1]Tasa de Falla'!GO49=0,"",'[1]Tasa de Falla'!GO49)</f>
        <v>1</v>
      </c>
      <c r="M49" s="703">
        <f>IF('[1]Tasa de Falla'!GP49=0,"",'[1]Tasa de Falla'!GP49)</f>
      </c>
      <c r="N49" s="703">
        <f>IF('[1]Tasa de Falla'!GQ49=0,"",'[1]Tasa de Falla'!GQ49)</f>
      </c>
      <c r="O49" s="703">
        <f>IF('[1]Tasa de Falla'!GR49=0,"",'[1]Tasa de Falla'!GR49)</f>
      </c>
      <c r="P49" s="703">
        <f>IF('[1]Tasa de Falla'!GS49=0,"",'[1]Tasa de Falla'!GS49)</f>
        <v>1</v>
      </c>
      <c r="Q49" s="703">
        <f>IF('[1]Tasa de Falla'!GT49=0,"",'[1]Tasa de Falla'!GT49)</f>
      </c>
      <c r="R49" s="703">
        <f>IF('[1]Tasa de Falla'!GU49=0,"",'[1]Tasa de Falla'!GU49)</f>
      </c>
      <c r="S49" s="704"/>
      <c r="T49" s="3"/>
    </row>
    <row r="50" spans="2:20" ht="15" customHeight="1">
      <c r="B50" s="2"/>
      <c r="C50" s="705">
        <f>IF('[1]Tasa de Falla'!C50=0,"",'[1]Tasa de Falla'!C50)</f>
        <v>22</v>
      </c>
      <c r="D50" s="736" t="str">
        <f>IF('[1]Tasa de Falla'!D50=0,"",'[1]Tasa de Falla'!D50)</f>
        <v>SAN ANTONIO OESTE -VIEDMA-SAN ANTONIO ESTE</v>
      </c>
      <c r="E50" s="736">
        <f>IF('[1]Tasa de Falla'!E50=0,"",'[1]Tasa de Falla'!E50)</f>
        <v>132</v>
      </c>
      <c r="F50" s="737">
        <f>IF('[1]Tasa de Falla'!F50=0,"",'[1]Tasa de Falla'!F50)</f>
        <v>185.6</v>
      </c>
      <c r="G50" s="703">
        <f>IF('[1]Tasa de Falla'!GJ50=0,"",'[1]Tasa de Falla'!GJ50)</f>
      </c>
      <c r="H50" s="703">
        <f>IF('[1]Tasa de Falla'!GK50=0,"",'[1]Tasa de Falla'!GK50)</f>
      </c>
      <c r="I50" s="703">
        <f>IF('[1]Tasa de Falla'!GL50=0,"",'[1]Tasa de Falla'!GL50)</f>
      </c>
      <c r="J50" s="703">
        <f>IF('[1]Tasa de Falla'!GM50=0,"",'[1]Tasa de Falla'!GM50)</f>
      </c>
      <c r="K50" s="703">
        <f>IF('[1]Tasa de Falla'!GN50=0,"",'[1]Tasa de Falla'!GN50)</f>
      </c>
      <c r="L50" s="703">
        <f>IF('[1]Tasa de Falla'!GO50=0,"",'[1]Tasa de Falla'!GO50)</f>
        <v>3</v>
      </c>
      <c r="M50" s="703">
        <f>IF('[1]Tasa de Falla'!GP50=0,"",'[1]Tasa de Falla'!GP50)</f>
      </c>
      <c r="N50" s="703">
        <f>IF('[1]Tasa de Falla'!GQ50=0,"",'[1]Tasa de Falla'!GQ50)</f>
      </c>
      <c r="O50" s="703">
        <f>IF('[1]Tasa de Falla'!GR50=0,"",'[1]Tasa de Falla'!GR50)</f>
      </c>
      <c r="P50" s="703">
        <f>IF('[1]Tasa de Falla'!GS50=0,"",'[1]Tasa de Falla'!GS50)</f>
        <v>5</v>
      </c>
      <c r="Q50" s="703">
        <f>IF('[1]Tasa de Falla'!GT50=0,"",'[1]Tasa de Falla'!GT50)</f>
      </c>
      <c r="R50" s="703">
        <f>IF('[1]Tasa de Falla'!GU50=0,"",'[1]Tasa de Falla'!GU50)</f>
      </c>
      <c r="S50" s="704"/>
      <c r="T50" s="3"/>
    </row>
    <row r="51" spans="2:20" ht="15" customHeight="1" thickBot="1">
      <c r="B51" s="2"/>
      <c r="C51" s="706"/>
      <c r="D51" s="707"/>
      <c r="E51" s="708"/>
      <c r="F51" s="709"/>
      <c r="G51" s="703" t="str">
        <f>IF('[1]Tasa de Falla'!GJ51=0,"",'[1]Tasa de Falla'!GJ51)</f>
        <v>XXXX</v>
      </c>
      <c r="H51" s="703" t="str">
        <f>IF('[1]Tasa de Falla'!GK51=0,"",'[1]Tasa de Falla'!GK51)</f>
        <v>XXXX</v>
      </c>
      <c r="I51" s="703" t="str">
        <f>IF('[1]Tasa de Falla'!GL51=0,"",'[1]Tasa de Falla'!GL51)</f>
        <v>XXXX</v>
      </c>
      <c r="J51" s="703" t="str">
        <f>IF('[1]Tasa de Falla'!GM51=0,"",'[1]Tasa de Falla'!GM51)</f>
        <v>XXXX</v>
      </c>
      <c r="K51" s="703" t="str">
        <f>IF('[1]Tasa de Falla'!GN51=0,"",'[1]Tasa de Falla'!GN51)</f>
        <v>XXXX</v>
      </c>
      <c r="L51" s="703" t="str">
        <f>IF('[1]Tasa de Falla'!GO51=0,"",'[1]Tasa de Falla'!GO51)</f>
        <v>XXXX</v>
      </c>
      <c r="M51" s="703" t="str">
        <f>IF('[1]Tasa de Falla'!GP51=0,"",'[1]Tasa de Falla'!GP51)</f>
        <v>XXXX</v>
      </c>
      <c r="N51" s="703" t="str">
        <f>IF('[1]Tasa de Falla'!GQ51=0,"",'[1]Tasa de Falla'!GQ51)</f>
        <v>XXXX</v>
      </c>
      <c r="O51" s="703" t="str">
        <f>IF('[1]Tasa de Falla'!GR51=0,"",'[1]Tasa de Falla'!GR51)</f>
        <v>XXXX</v>
      </c>
      <c r="P51" s="703" t="str">
        <f>IF('[1]Tasa de Falla'!GS51=0,"",'[1]Tasa de Falla'!GS51)</f>
        <v>XXXX</v>
      </c>
      <c r="Q51" s="703" t="str">
        <f>IF('[1]Tasa de Falla'!GT51=0,"",'[1]Tasa de Falla'!GT51)</f>
        <v>XXXX</v>
      </c>
      <c r="R51" s="703" t="str">
        <f>IF('[1]Tasa de Falla'!GU51=0,"",'[1]Tasa de Falla'!GU51)</f>
        <v>XXXX</v>
      </c>
      <c r="S51" s="704"/>
      <c r="T51" s="3"/>
    </row>
    <row r="52" spans="2:20" ht="15" customHeight="1" thickBot="1" thickTop="1">
      <c r="B52" s="2"/>
      <c r="C52" s="61"/>
      <c r="D52" s="163"/>
      <c r="E52" s="710" t="s">
        <v>157</v>
      </c>
      <c r="F52" s="711">
        <f>SUM(F18:F51)-F34</f>
        <v>2631.2600000000007</v>
      </c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04"/>
      <c r="T52" s="3"/>
    </row>
    <row r="53" spans="2:20" ht="15" customHeight="1" thickBot="1" thickTop="1">
      <c r="B53" s="2"/>
      <c r="C53" s="25"/>
      <c r="D53" s="28"/>
      <c r="E53" s="713"/>
      <c r="F53" s="714" t="s">
        <v>158</v>
      </c>
      <c r="G53" s="715">
        <f aca="true" t="shared" si="0" ref="G53:R53">SUM(G17:G51)</f>
        <v>1</v>
      </c>
      <c r="H53" s="715">
        <f t="shared" si="0"/>
        <v>1</v>
      </c>
      <c r="I53" s="715">
        <f t="shared" si="0"/>
        <v>1</v>
      </c>
      <c r="J53" s="715">
        <f t="shared" si="0"/>
        <v>4</v>
      </c>
      <c r="K53" s="715">
        <f t="shared" si="0"/>
        <v>4</v>
      </c>
      <c r="L53" s="715">
        <f t="shared" si="0"/>
        <v>6</v>
      </c>
      <c r="M53" s="715">
        <f t="shared" si="0"/>
        <v>2</v>
      </c>
      <c r="N53" s="715">
        <f t="shared" si="0"/>
        <v>1</v>
      </c>
      <c r="O53" s="715">
        <f t="shared" si="0"/>
        <v>3</v>
      </c>
      <c r="P53" s="715">
        <f t="shared" si="0"/>
        <v>8</v>
      </c>
      <c r="Q53" s="715">
        <f t="shared" si="0"/>
        <v>2</v>
      </c>
      <c r="R53" s="715">
        <f t="shared" si="0"/>
        <v>1</v>
      </c>
      <c r="S53" s="716"/>
      <c r="T53" s="3"/>
    </row>
    <row r="54" spans="2:20" ht="17.25" thickBot="1" thickTop="1">
      <c r="B54" s="2"/>
      <c r="C54" s="713"/>
      <c r="D54" s="713"/>
      <c r="E54" s="25"/>
      <c r="F54" s="717" t="s">
        <v>159</v>
      </c>
      <c r="G54" s="718">
        <f>'[1]Tasa de Falla'!GJ72</f>
        <v>1.18</v>
      </c>
      <c r="H54" s="718">
        <f>'[1]Tasa de Falla'!GK72</f>
        <v>1.22</v>
      </c>
      <c r="I54" s="718">
        <f>'[1]Tasa de Falla'!GL72</f>
        <v>1.11</v>
      </c>
      <c r="J54" s="718">
        <f>'[1]Tasa de Falla'!GM72</f>
        <v>0.87</v>
      </c>
      <c r="K54" s="718">
        <f>'[1]Tasa de Falla'!GN72</f>
        <v>0.93</v>
      </c>
      <c r="L54" s="718">
        <f>'[1]Tasa de Falla'!GO72</f>
        <v>1.03</v>
      </c>
      <c r="M54" s="718">
        <f>'[1]Tasa de Falla'!GP72</f>
        <v>1.24</v>
      </c>
      <c r="N54" s="718">
        <f>'[1]Tasa de Falla'!GQ72</f>
        <v>1.27</v>
      </c>
      <c r="O54" s="718">
        <f>'[1]Tasa de Falla'!GR72</f>
        <v>1.2</v>
      </c>
      <c r="P54" s="718">
        <f>'[1]Tasa de Falla'!GS72</f>
        <v>1.2</v>
      </c>
      <c r="Q54" s="718">
        <f>'[1]Tasa de Falla'!GT72</f>
        <v>1.44</v>
      </c>
      <c r="R54" s="718">
        <f>'[1]Tasa de Falla'!GU72</f>
        <v>1.37</v>
      </c>
      <c r="S54" s="718">
        <f>'[1]Tasa de Falla'!GV72</f>
        <v>1.27</v>
      </c>
      <c r="T54" s="3"/>
    </row>
    <row r="55" spans="2:20" ht="18.75" customHeight="1" thickBot="1" thickTop="1">
      <c r="B55" s="2"/>
      <c r="C55" s="719" t="s">
        <v>160</v>
      </c>
      <c r="D55" s="25" t="s">
        <v>161</v>
      </c>
      <c r="E55" s="720"/>
      <c r="F55" s="721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52"/>
    </row>
    <row r="56" spans="2:20" ht="17.25" thickBot="1" thickTop="1">
      <c r="B56" s="723"/>
      <c r="C56" s="724"/>
      <c r="D56" s="725" t="s">
        <v>162</v>
      </c>
      <c r="H56" s="726" t="s">
        <v>163</v>
      </c>
      <c r="I56" s="727"/>
      <c r="J56" s="728">
        <f>S54</f>
        <v>1.27</v>
      </c>
      <c r="K56" s="729" t="s">
        <v>164</v>
      </c>
      <c r="L56" s="729"/>
      <c r="M56" s="730"/>
      <c r="N56" s="725"/>
      <c r="O56" s="725"/>
      <c r="P56" s="725"/>
      <c r="Q56" s="725"/>
      <c r="R56" s="725"/>
      <c r="S56" s="725"/>
      <c r="T56" s="3"/>
    </row>
    <row r="57" spans="2:20" ht="18.75" customHeight="1" thickBot="1">
      <c r="B57" s="731"/>
      <c r="C57" s="732"/>
      <c r="D57" s="40"/>
      <c r="E57" s="40"/>
      <c r="F57" s="733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5"/>
    </row>
    <row r="58" ht="13.5" thickTop="1"/>
  </sheetData>
  <printOptions horizontalCentered="1" verticalCentered="1"/>
  <pageMargins left="0.26" right="0.1968503937007874" top="0.7874015748031497" bottom="0.52" header="0.5118110236220472" footer="0.2"/>
  <pageSetup fitToHeight="1" fitToWidth="1" horizontalDpi="300" verticalDpi="300" orientation="landscape" paperSize="9" scale="5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2012-04-26T15:27:02Z</cp:lastPrinted>
  <dcterms:created xsi:type="dcterms:W3CDTF">2000-10-04T20:14:32Z</dcterms:created>
  <dcterms:modified xsi:type="dcterms:W3CDTF">2012-08-02T17:48:22Z</dcterms:modified>
  <cp:category/>
  <cp:version/>
  <cp:contentType/>
  <cp:contentStatus/>
</cp:coreProperties>
</file>