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653" activeTab="0"/>
  </bookViews>
  <sheets>
    <sheet name="tot-0102" sheetId="1" r:id="rId1"/>
    <sheet name="LI-0102" sheetId="2" r:id="rId2"/>
    <sheet name="LI-0102 (2)" sheetId="3" r:id="rId3"/>
    <sheet name="condiciones climaticas 313" sheetId="4" r:id="rId4"/>
    <sheet name="TR-0102" sheetId="5" r:id="rId5"/>
    <sheet name="TR-0102 (2)" sheetId="6" r:id="rId6"/>
    <sheet name="SA-0102" sheetId="7" r:id="rId7"/>
    <sheet name="TRANSNOA" sheetId="8" r:id="rId8"/>
  </sheets>
  <externalReferences>
    <externalReference r:id="rId11"/>
  </externalReferences>
  <definedNames>
    <definedName name="_xlnm.Print_Area" localSheetId="3">'condiciones climaticas 313'!$A$1:$AL$34</definedName>
    <definedName name="_xlnm.Print_Area" localSheetId="1">'LI-0102'!$A$1:$Z$42</definedName>
    <definedName name="_xlnm.Print_Area" localSheetId="2">'LI-0102 (2)'!$A$1:$Z$44</definedName>
    <definedName name="_xlnm.Print_Area" localSheetId="6">'SA-0102'!$A$1:$U$46</definedName>
    <definedName name="_xlnm.Print_Area" localSheetId="0">'tot-0102'!$A$1:$L$31</definedName>
    <definedName name="_xlnm.Print_Area" localSheetId="7">'TRANSNOA'!$A$1:$T$92</definedName>
    <definedName name="INICIO" localSheetId="3">'condiciones climaticas 313'!INICIO</definedName>
    <definedName name="INICIO" localSheetId="7">'TRANSNOA'!INICIO</definedName>
    <definedName name="INICIO">[0]!INICIO</definedName>
  </definedNames>
  <calcPr fullCalcOnLoad="1"/>
</workbook>
</file>

<file path=xl/comments4.xml><?xml version="1.0" encoding="utf-8"?>
<comments xmlns="http://schemas.openxmlformats.org/spreadsheetml/2006/main">
  <authors>
    <author>GMir</author>
    <author>gmir</author>
  </authors>
  <commentList>
    <comment ref="AD18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  <comment ref="L16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ESTE FACTOR SE DEBE DUPLICAR SI TASA DE FALLA &gt;4
</t>
        </r>
      </text>
    </comment>
  </commentList>
</comments>
</file>

<file path=xl/sharedStrings.xml><?xml version="1.0" encoding="utf-8"?>
<sst xmlns="http://schemas.openxmlformats.org/spreadsheetml/2006/main" count="515" uniqueCount="179">
  <si>
    <t>SISTEMA DE TRANSPORTE DE ENERGÍA ELÉCTRICA POR DISTRIBUCIÓN TRONCAL</t>
  </si>
  <si>
    <t>TRANSNOA S.A.</t>
  </si>
  <si>
    <t>LÍNEAS</t>
  </si>
  <si>
    <t>AGUA BLANCA - INDEPENDENCIA</t>
  </si>
  <si>
    <t>AGUILARES - VILLA QUINTEROS</t>
  </si>
  <si>
    <t>C.H. RIO HONDO - VILLA QUINTEROS</t>
  </si>
  <si>
    <t>CAMPO SANTO - GÜEMES</t>
  </si>
  <si>
    <t>CATAMARCA - HUACRA</t>
  </si>
  <si>
    <t>CEVIL POZO - TUCUMAN NORTE</t>
  </si>
  <si>
    <t>GÜEMES - METAN</t>
  </si>
  <si>
    <t>GÜEMES - SAN JUANCITO 1</t>
  </si>
  <si>
    <t>LA RIOJA - RECREO</t>
  </si>
  <si>
    <t>ORAN - PICHANAL</t>
  </si>
  <si>
    <t>SAN JUANCITO - SAN PEDRO JUJUY</t>
  </si>
  <si>
    <t>TUCUMAN NORTE - EL BRACHO</t>
  </si>
  <si>
    <t>SALTA SUR - SALTA NORTE</t>
  </si>
  <si>
    <t>LOS PIZARROS - ESCABA</t>
  </si>
  <si>
    <t>TRAFO 1</t>
  </si>
  <si>
    <t>132/33/13,2</t>
  </si>
  <si>
    <t>TRAFO 2</t>
  </si>
  <si>
    <t xml:space="preserve">AGUILARES </t>
  </si>
  <si>
    <t xml:space="preserve">CATAMARCA </t>
  </si>
  <si>
    <t>TRAFO 3</t>
  </si>
  <si>
    <t>TRAFO</t>
  </si>
  <si>
    <t xml:space="preserve">ESTATICA SUR </t>
  </si>
  <si>
    <t>132/13,2</t>
  </si>
  <si>
    <t xml:space="preserve">HUACRA </t>
  </si>
  <si>
    <t>33/13,2</t>
  </si>
  <si>
    <t>INDEPENDENCIA</t>
  </si>
  <si>
    <t xml:space="preserve">LA BANDA </t>
  </si>
  <si>
    <t>LA RIOJA</t>
  </si>
  <si>
    <t xml:space="preserve">ORAN </t>
  </si>
  <si>
    <t xml:space="preserve">PALPALA </t>
  </si>
  <si>
    <t xml:space="preserve">SAN PEDRO </t>
  </si>
  <si>
    <t xml:space="preserve">SANTIAGO CENTRO </t>
  </si>
  <si>
    <t xml:space="preserve">VILLA QUINTEROS 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</si>
  <si>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</si>
  <si>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</si>
  <si>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</si>
  <si>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</si>
  <si>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</si>
  <si>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</si>
  <si>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</si>
  <si>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</si>
  <si>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</si>
  <si>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</si>
  <si>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</si>
  <si>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</si>
  <si>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</si>
  <si>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</si>
  <si>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</si>
  <si>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</si>
  <si>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</si>
  <si>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</si>
  <si>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</si>
  <si>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</si>
  <si>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</si>
  <si>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</si>
  <si>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</si>
  <si>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</si>
  <si>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</si>
  <si>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</si>
  <si>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</si>
  <si>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</si>
  <si>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</si>
  <si>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</si>
  <si>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</si>
  <si>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</si>
  <si>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</si>
  <si>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</si>
  <si>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</si>
  <si>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</si>
  <si>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</si>
  <si>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</si>
  <si>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</si>
  <si>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</si>
  <si>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</si>
  <si>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</si>
  <si>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</si>
  <si>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</si>
  <si>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</si>
  <si>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</si>
  <si>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</si>
  <si>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</si>
  <si>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</si>
  <si>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</si>
  <si>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</si>
  <si>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</si>
  <si>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</si>
  <si>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</si>
  <si>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</si>
  <si>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</si>
  <si>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</si>
  <si>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</si>
  <si>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</si>
  <si>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</si>
  <si>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</si>
  <si>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</si>
  <si>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</si>
  <si>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</si>
  <si>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CAMPO SANTO - SALTA SUR</t>
  </si>
  <si>
    <t>CABRA CORRAL - TRANCAS</t>
  </si>
  <si>
    <t>TUCUMAN NORTE - TRANCAS</t>
  </si>
  <si>
    <t>VILLA QUINTEROS - ANDALGALA</t>
  </si>
  <si>
    <t>ANDALGALA - BELEN</t>
  </si>
  <si>
    <t>ANDALGALA</t>
  </si>
  <si>
    <t>BELEN</t>
  </si>
  <si>
    <t>TRANCAS</t>
  </si>
  <si>
    <t>SALIDA VILLA VIL. CHAQUIAGO</t>
  </si>
  <si>
    <t>SALIDA ANDALGALA CENTRO</t>
  </si>
  <si>
    <t>MALLIHUACO</t>
  </si>
  <si>
    <t>ALIMENTADOR A LINEA 1</t>
  </si>
  <si>
    <t>ALIMENTADOR A LINEA 2</t>
  </si>
  <si>
    <t>ALIMENTADOR A LONDRES</t>
  </si>
  <si>
    <t>GÜEMES - BURRUYACU</t>
  </si>
  <si>
    <t>BURRUYACU</t>
  </si>
  <si>
    <t>ALIMENTADOR A LA PUNTILLA 3</t>
  </si>
  <si>
    <t>ALIMENTADOR NORTE 1</t>
  </si>
  <si>
    <t>TINOGASTA</t>
  </si>
  <si>
    <t xml:space="preserve"> SALIDA FIAMBALA</t>
  </si>
  <si>
    <t xml:space="preserve"> SALIDA TINOGASTA SUR</t>
  </si>
  <si>
    <t xml:space="preserve"> SALIDA TINOGASTA NORTE</t>
  </si>
  <si>
    <t xml:space="preserve"> SALIDA S. ROSA ANILLACO</t>
  </si>
  <si>
    <t>BELEN-TINOGASTA</t>
  </si>
  <si>
    <t>Transporte de la hoja 1/2</t>
  </si>
  <si>
    <t>P</t>
  </si>
  <si>
    <t>F</t>
  </si>
  <si>
    <t>SI</t>
  </si>
  <si>
    <t>NO</t>
  </si>
  <si>
    <t>SARMIENTO NOA</t>
  </si>
  <si>
    <t>Desde el 01 al 28 de febrero de 2001</t>
  </si>
  <si>
    <t>R</t>
  </si>
  <si>
    <t>RP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</si>
  <si>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</si>
  <si>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</si>
  <si>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</si>
  <si>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</si>
  <si>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</si>
  <si>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</si>
  <si>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</si>
  <si>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</si>
  <si>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</si>
  <si>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</si>
  <si>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TOTAL DE PENALIZACIONES A APLICAR</t>
  </si>
  <si>
    <t>Correspondiente al mes de FEBRERO de 2001</t>
  </si>
  <si>
    <t>SISTEMA DE TRANSPORTE DE ENERGÍA ELÉCTRICA EN ALTA TENSIÓN - TRANSNOA S.A.</t>
  </si>
  <si>
    <t>1.2 - Indisponibilidades de LAT causadas por condiciones climáticas extremas.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</si>
  <si>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</si>
  <si>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</si>
  <si>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</si>
  <si>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</si>
  <si>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</si>
  <si>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</si>
  <si>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Rest.
%</t>
  </si>
  <si>
    <t>R.D.</t>
  </si>
  <si>
    <t>PENALIZACIÓN FORZADA
Por Salida      1ras 3 hs.        hs. Restantes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</si>
  <si>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</si>
  <si>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</si>
  <si>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</si>
  <si>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</si>
  <si>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</si>
  <si>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</si>
  <si>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</si>
  <si>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</si>
  <si>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</si>
  <si>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</si>
  <si>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</si>
  <si>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PENALIZACIÓN FORZADA
Por Salida    1ras 5 hs.   hs. Restantes</t>
  </si>
  <si>
    <t>TOTAL REGIMEN NORMAL 
(en Ti)</t>
  </si>
  <si>
    <t>EVENTO  1</t>
  </si>
  <si>
    <t>EVENTO  2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</si>
  <si>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</si>
  <si>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</si>
  <si>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</si>
  <si>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</si>
  <si>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</si>
  <si>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</si>
  <si>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Condiciones climaticas extremas</t>
  </si>
  <si>
    <t>ANEXO I a la Resolución ENRE N° 155 /2002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</si>
</sst>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_)"/>
    <numFmt numFmtId="173" formatCode="0.000"/>
    <numFmt numFmtId="174" formatCode="#&quot;.&quot;#&quot;.-&quot;"/>
    <numFmt numFmtId="175" formatCode="#,##0;[Red]#,##0"/>
    <numFmt numFmtId="176" formatCode="#,##0.000000"/>
    <numFmt numFmtId="177" formatCode="#&quot;.&quot;#&quot;.&quot;#&quot;.-&quot;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MS Sans Serif"/>
      <family val="2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2"/>
      <color indexed="10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171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 quotePrefix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65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11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 quotePrefix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171" fontId="9" fillId="0" borderId="9" xfId="0" applyNumberFormat="1" applyFont="1" applyFill="1" applyBorder="1" applyAlignment="1" applyProtection="1">
      <alignment horizontal="center"/>
      <protection/>
    </xf>
    <xf numFmtId="170" fontId="7" fillId="0" borderId="10" xfId="0" applyNumberFormat="1" applyFont="1" applyFill="1" applyBorder="1" applyAlignment="1" applyProtection="1">
      <alignment horizontal="center"/>
      <protection/>
    </xf>
    <xf numFmtId="168" fontId="7" fillId="0" borderId="10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6" fillId="0" borderId="0" xfId="0" applyFont="1" applyFill="1" applyBorder="1" applyAlignment="1" applyProtection="1">
      <alignment horizontal="centerContinuous"/>
      <protection/>
    </xf>
    <xf numFmtId="0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26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2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/>
    </xf>
    <xf numFmtId="7" fontId="27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 horizontal="center"/>
    </xf>
    <xf numFmtId="7" fontId="27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7" fontId="24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6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Continuous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7" fontId="14" fillId="0" borderId="24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 quotePrefix="1">
      <alignment horizontal="centerContinuous"/>
    </xf>
    <xf numFmtId="0" fontId="25" fillId="0" borderId="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0" fontId="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quotePrefix="1">
      <alignment horizontal="centerContinuous"/>
    </xf>
    <xf numFmtId="0" fontId="0" fillId="0" borderId="17" xfId="0" applyFont="1" applyBorder="1" applyAlignment="1" applyProtection="1">
      <alignment horizontal="left"/>
      <protection/>
    </xf>
    <xf numFmtId="170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170" fontId="30" fillId="0" borderId="2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168" fontId="32" fillId="0" borderId="3" xfId="0" applyNumberFormat="1" applyFont="1" applyFill="1" applyBorder="1" applyAlignment="1">
      <alignment horizontal="center"/>
    </xf>
    <xf numFmtId="7" fontId="33" fillId="0" borderId="23" xfId="0" applyNumberFormat="1" applyFont="1" applyFill="1" applyBorder="1" applyAlignment="1">
      <alignment horizontal="center"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/>
    </xf>
    <xf numFmtId="0" fontId="31" fillId="0" borderId="24" xfId="0" applyFont="1" applyFill="1" applyBorder="1" applyAlignment="1" applyProtection="1" quotePrefix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>
      <alignment horizontal="centerContinuous"/>
    </xf>
    <xf numFmtId="7" fontId="27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36" fillId="0" borderId="26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6" fillId="0" borderId="2" xfId="0" applyFont="1" applyFill="1" applyBorder="1" applyAlignment="1">
      <alignment/>
    </xf>
    <xf numFmtId="7" fontId="39" fillId="0" borderId="0" xfId="0" applyNumberFormat="1" applyFont="1" applyBorder="1" applyAlignment="1">
      <alignment horizontal="right"/>
    </xf>
    <xf numFmtId="7" fontId="14" fillId="0" borderId="24" xfId="0" applyNumberFormat="1" applyFont="1" applyBorder="1" applyAlignment="1">
      <alignment horizontal="right"/>
    </xf>
    <xf numFmtId="0" fontId="40" fillId="2" borderId="24" xfId="0" applyFont="1" applyFill="1" applyBorder="1" applyAlignment="1" applyProtection="1">
      <alignment horizontal="center" vertical="center"/>
      <protection/>
    </xf>
    <xf numFmtId="0" fontId="41" fillId="2" borderId="1" xfId="0" applyFont="1" applyFill="1" applyBorder="1" applyAlignment="1">
      <alignment/>
    </xf>
    <xf numFmtId="168" fontId="41" fillId="2" borderId="3" xfId="0" applyNumberFormat="1" applyFont="1" applyFill="1" applyBorder="1" applyAlignment="1" applyProtection="1">
      <alignment horizontal="center"/>
      <protection/>
    </xf>
    <xf numFmtId="168" fontId="41" fillId="2" borderId="9" xfId="0" applyNumberFormat="1" applyFont="1" applyFill="1" applyBorder="1" applyAlignment="1" applyProtection="1">
      <alignment horizontal="center"/>
      <protection/>
    </xf>
    <xf numFmtId="0" fontId="41" fillId="2" borderId="5" xfId="0" applyFont="1" applyFill="1" applyBorder="1" applyAlignment="1">
      <alignment/>
    </xf>
    <xf numFmtId="0" fontId="41" fillId="2" borderId="3" xfId="0" applyFont="1" applyFill="1" applyBorder="1" applyAlignment="1">
      <alignment/>
    </xf>
    <xf numFmtId="0" fontId="41" fillId="2" borderId="9" xfId="0" applyFont="1" applyFill="1" applyBorder="1" applyAlignment="1">
      <alignment/>
    </xf>
    <xf numFmtId="170" fontId="41" fillId="2" borderId="3" xfId="0" applyNumberFormat="1" applyFont="1" applyFill="1" applyBorder="1" applyAlignment="1" applyProtection="1">
      <alignment horizontal="center"/>
      <protection/>
    </xf>
    <xf numFmtId="170" fontId="41" fillId="2" borderId="9" xfId="0" applyNumberFormat="1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7" fillId="0" borderId="22" xfId="0" applyFont="1" applyBorder="1" applyAlignment="1">
      <alignment/>
    </xf>
    <xf numFmtId="167" fontId="7" fillId="0" borderId="18" xfId="0" applyNumberFormat="1" applyFont="1" applyBorder="1" applyAlignment="1">
      <alignment horizontal="centerContinuous"/>
    </xf>
    <xf numFmtId="0" fontId="41" fillId="2" borderId="5" xfId="0" applyFont="1" applyFill="1" applyBorder="1" applyAlignment="1">
      <alignment horizontal="center"/>
    </xf>
    <xf numFmtId="0" fontId="48" fillId="3" borderId="24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/>
    </xf>
    <xf numFmtId="0" fontId="49" fillId="3" borderId="1" xfId="0" applyFont="1" applyFill="1" applyBorder="1" applyAlignment="1">
      <alignment/>
    </xf>
    <xf numFmtId="2" fontId="49" fillId="3" borderId="3" xfId="0" applyNumberFormat="1" applyFont="1" applyFill="1" applyBorder="1" applyAlignment="1">
      <alignment horizontal="center"/>
    </xf>
    <xf numFmtId="2" fontId="49" fillId="3" borderId="9" xfId="0" applyNumberFormat="1" applyFont="1" applyFill="1" applyBorder="1" applyAlignment="1">
      <alignment horizontal="center"/>
    </xf>
    <xf numFmtId="0" fontId="50" fillId="4" borderId="24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/>
    </xf>
    <xf numFmtId="0" fontId="51" fillId="4" borderId="1" xfId="0" applyFont="1" applyFill="1" applyBorder="1" applyAlignment="1">
      <alignment/>
    </xf>
    <xf numFmtId="2" fontId="51" fillId="4" borderId="3" xfId="0" applyNumberFormat="1" applyFont="1" applyFill="1" applyBorder="1" applyAlignment="1" applyProtection="1">
      <alignment horizontal="center"/>
      <protection/>
    </xf>
    <xf numFmtId="2" fontId="51" fillId="4" borderId="9" xfId="0" applyNumberFormat="1" applyFont="1" applyFill="1" applyBorder="1" applyAlignment="1">
      <alignment horizontal="center"/>
    </xf>
    <xf numFmtId="0" fontId="44" fillId="5" borderId="17" xfId="0" applyFont="1" applyFill="1" applyBorder="1" applyAlignment="1" applyProtection="1">
      <alignment horizontal="centerContinuous" vertical="center" wrapText="1"/>
      <protection/>
    </xf>
    <xf numFmtId="0" fontId="45" fillId="5" borderId="25" xfId="0" applyFont="1" applyFill="1" applyBorder="1" applyAlignment="1">
      <alignment horizontal="centerContinuous"/>
    </xf>
    <xf numFmtId="0" fontId="44" fillId="5" borderId="18" xfId="0" applyFont="1" applyFill="1" applyBorder="1" applyAlignment="1">
      <alignment horizontal="centerContinuous" vertical="center"/>
    </xf>
    <xf numFmtId="168" fontId="43" fillId="5" borderId="29" xfId="0" applyNumberFormat="1" applyFont="1" applyFill="1" applyBorder="1" applyAlignment="1" applyProtection="1" quotePrefix="1">
      <alignment horizontal="center"/>
      <protection/>
    </xf>
    <xf numFmtId="168" fontId="43" fillId="5" borderId="30" xfId="0" applyNumberFormat="1" applyFont="1" applyFill="1" applyBorder="1" applyAlignment="1" applyProtection="1" quotePrefix="1">
      <alignment horizontal="center"/>
      <protection/>
    </xf>
    <xf numFmtId="4" fontId="43" fillId="5" borderId="4" xfId="0" applyNumberFormat="1" applyFont="1" applyFill="1" applyBorder="1" applyAlignment="1">
      <alignment horizontal="center"/>
    </xf>
    <xf numFmtId="168" fontId="43" fillId="5" borderId="31" xfId="0" applyNumberFormat="1" applyFont="1" applyFill="1" applyBorder="1" applyAlignment="1" applyProtection="1" quotePrefix="1">
      <alignment horizontal="center"/>
      <protection/>
    </xf>
    <xf numFmtId="168" fontId="43" fillId="5" borderId="32" xfId="0" applyNumberFormat="1" applyFont="1" applyFill="1" applyBorder="1" applyAlignment="1" applyProtection="1" quotePrefix="1">
      <alignment horizontal="center"/>
      <protection/>
    </xf>
    <xf numFmtId="4" fontId="43" fillId="5" borderId="10" xfId="0" applyNumberFormat="1" applyFont="1" applyFill="1" applyBorder="1" applyAlignment="1">
      <alignment horizontal="center"/>
    </xf>
    <xf numFmtId="0" fontId="43" fillId="5" borderId="33" xfId="0" applyFont="1" applyFill="1" applyBorder="1" applyAlignment="1">
      <alignment/>
    </xf>
    <xf numFmtId="0" fontId="43" fillId="5" borderId="8" xfId="0" applyFont="1" applyFill="1" applyBorder="1" applyAlignment="1">
      <alignment/>
    </xf>
    <xf numFmtId="2" fontId="49" fillId="3" borderId="24" xfId="0" applyNumberFormat="1" applyFont="1" applyFill="1" applyBorder="1" applyAlignment="1">
      <alignment horizontal="center"/>
    </xf>
    <xf numFmtId="2" fontId="51" fillId="4" borderId="24" xfId="0" applyNumberFormat="1" applyFont="1" applyFill="1" applyBorder="1" applyAlignment="1">
      <alignment horizontal="center"/>
    </xf>
    <xf numFmtId="0" fontId="52" fillId="6" borderId="17" xfId="0" applyFont="1" applyFill="1" applyBorder="1" applyAlignment="1">
      <alignment horizontal="centerContinuous" vertical="center" wrapText="1"/>
    </xf>
    <xf numFmtId="0" fontId="53" fillId="6" borderId="25" xfId="0" applyFont="1" applyFill="1" applyBorder="1" applyAlignment="1">
      <alignment horizontal="centerContinuous"/>
    </xf>
    <xf numFmtId="0" fontId="52" fillId="6" borderId="18" xfId="0" applyFont="1" applyFill="1" applyBorder="1" applyAlignment="1">
      <alignment horizontal="centerContinuous" vertical="center"/>
    </xf>
    <xf numFmtId="0" fontId="54" fillId="6" borderId="34" xfId="0" applyFont="1" applyFill="1" applyBorder="1" applyAlignment="1">
      <alignment horizontal="left"/>
    </xf>
    <xf numFmtId="0" fontId="54" fillId="6" borderId="12" xfId="0" applyFont="1" applyFill="1" applyBorder="1" applyAlignment="1">
      <alignment/>
    </xf>
    <xf numFmtId="4" fontId="54" fillId="6" borderId="29" xfId="0" applyNumberFormat="1" applyFont="1" applyFill="1" applyBorder="1" applyAlignment="1" applyProtection="1">
      <alignment horizontal="center"/>
      <protection/>
    </xf>
    <xf numFmtId="4" fontId="54" fillId="6" borderId="31" xfId="0" applyNumberFormat="1" applyFont="1" applyFill="1" applyBorder="1" applyAlignment="1">
      <alignment horizontal="center"/>
    </xf>
    <xf numFmtId="0" fontId="54" fillId="6" borderId="35" xfId="0" applyFont="1" applyFill="1" applyBorder="1" applyAlignment="1">
      <alignment horizontal="left"/>
    </xf>
    <xf numFmtId="0" fontId="54" fillId="6" borderId="36" xfId="0" applyFont="1" applyFill="1" applyBorder="1" applyAlignment="1">
      <alignment/>
    </xf>
    <xf numFmtId="168" fontId="54" fillId="6" borderId="37" xfId="0" applyNumberFormat="1" applyFont="1" applyFill="1" applyBorder="1" applyAlignment="1" applyProtection="1" quotePrefix="1">
      <alignment horizontal="center"/>
      <protection/>
    </xf>
    <xf numFmtId="4" fontId="54" fillId="6" borderId="38" xfId="0" applyNumberFormat="1" applyFont="1" applyFill="1" applyBorder="1" applyAlignment="1">
      <alignment horizontal="center"/>
    </xf>
    <xf numFmtId="0" fontId="54" fillId="6" borderId="39" xfId="0" applyFont="1" applyFill="1" applyBorder="1" applyAlignment="1">
      <alignment horizontal="left"/>
    </xf>
    <xf numFmtId="0" fontId="54" fillId="6" borderId="40" xfId="0" applyFont="1" applyFill="1" applyBorder="1" applyAlignment="1">
      <alignment/>
    </xf>
    <xf numFmtId="4" fontId="54" fillId="6" borderId="11" xfId="0" applyNumberFormat="1" applyFont="1" applyFill="1" applyBorder="1" applyAlignment="1">
      <alignment horizontal="center"/>
    </xf>
    <xf numFmtId="4" fontId="54" fillId="6" borderId="41" xfId="0" applyNumberFormat="1" applyFont="1" applyFill="1" applyBorder="1" applyAlignment="1">
      <alignment horizontal="center"/>
    </xf>
    <xf numFmtId="0" fontId="52" fillId="7" borderId="24" xfId="0" applyFont="1" applyFill="1" applyBorder="1" applyAlignment="1">
      <alignment horizontal="center" vertical="center" wrapText="1"/>
    </xf>
    <xf numFmtId="0" fontId="54" fillId="7" borderId="5" xfId="0" applyFont="1" applyFill="1" applyBorder="1" applyAlignment="1">
      <alignment horizontal="left"/>
    </xf>
    <xf numFmtId="0" fontId="54" fillId="7" borderId="1" xfId="0" applyFont="1" applyFill="1" applyBorder="1" applyAlignment="1">
      <alignment/>
    </xf>
    <xf numFmtId="4" fontId="54" fillId="7" borderId="3" xfId="0" applyNumberFormat="1" applyFont="1" applyFill="1" applyBorder="1" applyAlignment="1">
      <alignment horizontal="center"/>
    </xf>
    <xf numFmtId="4" fontId="54" fillId="7" borderId="9" xfId="0" applyNumberFormat="1" applyFont="1" applyFill="1" applyBorder="1" applyAlignment="1">
      <alignment horizontal="center"/>
    </xf>
    <xf numFmtId="0" fontId="56" fillId="8" borderId="24" xfId="0" applyFont="1" applyFill="1" applyBorder="1" applyAlignment="1">
      <alignment horizontal="center" vertical="center" wrapText="1"/>
    </xf>
    <xf numFmtId="0" fontId="57" fillId="8" borderId="5" xfId="0" applyFont="1" applyFill="1" applyBorder="1" applyAlignment="1">
      <alignment horizontal="left"/>
    </xf>
    <xf numFmtId="0" fontId="57" fillId="8" borderId="1" xfId="0" applyFont="1" applyFill="1" applyBorder="1" applyAlignment="1">
      <alignment/>
    </xf>
    <xf numFmtId="4" fontId="57" fillId="8" borderId="3" xfId="0" applyNumberFormat="1" applyFont="1" applyFill="1" applyBorder="1" applyAlignment="1">
      <alignment horizontal="center"/>
    </xf>
    <xf numFmtId="4" fontId="57" fillId="8" borderId="9" xfId="0" applyNumberFormat="1" applyFont="1" applyFill="1" applyBorder="1" applyAlignment="1">
      <alignment horizontal="center"/>
    </xf>
    <xf numFmtId="2" fontId="43" fillId="5" borderId="24" xfId="0" applyNumberFormat="1" applyFont="1" applyFill="1" applyBorder="1" applyAlignment="1">
      <alignment horizontal="center"/>
    </xf>
    <xf numFmtId="2" fontId="54" fillId="6" borderId="24" xfId="0" applyNumberFormat="1" applyFont="1" applyFill="1" applyBorder="1" applyAlignment="1">
      <alignment horizontal="center"/>
    </xf>
    <xf numFmtId="2" fontId="54" fillId="7" borderId="24" xfId="0" applyNumberFormat="1" applyFont="1" applyFill="1" applyBorder="1" applyAlignment="1">
      <alignment horizontal="center"/>
    </xf>
    <xf numFmtId="2" fontId="57" fillId="8" borderId="24" xfId="0" applyNumberFormat="1" applyFont="1" applyFill="1" applyBorder="1" applyAlignment="1">
      <alignment horizontal="center"/>
    </xf>
    <xf numFmtId="0" fontId="55" fillId="9" borderId="9" xfId="0" applyFont="1" applyFill="1" applyBorder="1" applyAlignment="1">
      <alignment/>
    </xf>
    <xf numFmtId="0" fontId="52" fillId="9" borderId="24" xfId="0" applyFont="1" applyFill="1" applyBorder="1" applyAlignment="1" applyProtection="1">
      <alignment horizontal="center" vertical="center"/>
      <protection/>
    </xf>
    <xf numFmtId="0" fontId="55" fillId="9" borderId="5" xfId="0" applyFont="1" applyFill="1" applyBorder="1" applyAlignment="1">
      <alignment/>
    </xf>
    <xf numFmtId="0" fontId="55" fillId="9" borderId="3" xfId="0" applyFont="1" applyFill="1" applyBorder="1" applyAlignment="1">
      <alignment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4" fontId="55" fillId="9" borderId="3" xfId="0" applyNumberFormat="1" applyFont="1" applyFill="1" applyBorder="1" applyAlignment="1" applyProtection="1">
      <alignment horizontal="center"/>
      <protection/>
    </xf>
    <xf numFmtId="0" fontId="52" fillId="3" borderId="24" xfId="0" applyFont="1" applyFill="1" applyBorder="1" applyAlignment="1">
      <alignment horizontal="center" vertical="center" wrapText="1"/>
    </xf>
    <xf numFmtId="0" fontId="54" fillId="3" borderId="5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2" fontId="54" fillId="3" borderId="3" xfId="0" applyNumberFormat="1" applyFont="1" applyFill="1" applyBorder="1" applyAlignment="1">
      <alignment horizontal="center"/>
    </xf>
    <xf numFmtId="0" fontId="54" fillId="3" borderId="9" xfId="0" applyFont="1" applyFill="1" applyBorder="1" applyAlignment="1">
      <alignment/>
    </xf>
    <xf numFmtId="7" fontId="54" fillId="3" borderId="24" xfId="0" applyNumberFormat="1" applyFont="1" applyFill="1" applyBorder="1" applyAlignment="1">
      <alignment horizontal="center"/>
    </xf>
    <xf numFmtId="0" fontId="52" fillId="10" borderId="24" xfId="0" applyFont="1" applyFill="1" applyBorder="1" applyAlignment="1">
      <alignment horizontal="center" vertical="center" wrapText="1"/>
    </xf>
    <xf numFmtId="0" fontId="54" fillId="10" borderId="5" xfId="0" applyFont="1" applyFill="1" applyBorder="1" applyAlignment="1">
      <alignment/>
    </xf>
    <xf numFmtId="0" fontId="54" fillId="10" borderId="3" xfId="0" applyFont="1" applyFill="1" applyBorder="1" applyAlignment="1">
      <alignment/>
    </xf>
    <xf numFmtId="2" fontId="54" fillId="10" borderId="3" xfId="0" applyNumberFormat="1" applyFont="1" applyFill="1" applyBorder="1" applyAlignment="1">
      <alignment horizontal="center"/>
    </xf>
    <xf numFmtId="0" fontId="54" fillId="10" borderId="9" xfId="0" applyFont="1" applyFill="1" applyBorder="1" applyAlignment="1">
      <alignment/>
    </xf>
    <xf numFmtId="7" fontId="55" fillId="10" borderId="24" xfId="0" applyNumberFormat="1" applyFont="1" applyFill="1" applyBorder="1" applyAlignment="1">
      <alignment horizontal="center"/>
    </xf>
    <xf numFmtId="0" fontId="43" fillId="5" borderId="42" xfId="0" applyFont="1" applyFill="1" applyBorder="1" applyAlignment="1">
      <alignment/>
    </xf>
    <xf numFmtId="0" fontId="43" fillId="5" borderId="31" xfId="0" applyFont="1" applyFill="1" applyBorder="1" applyAlignment="1">
      <alignment/>
    </xf>
    <xf numFmtId="0" fontId="43" fillId="5" borderId="41" xfId="0" applyFont="1" applyFill="1" applyBorder="1" applyAlignment="1">
      <alignment/>
    </xf>
    <xf numFmtId="7" fontId="43" fillId="5" borderId="24" xfId="0" applyNumberFormat="1" applyFont="1" applyFill="1" applyBorder="1" applyAlignment="1">
      <alignment horizontal="center"/>
    </xf>
    <xf numFmtId="0" fontId="43" fillId="5" borderId="4" xfId="0" applyFont="1" applyFill="1" applyBorder="1" applyAlignment="1">
      <alignment/>
    </xf>
    <xf numFmtId="168" fontId="43" fillId="5" borderId="11" xfId="0" applyNumberFormat="1" applyFont="1" applyFill="1" applyBorder="1" applyAlignment="1" applyProtection="1" quotePrefix="1">
      <alignment horizontal="center"/>
      <protection/>
    </xf>
    <xf numFmtId="0" fontId="43" fillId="5" borderId="34" xfId="0" applyFont="1" applyFill="1" applyBorder="1" applyAlignment="1">
      <alignment horizontal="center"/>
    </xf>
    <xf numFmtId="0" fontId="43" fillId="5" borderId="29" xfId="0" applyFont="1" applyFill="1" applyBorder="1" applyAlignment="1">
      <alignment horizontal="center"/>
    </xf>
    <xf numFmtId="0" fontId="56" fillId="6" borderId="17" xfId="0" applyFont="1" applyFill="1" applyBorder="1" applyAlignment="1" applyProtection="1">
      <alignment horizontal="centerContinuous" vertical="center" wrapText="1"/>
      <protection/>
    </xf>
    <xf numFmtId="0" fontId="56" fillId="6" borderId="18" xfId="0" applyFont="1" applyFill="1" applyBorder="1" applyAlignment="1">
      <alignment horizontal="centerContinuous" vertical="center"/>
    </xf>
    <xf numFmtId="0" fontId="57" fillId="6" borderId="34" xfId="0" applyFont="1" applyFill="1" applyBorder="1" applyAlignment="1">
      <alignment horizontal="center"/>
    </xf>
    <xf numFmtId="0" fontId="57" fillId="6" borderId="42" xfId="0" applyFont="1" applyFill="1" applyBorder="1" applyAlignment="1">
      <alignment/>
    </xf>
    <xf numFmtId="0" fontId="57" fillId="6" borderId="29" xfId="0" applyFont="1" applyFill="1" applyBorder="1" applyAlignment="1">
      <alignment horizontal="center"/>
    </xf>
    <xf numFmtId="0" fontId="57" fillId="6" borderId="4" xfId="0" applyFont="1" applyFill="1" applyBorder="1" applyAlignment="1">
      <alignment/>
    </xf>
    <xf numFmtId="168" fontId="57" fillId="6" borderId="29" xfId="0" applyNumberFormat="1" applyFont="1" applyFill="1" applyBorder="1" applyAlignment="1" applyProtection="1" quotePrefix="1">
      <alignment horizontal="center"/>
      <protection/>
    </xf>
    <xf numFmtId="168" fontId="57" fillId="6" borderId="11" xfId="0" applyNumberFormat="1" applyFont="1" applyFill="1" applyBorder="1" applyAlignment="1" applyProtection="1" quotePrefix="1">
      <alignment horizontal="center"/>
      <protection/>
    </xf>
    <xf numFmtId="0" fontId="57" fillId="6" borderId="31" xfId="0" applyFont="1" applyFill="1" applyBorder="1" applyAlignment="1">
      <alignment/>
    </xf>
    <xf numFmtId="0" fontId="57" fillId="6" borderId="41" xfId="0" applyFont="1" applyFill="1" applyBorder="1" applyAlignment="1">
      <alignment/>
    </xf>
    <xf numFmtId="7" fontId="57" fillId="6" borderId="24" xfId="0" applyNumberFormat="1" applyFont="1" applyFill="1" applyBorder="1" applyAlignment="1">
      <alignment horizontal="center"/>
    </xf>
    <xf numFmtId="0" fontId="56" fillId="7" borderId="24" xfId="0" applyFont="1" applyFill="1" applyBorder="1" applyAlignment="1">
      <alignment horizontal="center" vertical="center" wrapText="1"/>
    </xf>
    <xf numFmtId="0" fontId="57" fillId="7" borderId="5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168" fontId="57" fillId="7" borderId="3" xfId="0" applyNumberFormat="1" applyFont="1" applyFill="1" applyBorder="1" applyAlignment="1" applyProtection="1" quotePrefix="1">
      <alignment horizontal="center"/>
      <protection/>
    </xf>
    <xf numFmtId="0" fontId="57" fillId="7" borderId="9" xfId="0" applyFont="1" applyFill="1" applyBorder="1" applyAlignment="1">
      <alignment/>
    </xf>
    <xf numFmtId="7" fontId="57" fillId="7" borderId="24" xfId="0" applyNumberFormat="1" applyFont="1" applyFill="1" applyBorder="1" applyAlignment="1">
      <alignment horizontal="center"/>
    </xf>
    <xf numFmtId="0" fontId="58" fillId="11" borderId="24" xfId="0" applyFont="1" applyFill="1" applyBorder="1" applyAlignment="1">
      <alignment horizontal="center" vertical="center" wrapText="1"/>
    </xf>
    <xf numFmtId="0" fontId="59" fillId="11" borderId="5" xfId="0" applyFont="1" applyFill="1" applyBorder="1" applyAlignment="1">
      <alignment/>
    </xf>
    <xf numFmtId="0" fontId="59" fillId="11" borderId="3" xfId="0" applyFont="1" applyFill="1" applyBorder="1" applyAlignment="1">
      <alignment/>
    </xf>
    <xf numFmtId="168" fontId="59" fillId="11" borderId="3" xfId="0" applyNumberFormat="1" applyFont="1" applyFill="1" applyBorder="1" applyAlignment="1" applyProtection="1" quotePrefix="1">
      <alignment horizontal="center"/>
      <protection/>
    </xf>
    <xf numFmtId="0" fontId="59" fillId="11" borderId="9" xfId="0" applyFont="1" applyFill="1" applyBorder="1" applyAlignment="1">
      <alignment/>
    </xf>
    <xf numFmtId="7" fontId="59" fillId="11" borderId="24" xfId="0" applyNumberFormat="1" applyFont="1" applyFill="1" applyBorder="1" applyAlignment="1">
      <alignment horizontal="center"/>
    </xf>
    <xf numFmtId="0" fontId="42" fillId="2" borderId="24" xfId="0" applyFont="1" applyFill="1" applyBorder="1" applyAlignment="1" applyProtection="1">
      <alignment horizontal="center" vertical="center"/>
      <protection/>
    </xf>
    <xf numFmtId="164" fontId="46" fillId="2" borderId="3" xfId="0" applyNumberFormat="1" applyFont="1" applyFill="1" applyBorder="1" applyAlignment="1" applyProtection="1">
      <alignment horizontal="center"/>
      <protection/>
    </xf>
    <xf numFmtId="164" fontId="46" fillId="2" borderId="9" xfId="0" applyNumberFormat="1" applyFont="1" applyFill="1" applyBorder="1" applyAlignment="1" applyProtection="1">
      <alignment horizontal="center"/>
      <protection/>
    </xf>
    <xf numFmtId="168" fontId="7" fillId="0" borderId="9" xfId="0" applyNumberFormat="1" applyFont="1" applyFill="1" applyBorder="1" applyAlignment="1" applyProtection="1">
      <alignment horizontal="center"/>
      <protection/>
    </xf>
    <xf numFmtId="0" fontId="52" fillId="12" borderId="24" xfId="0" applyFont="1" applyFill="1" applyBorder="1" applyAlignment="1">
      <alignment horizontal="center" vertical="center" wrapText="1"/>
    </xf>
    <xf numFmtId="2" fontId="54" fillId="12" borderId="3" xfId="0" applyNumberFormat="1" applyFont="1" applyFill="1" applyBorder="1" applyAlignment="1">
      <alignment horizontal="center"/>
    </xf>
    <xf numFmtId="2" fontId="54" fillId="12" borderId="9" xfId="0" applyNumberFormat="1" applyFont="1" applyFill="1" applyBorder="1" applyAlignment="1">
      <alignment horizontal="center"/>
    </xf>
    <xf numFmtId="164" fontId="46" fillId="2" borderId="5" xfId="0" applyNumberFormat="1" applyFont="1" applyFill="1" applyBorder="1" applyAlignment="1" applyProtection="1">
      <alignment horizontal="center"/>
      <protection/>
    </xf>
    <xf numFmtId="2" fontId="54" fillId="12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 applyProtection="1">
      <alignment horizontal="center"/>
      <protection/>
    </xf>
    <xf numFmtId="0" fontId="60" fillId="13" borderId="17" xfId="0" applyFont="1" applyFill="1" applyBorder="1" applyAlignment="1" applyProtection="1">
      <alignment horizontal="centerContinuous" vertical="center" wrapText="1"/>
      <protection/>
    </xf>
    <xf numFmtId="0" fontId="60" fillId="13" borderId="18" xfId="0" applyFont="1" applyFill="1" applyBorder="1" applyAlignment="1">
      <alignment horizontal="centerContinuous" vertical="center"/>
    </xf>
    <xf numFmtId="168" fontId="61" fillId="13" borderId="34" xfId="0" applyNumberFormat="1" applyFont="1" applyFill="1" applyBorder="1" applyAlignment="1" applyProtection="1" quotePrefix="1">
      <alignment horizontal="center"/>
      <protection/>
    </xf>
    <xf numFmtId="168" fontId="61" fillId="13" borderId="29" xfId="0" applyNumberFormat="1" applyFont="1" applyFill="1" applyBorder="1" applyAlignment="1" applyProtection="1" quotePrefix="1">
      <alignment horizontal="center"/>
      <protection/>
    </xf>
    <xf numFmtId="168" fontId="61" fillId="13" borderId="31" xfId="0" applyNumberFormat="1" applyFont="1" applyFill="1" applyBorder="1" applyAlignment="1" applyProtection="1" quotePrefix="1">
      <alignment horizontal="center"/>
      <protection/>
    </xf>
    <xf numFmtId="168" fontId="61" fillId="13" borderId="39" xfId="0" applyNumberFormat="1" applyFont="1" applyFill="1" applyBorder="1" applyAlignment="1" applyProtection="1" quotePrefix="1">
      <alignment horizontal="center"/>
      <protection/>
    </xf>
    <xf numFmtId="168" fontId="61" fillId="13" borderId="11" xfId="0" applyNumberFormat="1" applyFont="1" applyFill="1" applyBorder="1" applyAlignment="1" applyProtection="1" quotePrefix="1">
      <alignment horizontal="center"/>
      <protection/>
    </xf>
    <xf numFmtId="168" fontId="61" fillId="13" borderId="41" xfId="0" applyNumberFormat="1" applyFont="1" applyFill="1" applyBorder="1" applyAlignment="1" applyProtection="1" quotePrefix="1">
      <alignment horizontal="center"/>
      <protection/>
    </xf>
    <xf numFmtId="168" fontId="54" fillId="7" borderId="5" xfId="0" applyNumberFormat="1" applyFont="1" applyFill="1" applyBorder="1" applyAlignment="1" applyProtection="1" quotePrefix="1">
      <alignment horizontal="center"/>
      <protection/>
    </xf>
    <xf numFmtId="168" fontId="54" fillId="7" borderId="3" xfId="0" applyNumberFormat="1" applyFont="1" applyFill="1" applyBorder="1" applyAlignment="1" applyProtection="1" quotePrefix="1">
      <alignment horizontal="center"/>
      <protection/>
    </xf>
    <xf numFmtId="168" fontId="54" fillId="7" borderId="9" xfId="0" applyNumberFormat="1" applyFont="1" applyFill="1" applyBorder="1" applyAlignment="1" applyProtection="1" quotePrefix="1">
      <alignment horizontal="center"/>
      <protection/>
    </xf>
    <xf numFmtId="2" fontId="54" fillId="12" borderId="24" xfId="0" applyNumberFormat="1" applyFont="1" applyFill="1" applyBorder="1" applyAlignment="1">
      <alignment horizontal="center"/>
    </xf>
    <xf numFmtId="2" fontId="61" fillId="13" borderId="24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173" fontId="0" fillId="0" borderId="17" xfId="0" applyNumberFormat="1" applyFont="1" applyBorder="1" applyAlignment="1">
      <alignment horizontal="centerContinuous"/>
    </xf>
    <xf numFmtId="0" fontId="47" fillId="0" borderId="14" xfId="0" applyFont="1" applyBorder="1" applyAlignment="1">
      <alignment/>
    </xf>
    <xf numFmtId="0" fontId="63" fillId="0" borderId="0" xfId="0" applyFont="1" applyAlignment="1">
      <alignment horizontal="right" vertical="top"/>
    </xf>
    <xf numFmtId="0" fontId="63" fillId="0" borderId="0" xfId="0" applyFont="1" applyBorder="1" applyAlignment="1">
      <alignment horizontal="right" vertical="top"/>
    </xf>
    <xf numFmtId="0" fontId="63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horizontal="center" vertical="center"/>
    </xf>
    <xf numFmtId="7" fontId="14" fillId="0" borderId="43" xfId="0" applyNumberFormat="1" applyFont="1" applyBorder="1" applyAlignment="1">
      <alignment horizontal="right"/>
    </xf>
    <xf numFmtId="7" fontId="14" fillId="0" borderId="43" xfId="0" applyNumberFormat="1" applyFont="1" applyFill="1" applyBorder="1" applyAlignment="1">
      <alignment horizontal="right"/>
    </xf>
    <xf numFmtId="0" fontId="64" fillId="0" borderId="0" xfId="0" applyFont="1" applyAlignment="1">
      <alignment horizontal="right" vertical="top"/>
    </xf>
    <xf numFmtId="0" fontId="65" fillId="0" borderId="0" xfId="0" applyFont="1" applyAlignment="1">
      <alignment/>
    </xf>
    <xf numFmtId="0" fontId="66" fillId="0" borderId="0" xfId="0" applyFont="1" applyAlignment="1">
      <alignment horizontal="centerContinuous"/>
    </xf>
    <xf numFmtId="0" fontId="65" fillId="0" borderId="0" xfId="0" applyFont="1" applyAlignment="1">
      <alignment horizontal="centerContinuous"/>
    </xf>
    <xf numFmtId="0" fontId="67" fillId="0" borderId="0" xfId="0" applyFont="1" applyBorder="1" applyAlignment="1">
      <alignment horizontal="centerContinuous"/>
    </xf>
    <xf numFmtId="0" fontId="68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9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70" fillId="0" borderId="14" xfId="0" applyFont="1" applyBorder="1" applyAlignment="1">
      <alignment/>
    </xf>
    <xf numFmtId="0" fontId="0" fillId="0" borderId="15" xfId="0" applyBorder="1" applyAlignment="1">
      <alignment/>
    </xf>
    <xf numFmtId="0" fontId="7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70" fillId="0" borderId="0" xfId="0" applyFont="1" applyBorder="1" applyAlignment="1" applyProtection="1">
      <alignment horizontal="center"/>
      <protection/>
    </xf>
    <xf numFmtId="0" fontId="7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1" fillId="0" borderId="45" xfId="0" applyFont="1" applyBorder="1" applyAlignment="1" applyProtection="1">
      <alignment horizontal="centerContinuous" vertical="center"/>
      <protection/>
    </xf>
    <xf numFmtId="0" fontId="31" fillId="0" borderId="45" xfId="0" applyFont="1" applyBorder="1" applyAlignment="1" applyProtection="1">
      <alignment horizontal="centerContinuous" vertical="center" wrapText="1"/>
      <protection/>
    </xf>
    <xf numFmtId="168" fontId="31" fillId="0" borderId="24" xfId="0" applyNumberFormat="1" applyFont="1" applyBorder="1" applyAlignment="1" applyProtection="1">
      <alignment horizontal="centerContinuous" vertical="center" wrapText="1"/>
      <protection/>
    </xf>
    <xf numFmtId="17" fontId="31" fillId="0" borderId="18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1" fillId="0" borderId="16" xfId="0" applyFont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71" fillId="0" borderId="46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0" fontId="71" fillId="0" borderId="48" xfId="0" applyFont="1" applyFill="1" applyBorder="1" applyAlignment="1">
      <alignment vertical="center"/>
    </xf>
    <xf numFmtId="0" fontId="71" fillId="0" borderId="2" xfId="0" applyFont="1" applyBorder="1" applyAlignment="1">
      <alignment vertical="center"/>
    </xf>
    <xf numFmtId="0" fontId="71" fillId="1" borderId="6" xfId="0" applyFont="1" applyFill="1" applyBorder="1" applyAlignment="1">
      <alignment horizontal="center" vertical="center"/>
    </xf>
    <xf numFmtId="0" fontId="71" fillId="1" borderId="12" xfId="0" applyFont="1" applyFill="1" applyBorder="1" applyAlignment="1" applyProtection="1">
      <alignment horizontal="center" vertical="center"/>
      <protection/>
    </xf>
    <xf numFmtId="2" fontId="71" fillId="1" borderId="1" xfId="0" applyNumberFormat="1" applyFont="1" applyFill="1" applyBorder="1" applyAlignment="1" applyProtection="1">
      <alignment horizontal="center" vertical="center"/>
      <protection/>
    </xf>
    <xf numFmtId="1" fontId="71" fillId="1" borderId="8" xfId="0" applyNumberFormat="1" applyFont="1" applyFill="1" applyBorder="1" applyAlignment="1">
      <alignment horizontal="center" vertical="center"/>
    </xf>
    <xf numFmtId="1" fontId="71" fillId="0" borderId="28" xfId="0" applyNumberFormat="1" applyFont="1" applyFill="1" applyBorder="1" applyAlignment="1">
      <alignment horizontal="center" vertical="center"/>
    </xf>
    <xf numFmtId="1" fontId="71" fillId="0" borderId="2" xfId="0" applyNumberFormat="1" applyFont="1" applyBorder="1" applyAlignment="1">
      <alignment horizontal="center" vertical="center"/>
    </xf>
    <xf numFmtId="0" fontId="71" fillId="14" borderId="6" xfId="0" applyFont="1" applyFill="1" applyBorder="1" applyAlignment="1">
      <alignment horizontal="center" vertical="center"/>
    </xf>
    <xf numFmtId="0" fontId="71" fillId="0" borderId="12" xfId="0" applyFont="1" applyBorder="1" applyAlignment="1" applyProtection="1">
      <alignment horizontal="center" vertical="center"/>
      <protection/>
    </xf>
    <xf numFmtId="2" fontId="71" fillId="0" borderId="1" xfId="0" applyNumberFormat="1" applyFont="1" applyBorder="1" applyAlignment="1" applyProtection="1">
      <alignment horizontal="center" vertical="center"/>
      <protection/>
    </xf>
    <xf numFmtId="1" fontId="71" fillId="0" borderId="4" xfId="0" applyNumberFormat="1" applyFont="1" applyFill="1" applyBorder="1" applyAlignment="1">
      <alignment horizontal="center" vertical="center"/>
    </xf>
    <xf numFmtId="1" fontId="71" fillId="1" borderId="4" xfId="0" applyNumberFormat="1" applyFont="1" applyFill="1" applyBorder="1" applyAlignment="1">
      <alignment horizontal="center" vertical="center"/>
    </xf>
    <xf numFmtId="0" fontId="71" fillId="14" borderId="12" xfId="0" applyFont="1" applyFill="1" applyBorder="1" applyAlignment="1" applyProtection="1">
      <alignment horizontal="center" vertical="center"/>
      <protection/>
    </xf>
    <xf numFmtId="2" fontId="71" fillId="14" borderId="1" xfId="0" applyNumberFormat="1" applyFont="1" applyFill="1" applyBorder="1" applyAlignment="1" applyProtection="1">
      <alignment horizontal="center" vertical="center"/>
      <protection/>
    </xf>
    <xf numFmtId="0" fontId="71" fillId="0" borderId="13" xfId="0" applyFont="1" applyBorder="1" applyAlignment="1">
      <alignment horizontal="center" vertical="center"/>
    </xf>
    <xf numFmtId="0" fontId="71" fillId="0" borderId="49" xfId="0" applyFont="1" applyBorder="1" applyAlignment="1" applyProtection="1">
      <alignment horizontal="left" vertical="center"/>
      <protection/>
    </xf>
    <xf numFmtId="0" fontId="71" fillId="0" borderId="49" xfId="0" applyFont="1" applyBorder="1" applyAlignment="1" applyProtection="1">
      <alignment horizontal="center" vertical="center"/>
      <protection/>
    </xf>
    <xf numFmtId="2" fontId="71" fillId="0" borderId="50" xfId="0" applyNumberFormat="1" applyFont="1" applyBorder="1" applyAlignment="1" applyProtection="1">
      <alignment horizontal="center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right"/>
      <protection/>
    </xf>
    <xf numFmtId="2" fontId="14" fillId="0" borderId="24" xfId="0" applyNumberFormat="1" applyFont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9" xfId="0" applyNumberFormat="1" applyFont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70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4" fillId="0" borderId="24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2" fillId="15" borderId="5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3" fillId="0" borderId="16" xfId="0" applyFont="1" applyBorder="1" applyAlignment="1">
      <alignment/>
    </xf>
    <xf numFmtId="1" fontId="71" fillId="0" borderId="5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62" fillId="0" borderId="25" xfId="0" applyFont="1" applyBorder="1" applyAlignment="1">
      <alignment horizontal="right"/>
    </xf>
    <xf numFmtId="2" fontId="62" fillId="0" borderId="2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0" fontId="73" fillId="0" borderId="19" xfId="0" applyFont="1" applyBorder="1" applyAlignment="1">
      <alignment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3" fillId="0" borderId="0" xfId="0" applyFont="1" applyBorder="1" applyAlignment="1" applyProtection="1">
      <alignment horizontal="left"/>
      <protection/>
    </xf>
    <xf numFmtId="168" fontId="70" fillId="0" borderId="0" xfId="0" applyNumberFormat="1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1" fontId="70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left"/>
      <protection/>
    </xf>
    <xf numFmtId="0" fontId="70" fillId="0" borderId="0" xfId="0" applyFont="1" applyBorder="1" applyAlignment="1" applyProtection="1">
      <alignment horizontal="fill"/>
      <protection/>
    </xf>
    <xf numFmtId="1" fontId="7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0" xfId="24" applyFont="1" applyFill="1">
      <alignment/>
      <protection/>
    </xf>
    <xf numFmtId="0" fontId="17" fillId="0" borderId="0" xfId="24" applyFont="1">
      <alignment/>
      <protection/>
    </xf>
    <xf numFmtId="0" fontId="63" fillId="0" borderId="0" xfId="24" applyFont="1" applyAlignment="1">
      <alignment horizontal="right" vertical="top"/>
      <protection/>
    </xf>
    <xf numFmtId="0" fontId="18" fillId="0" borderId="0" xfId="24" applyFont="1" applyAlignment="1">
      <alignment horizontal="centerContinuous"/>
      <protection/>
    </xf>
    <xf numFmtId="0" fontId="18" fillId="0" borderId="0" xfId="24" applyFont="1" applyFill="1" applyAlignment="1">
      <alignment horizontal="centerContinuous"/>
      <protection/>
    </xf>
    <xf numFmtId="0" fontId="7" fillId="0" borderId="0" xfId="24" applyFont="1" applyFill="1">
      <alignment/>
      <protection/>
    </xf>
    <xf numFmtId="0" fontId="7" fillId="0" borderId="0" xfId="24" applyFont="1">
      <alignment/>
      <protection/>
    </xf>
    <xf numFmtId="0" fontId="16" fillId="0" borderId="0" xfId="24" applyFont="1" applyFill="1" applyBorder="1" applyAlignment="1" applyProtection="1">
      <alignment horizontal="centerContinuous"/>
      <protection/>
    </xf>
    <xf numFmtId="0" fontId="20" fillId="0" borderId="0" xfId="24" applyFont="1" applyAlignment="1">
      <alignment horizontal="centerContinuous"/>
      <protection/>
    </xf>
    <xf numFmtId="0" fontId="20" fillId="0" borderId="0" xfId="24" applyFont="1">
      <alignment/>
      <protection/>
    </xf>
    <xf numFmtId="0" fontId="20" fillId="0" borderId="0" xfId="24" applyFont="1" applyFill="1">
      <alignment/>
      <protection/>
    </xf>
    <xf numFmtId="0" fontId="77" fillId="0" borderId="0" xfId="24" applyFont="1" applyFill="1">
      <alignment/>
      <protection/>
    </xf>
    <xf numFmtId="0" fontId="7" fillId="0" borderId="22" xfId="24" applyFont="1" applyBorder="1">
      <alignment/>
      <protection/>
    </xf>
    <xf numFmtId="0" fontId="7" fillId="0" borderId="14" xfId="24" applyFont="1" applyBorder="1">
      <alignment/>
      <protection/>
    </xf>
    <xf numFmtId="0" fontId="7" fillId="0" borderId="14" xfId="24" applyFont="1" applyBorder="1" applyAlignment="1" applyProtection="1">
      <alignment horizontal="left"/>
      <protection/>
    </xf>
    <xf numFmtId="0" fontId="7" fillId="0" borderId="14" xfId="24" applyFont="1" applyFill="1" applyBorder="1">
      <alignment/>
      <protection/>
    </xf>
    <xf numFmtId="0" fontId="7" fillId="0" borderId="15" xfId="24" applyFont="1" applyFill="1" applyBorder="1">
      <alignment/>
      <protection/>
    </xf>
    <xf numFmtId="0" fontId="22" fillId="0" borderId="0" xfId="24" applyFont="1">
      <alignment/>
      <protection/>
    </xf>
    <xf numFmtId="0" fontId="22" fillId="0" borderId="16" xfId="24" applyFont="1" applyBorder="1">
      <alignment/>
      <protection/>
    </xf>
    <xf numFmtId="0" fontId="22" fillId="0" borderId="0" xfId="24" applyFont="1" applyBorder="1">
      <alignment/>
      <protection/>
    </xf>
    <xf numFmtId="0" fontId="11" fillId="0" borderId="0" xfId="24" applyFont="1" applyBorder="1" applyAlignment="1">
      <alignment horizontal="left"/>
      <protection/>
    </xf>
    <xf numFmtId="0" fontId="22" fillId="0" borderId="0" xfId="24" applyFont="1" applyFill="1">
      <alignment/>
      <protection/>
    </xf>
    <xf numFmtId="0" fontId="11" fillId="0" borderId="0" xfId="24" applyFont="1" applyBorder="1">
      <alignment/>
      <protection/>
    </xf>
    <xf numFmtId="0" fontId="22" fillId="0" borderId="0" xfId="24" applyFont="1" applyFill="1" applyBorder="1">
      <alignment/>
      <protection/>
    </xf>
    <xf numFmtId="0" fontId="22" fillId="0" borderId="2" xfId="24" applyFont="1" applyFill="1" applyBorder="1">
      <alignment/>
      <protection/>
    </xf>
    <xf numFmtId="0" fontId="7" fillId="0" borderId="16" xfId="24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>
      <alignment/>
      <protection/>
    </xf>
    <xf numFmtId="0" fontId="11" fillId="0" borderId="0" xfId="24" applyFont="1" applyBorder="1" applyProtection="1">
      <alignment/>
      <protection locked="0"/>
    </xf>
    <xf numFmtId="0" fontId="25" fillId="0" borderId="0" xfId="24" applyFont="1">
      <alignment/>
      <protection/>
    </xf>
    <xf numFmtId="0" fontId="26" fillId="0" borderId="16" xfId="24" applyFont="1" applyBorder="1" applyAlignment="1">
      <alignment horizontal="centerContinuous"/>
      <protection/>
    </xf>
    <xf numFmtId="0" fontId="26" fillId="0" borderId="0" xfId="24" applyFont="1" applyBorder="1" applyAlignment="1">
      <alignment horizontal="centerContinuous"/>
      <protection/>
    </xf>
    <xf numFmtId="0" fontId="26" fillId="0" borderId="0" xfId="24" applyFont="1" applyFill="1" applyBorder="1" applyAlignment="1">
      <alignment horizontal="centerContinuous"/>
      <protection/>
    </xf>
    <xf numFmtId="0" fontId="26" fillId="0" borderId="0" xfId="24" applyFont="1" applyAlignment="1">
      <alignment horizontal="centerContinuous"/>
      <protection/>
    </xf>
    <xf numFmtId="0" fontId="26" fillId="0" borderId="2" xfId="24" applyFont="1" applyFill="1" applyBorder="1" applyAlignment="1">
      <alignment horizontal="centerContinuous"/>
      <protection/>
    </xf>
    <xf numFmtId="0" fontId="7" fillId="0" borderId="0" xfId="24" applyFont="1" applyBorder="1" applyAlignment="1">
      <alignment horizontal="center"/>
      <protection/>
    </xf>
    <xf numFmtId="0" fontId="28" fillId="0" borderId="0" xfId="24" applyFont="1" applyBorder="1" applyAlignment="1">
      <alignment horizontal="left"/>
      <protection/>
    </xf>
    <xf numFmtId="0" fontId="0" fillId="0" borderId="44" xfId="24" applyFont="1" applyBorder="1" applyAlignment="1" applyProtection="1">
      <alignment horizontal="center"/>
      <protection/>
    </xf>
    <xf numFmtId="173" fontId="10" fillId="0" borderId="44" xfId="21" applyNumberFormat="1" applyFont="1" applyBorder="1" applyAlignment="1" applyProtection="1">
      <alignment horizontal="centerContinuous"/>
      <protection locked="0"/>
    </xf>
    <xf numFmtId="0" fontId="0" fillId="0" borderId="44" xfId="24" applyBorder="1" applyAlignment="1">
      <alignment horizontal="centerContinuous"/>
      <protection/>
    </xf>
    <xf numFmtId="173" fontId="10" fillId="0" borderId="0" xfId="21" applyNumberFormat="1" applyFont="1" applyBorder="1" applyAlignment="1">
      <alignment horizontal="center"/>
      <protection/>
    </xf>
    <xf numFmtId="0" fontId="5" fillId="16" borderId="22" xfId="24" applyFont="1" applyFill="1" applyBorder="1" applyAlignment="1">
      <alignment horizontal="left"/>
      <protection/>
    </xf>
    <xf numFmtId="2" fontId="7" fillId="16" borderId="14" xfId="24" applyNumberFormat="1" applyFont="1" applyFill="1" applyBorder="1" applyAlignment="1">
      <alignment horizontal="left"/>
      <protection/>
    </xf>
    <xf numFmtId="0" fontId="7" fillId="16" borderId="15" xfId="24" applyFont="1" applyFill="1" applyBorder="1" applyAlignment="1">
      <alignment horizontal="left"/>
      <protection/>
    </xf>
    <xf numFmtId="0" fontId="5" fillId="17" borderId="53" xfId="24" applyFont="1" applyFill="1" applyBorder="1">
      <alignment/>
      <protection/>
    </xf>
    <xf numFmtId="0" fontId="5" fillId="17" borderId="54" xfId="24" applyFont="1" applyFill="1" applyBorder="1">
      <alignment/>
      <protection/>
    </xf>
    <xf numFmtId="0" fontId="5" fillId="17" borderId="55" xfId="24" applyFont="1" applyFill="1" applyBorder="1">
      <alignment/>
      <protection/>
    </xf>
    <xf numFmtId="0" fontId="0" fillId="0" borderId="17" xfId="24" applyFont="1" applyBorder="1" applyAlignment="1" applyProtection="1">
      <alignment horizontal="center"/>
      <protection/>
    </xf>
    <xf numFmtId="173" fontId="10" fillId="0" borderId="17" xfId="21" applyNumberFormat="1" applyFont="1" applyBorder="1" applyAlignment="1" applyProtection="1">
      <alignment horizontal="centerContinuous"/>
      <protection locked="0"/>
    </xf>
    <xf numFmtId="0" fontId="0" fillId="0" borderId="18" xfId="24" applyBorder="1" applyAlignment="1">
      <alignment horizontal="centerContinuous"/>
      <protection/>
    </xf>
    <xf numFmtId="0" fontId="4" fillId="0" borderId="0" xfId="2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left"/>
      <protection/>
    </xf>
    <xf numFmtId="0" fontId="7" fillId="16" borderId="16" xfId="24" applyFont="1" applyFill="1" applyBorder="1" applyAlignment="1">
      <alignment horizontal="left"/>
      <protection/>
    </xf>
    <xf numFmtId="0" fontId="7" fillId="16" borderId="0" xfId="24" applyFont="1" applyFill="1" applyBorder="1" applyAlignment="1">
      <alignment horizontal="left"/>
      <protection/>
    </xf>
    <xf numFmtId="22" fontId="7" fillId="16" borderId="2" xfId="24" applyNumberFormat="1" applyFont="1" applyFill="1" applyBorder="1" applyAlignment="1">
      <alignment horizontal="left"/>
      <protection/>
    </xf>
    <xf numFmtId="22" fontId="7" fillId="0" borderId="0" xfId="24" applyNumberFormat="1" applyFont="1" applyBorder="1">
      <alignment/>
      <protection/>
    </xf>
    <xf numFmtId="0" fontId="5" fillId="17" borderId="56" xfId="24" applyFont="1" applyFill="1" applyBorder="1">
      <alignment/>
      <protection/>
    </xf>
    <xf numFmtId="0" fontId="5" fillId="17" borderId="0" xfId="24" applyFont="1" applyFill="1" applyBorder="1">
      <alignment/>
      <protection/>
    </xf>
    <xf numFmtId="0" fontId="5" fillId="17" borderId="57" xfId="24" applyFont="1" applyFill="1" applyBorder="1">
      <alignment/>
      <protection/>
    </xf>
    <xf numFmtId="0" fontId="5" fillId="0" borderId="0" xfId="24" applyFont="1" applyFill="1" applyBorder="1">
      <alignment/>
      <protection/>
    </xf>
    <xf numFmtId="0" fontId="5" fillId="0" borderId="2" xfId="24" applyFont="1" applyFill="1" applyBorder="1">
      <alignment/>
      <protection/>
    </xf>
    <xf numFmtId="0" fontId="7" fillId="0" borderId="0" xfId="24" applyFont="1" applyBorder="1" applyAlignment="1" applyProtection="1">
      <alignment horizontal="center"/>
      <protection/>
    </xf>
    <xf numFmtId="0" fontId="7" fillId="0" borderId="44" xfId="24" applyFont="1" applyBorder="1">
      <alignment/>
      <protection/>
    </xf>
    <xf numFmtId="0" fontId="7" fillId="16" borderId="19" xfId="24" applyFont="1" applyFill="1" applyBorder="1" applyAlignment="1">
      <alignment horizontal="left"/>
      <protection/>
    </xf>
    <xf numFmtId="0" fontId="5" fillId="16" borderId="20" xfId="24" applyFont="1" applyFill="1" applyBorder="1" applyAlignment="1">
      <alignment horizontal="left"/>
      <protection/>
    </xf>
    <xf numFmtId="0" fontId="5" fillId="16" borderId="21" xfId="24" applyFont="1" applyFill="1" applyBorder="1" applyAlignment="1">
      <alignment horizontal="left"/>
      <protection/>
    </xf>
    <xf numFmtId="0" fontId="5" fillId="17" borderId="58" xfId="24" applyFont="1" applyFill="1" applyBorder="1">
      <alignment/>
      <protection/>
    </xf>
    <xf numFmtId="0" fontId="5" fillId="17" borderId="59" xfId="24" applyFont="1" applyFill="1" applyBorder="1">
      <alignment/>
      <protection/>
    </xf>
    <xf numFmtId="0" fontId="5" fillId="17" borderId="60" xfId="24" applyFont="1" applyFill="1" applyBorder="1">
      <alignment/>
      <protection/>
    </xf>
    <xf numFmtId="0" fontId="31" fillId="0" borderId="24" xfId="24" applyFont="1" applyBorder="1" applyAlignment="1" applyProtection="1">
      <alignment horizontal="center" vertical="center" textRotation="90" wrapText="1"/>
      <protection/>
    </xf>
    <xf numFmtId="0" fontId="31" fillId="0" borderId="24" xfId="24" applyFont="1" applyBorder="1" applyAlignment="1">
      <alignment horizontal="center" vertical="center"/>
      <protection/>
    </xf>
    <xf numFmtId="0" fontId="31" fillId="0" borderId="24" xfId="24" applyFont="1" applyBorder="1" applyAlignment="1" applyProtection="1">
      <alignment horizontal="center" vertical="center"/>
      <protection/>
    </xf>
    <xf numFmtId="164" fontId="31" fillId="0" borderId="24" xfId="24" applyNumberFormat="1" applyFont="1" applyBorder="1" applyAlignment="1" applyProtection="1">
      <alignment horizontal="center" vertical="center" wrapText="1"/>
      <protection/>
    </xf>
    <xf numFmtId="0" fontId="31" fillId="0" borderId="24" xfId="24" applyFont="1" applyBorder="1" applyAlignment="1" applyProtection="1">
      <alignment horizontal="center" vertical="center" wrapText="1"/>
      <protection/>
    </xf>
    <xf numFmtId="0" fontId="78" fillId="9" borderId="24" xfId="24" applyFont="1" applyFill="1" applyBorder="1" applyAlignment="1" applyProtection="1">
      <alignment horizontal="center" vertical="center"/>
      <protection/>
    </xf>
    <xf numFmtId="0" fontId="31" fillId="0" borderId="17" xfId="24" applyFont="1" applyBorder="1" applyAlignment="1" applyProtection="1">
      <alignment horizontal="center" vertical="center"/>
      <protection/>
    </xf>
    <xf numFmtId="0" fontId="31" fillId="0" borderId="17" xfId="24" applyFont="1" applyFill="1" applyBorder="1" applyAlignment="1" applyProtection="1">
      <alignment horizontal="center" vertical="center" wrapText="1"/>
      <protection/>
    </xf>
    <xf numFmtId="0" fontId="31" fillId="0" borderId="24" xfId="24" applyFont="1" applyFill="1" applyBorder="1" applyAlignment="1" applyProtection="1">
      <alignment horizontal="center" vertical="center" wrapText="1"/>
      <protection/>
    </xf>
    <xf numFmtId="0" fontId="31" fillId="0" borderId="17" xfId="24" applyFont="1" applyBorder="1" applyAlignment="1" applyProtection="1">
      <alignment horizontal="center" vertical="center" wrapText="1"/>
      <protection/>
    </xf>
    <xf numFmtId="0" fontId="44" fillId="2" borderId="13" xfId="24" applyFont="1" applyFill="1" applyBorder="1" applyAlignment="1" applyProtection="1">
      <alignment horizontal="centerContinuous" vertical="center" wrapText="1"/>
      <protection/>
    </xf>
    <xf numFmtId="0" fontId="45" fillId="2" borderId="44" xfId="24" applyFont="1" applyFill="1" applyBorder="1" applyAlignment="1">
      <alignment horizontal="centerContinuous"/>
      <protection/>
    </xf>
    <xf numFmtId="0" fontId="44" fillId="2" borderId="10" xfId="24" applyFont="1" applyFill="1" applyBorder="1" applyAlignment="1">
      <alignment horizontal="centerContinuous" vertical="center"/>
      <protection/>
    </xf>
    <xf numFmtId="0" fontId="31" fillId="0" borderId="24" xfId="24" applyFont="1" applyFill="1" applyBorder="1" applyAlignment="1">
      <alignment horizontal="center" vertical="center" wrapText="1"/>
      <protection/>
    </xf>
    <xf numFmtId="0" fontId="31" fillId="0" borderId="24" xfId="24" applyFont="1" applyBorder="1" applyAlignment="1">
      <alignment horizontal="center" vertical="center" wrapText="1"/>
      <protection/>
    </xf>
    <xf numFmtId="0" fontId="31" fillId="16" borderId="24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/>
      <protection/>
    </xf>
    <xf numFmtId="0" fontId="7" fillId="0" borderId="5" xfId="24" applyFont="1" applyBorder="1">
      <alignment/>
      <protection/>
    </xf>
    <xf numFmtId="0" fontId="7" fillId="0" borderId="5" xfId="24" applyFont="1" applyBorder="1" applyAlignment="1">
      <alignment horizontal="center"/>
      <protection/>
    </xf>
    <xf numFmtId="0" fontId="79" fillId="9" borderId="5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18" borderId="5" xfId="24" applyFont="1" applyFill="1" applyBorder="1">
      <alignment/>
      <protection/>
    </xf>
    <xf numFmtId="0" fontId="7" fillId="2" borderId="34" xfId="24" applyFont="1" applyFill="1" applyBorder="1">
      <alignment/>
      <protection/>
    </xf>
    <xf numFmtId="0" fontId="7" fillId="2" borderId="35" xfId="24" applyFont="1" applyFill="1" applyBorder="1">
      <alignment/>
      <protection/>
    </xf>
    <xf numFmtId="0" fontId="7" fillId="2" borderId="39" xfId="24" applyFont="1" applyFill="1" applyBorder="1">
      <alignment/>
      <protection/>
    </xf>
    <xf numFmtId="7" fontId="10" fillId="0" borderId="5" xfId="24" applyNumberFormat="1" applyFont="1" applyFill="1" applyBorder="1" applyAlignment="1">
      <alignment/>
      <protection/>
    </xf>
    <xf numFmtId="7" fontId="10" fillId="0" borderId="0" xfId="24" applyNumberFormat="1" applyFont="1" applyBorder="1" applyAlignment="1">
      <alignment/>
      <protection/>
    </xf>
    <xf numFmtId="7" fontId="10" fillId="0" borderId="0" xfId="24" applyNumberFormat="1" applyFont="1" applyFill="1" applyBorder="1" applyAlignment="1">
      <alignment/>
      <protection/>
    </xf>
    <xf numFmtId="7" fontId="10" fillId="0" borderId="56" xfId="24" applyNumberFormat="1" applyFont="1" applyFill="1" applyBorder="1" applyAlignment="1">
      <alignment/>
      <protection/>
    </xf>
    <xf numFmtId="7" fontId="10" fillId="16" borderId="0" xfId="24" applyNumberFormat="1" applyFont="1" applyFill="1" applyBorder="1" applyAlignment="1">
      <alignment/>
      <protection/>
    </xf>
    <xf numFmtId="0" fontId="7" fillId="19" borderId="48" xfId="24" applyFont="1" applyFill="1" applyBorder="1">
      <alignment/>
      <protection/>
    </xf>
    <xf numFmtId="0" fontId="7" fillId="0" borderId="28" xfId="24" applyFont="1" applyBorder="1">
      <alignment/>
      <protection/>
    </xf>
    <xf numFmtId="0" fontId="7" fillId="0" borderId="47" xfId="24" applyFont="1" applyBorder="1">
      <alignment/>
      <protection/>
    </xf>
    <xf numFmtId="0" fontId="7" fillId="20" borderId="28" xfId="24" applyFont="1" applyFill="1" applyBorder="1" applyProtection="1">
      <alignment/>
      <protection locked="0"/>
    </xf>
    <xf numFmtId="0" fontId="7" fillId="20" borderId="28" xfId="24" applyFont="1" applyFill="1" applyBorder="1" applyAlignment="1" applyProtection="1">
      <alignment horizontal="center"/>
      <protection locked="0"/>
    </xf>
    <xf numFmtId="0" fontId="79" fillId="9" borderId="28" xfId="24" applyFont="1" applyFill="1" applyBorder="1" applyProtection="1">
      <alignment/>
      <protection locked="0"/>
    </xf>
    <xf numFmtId="22" fontId="7" fillId="20" borderId="47" xfId="24" applyNumberFormat="1" applyFont="1" applyFill="1" applyBorder="1" applyAlignment="1" applyProtection="1">
      <alignment horizontal="center"/>
      <protection locked="0"/>
    </xf>
    <xf numFmtId="0" fontId="7" fillId="20" borderId="0" xfId="24" applyFont="1" applyFill="1" applyBorder="1" applyProtection="1">
      <alignment/>
      <protection locked="0"/>
    </xf>
    <xf numFmtId="0" fontId="7" fillId="0" borderId="28" xfId="24" applyFont="1" applyFill="1" applyBorder="1">
      <alignment/>
      <protection/>
    </xf>
    <xf numFmtId="0" fontId="7" fillId="20" borderId="47" xfId="24" applyFont="1" applyFill="1" applyBorder="1" applyProtection="1">
      <alignment/>
      <protection locked="0"/>
    </xf>
    <xf numFmtId="168" fontId="9" fillId="2" borderId="61" xfId="24" applyNumberFormat="1" applyFont="1" applyFill="1" applyBorder="1" applyAlignment="1" applyProtection="1" quotePrefix="1">
      <alignment horizontal="center"/>
      <protection/>
    </xf>
    <xf numFmtId="4" fontId="9" fillId="2" borderId="61" xfId="24" applyNumberFormat="1" applyFont="1" applyFill="1" applyBorder="1" applyAlignment="1" applyProtection="1">
      <alignment horizontal="center"/>
      <protection/>
    </xf>
    <xf numFmtId="0" fontId="10" fillId="0" borderId="47" xfId="24" applyFont="1" applyFill="1" applyBorder="1">
      <alignment/>
      <protection/>
    </xf>
    <xf numFmtId="0" fontId="10" fillId="20" borderId="47" xfId="24" applyFont="1" applyFill="1" applyBorder="1" applyProtection="1">
      <alignment/>
      <protection locked="0"/>
    </xf>
    <xf numFmtId="0" fontId="10" fillId="0" borderId="62" xfId="24" applyFont="1" applyFill="1" applyBorder="1">
      <alignment/>
      <protection/>
    </xf>
    <xf numFmtId="0" fontId="10" fillId="16" borderId="47" xfId="24" applyFont="1" applyFill="1" applyBorder="1">
      <alignment/>
      <protection/>
    </xf>
    <xf numFmtId="0" fontId="10" fillId="0" borderId="47" xfId="24" applyFont="1" applyBorder="1">
      <alignment/>
      <protection/>
    </xf>
    <xf numFmtId="0" fontId="7" fillId="0" borderId="16" xfId="24" applyFont="1" applyFill="1" applyBorder="1">
      <alignment/>
      <protection/>
    </xf>
    <xf numFmtId="0" fontId="7" fillId="0" borderId="63" xfId="24" applyFont="1" applyFill="1" applyBorder="1" applyAlignment="1">
      <alignment horizontal="center"/>
      <protection/>
    </xf>
    <xf numFmtId="0" fontId="7" fillId="0" borderId="64" xfId="24" applyFont="1" applyFill="1" applyBorder="1" applyAlignment="1">
      <alignment horizontal="center"/>
      <protection/>
    </xf>
    <xf numFmtId="0" fontId="7" fillId="20" borderId="65" xfId="21" applyFont="1" applyFill="1" applyBorder="1" applyAlignment="1" applyProtection="1">
      <alignment horizontal="center"/>
      <protection/>
    </xf>
    <xf numFmtId="0" fontId="7" fillId="20" borderId="63" xfId="21" applyFont="1" applyFill="1" applyBorder="1" applyAlignment="1" applyProtection="1">
      <alignment horizontal="center"/>
      <protection/>
    </xf>
    <xf numFmtId="2" fontId="7" fillId="20" borderId="63" xfId="21" applyNumberFormat="1" applyFont="1" applyFill="1" applyBorder="1" applyAlignment="1" applyProtection="1">
      <alignment horizontal="center"/>
      <protection/>
    </xf>
    <xf numFmtId="173" fontId="79" fillId="9" borderId="63" xfId="24" applyNumberFormat="1" applyFont="1" applyFill="1" applyBorder="1" applyProtection="1">
      <alignment/>
      <protection locked="0"/>
    </xf>
    <xf numFmtId="22" fontId="7" fillId="20" borderId="63" xfId="23" applyNumberFormat="1" applyFont="1" applyFill="1" applyBorder="1" applyAlignment="1">
      <alignment horizontal="center"/>
      <protection/>
    </xf>
    <xf numFmtId="22" fontId="7" fillId="20" borderId="63" xfId="23" applyNumberFormat="1" applyFont="1" applyFill="1" applyBorder="1" applyAlignment="1" applyProtection="1">
      <alignment horizontal="center"/>
      <protection/>
    </xf>
    <xf numFmtId="4" fontId="7" fillId="0" borderId="63" xfId="24" applyNumberFormat="1" applyFont="1" applyFill="1" applyBorder="1" applyAlignment="1" applyProtection="1" quotePrefix="1">
      <alignment horizontal="center"/>
      <protection/>
    </xf>
    <xf numFmtId="164" fontId="7" fillId="0" borderId="63" xfId="24" applyNumberFormat="1" applyFont="1" applyFill="1" applyBorder="1" applyAlignment="1" applyProtection="1" quotePrefix="1">
      <alignment horizontal="center"/>
      <protection/>
    </xf>
    <xf numFmtId="168" fontId="7" fillId="20" borderId="64" xfId="24" applyNumberFormat="1" applyFont="1" applyFill="1" applyBorder="1" applyAlignment="1" applyProtection="1">
      <alignment horizontal="center"/>
      <protection locked="0"/>
    </xf>
    <xf numFmtId="172" fontId="7" fillId="0" borderId="63" xfId="24" applyNumberFormat="1" applyFont="1" applyFill="1" applyBorder="1" applyAlignment="1" applyProtection="1" quotePrefix="1">
      <alignment horizontal="center"/>
      <protection/>
    </xf>
    <xf numFmtId="168" fontId="7" fillId="0" borderId="63" xfId="24" applyNumberFormat="1" applyFont="1" applyFill="1" applyBorder="1" applyAlignment="1" applyProtection="1">
      <alignment horizontal="center"/>
      <protection/>
    </xf>
    <xf numFmtId="168" fontId="43" fillId="2" borderId="63" xfId="21" applyNumberFormat="1" applyFont="1" applyFill="1" applyBorder="1" applyAlignment="1" applyProtection="1" quotePrefix="1">
      <alignment horizontal="center"/>
      <protection/>
    </xf>
    <xf numFmtId="168" fontId="43" fillId="2" borderId="63" xfId="21" applyNumberFormat="1" applyFont="1" applyFill="1" applyBorder="1" applyAlignment="1" applyProtection="1" quotePrefix="1">
      <alignment horizontal="center"/>
      <protection/>
    </xf>
    <xf numFmtId="4" fontId="43" fillId="2" borderId="63" xfId="21" applyNumberFormat="1" applyFont="1" applyFill="1" applyBorder="1" applyAlignment="1">
      <alignment horizontal="center"/>
      <protection/>
    </xf>
    <xf numFmtId="4" fontId="10" fillId="0" borderId="64" xfId="24" applyNumberFormat="1" applyFont="1" applyFill="1" applyBorder="1" applyAlignment="1">
      <alignment horizontal="right"/>
      <protection/>
    </xf>
    <xf numFmtId="4" fontId="9" fillId="0" borderId="63" xfId="24" applyNumberFormat="1" applyFont="1" applyFill="1" applyBorder="1" applyAlignment="1" applyProtection="1">
      <alignment horizontal="center"/>
      <protection/>
    </xf>
    <xf numFmtId="175" fontId="10" fillId="20" borderId="64" xfId="24" applyNumberFormat="1" applyFont="1" applyFill="1" applyBorder="1" applyAlignment="1" applyProtection="1">
      <alignment horizontal="right"/>
      <protection locked="0"/>
    </xf>
    <xf numFmtId="3" fontId="10" fillId="0" borderId="64" xfId="24" applyNumberFormat="1" applyFont="1" applyFill="1" applyBorder="1" applyAlignment="1">
      <alignment horizontal="right"/>
      <protection/>
    </xf>
    <xf numFmtId="4" fontId="10" fillId="20" borderId="63" xfId="24" applyNumberFormat="1" applyFont="1" applyFill="1" applyBorder="1" applyAlignment="1" applyProtection="1">
      <alignment horizontal="right"/>
      <protection locked="0"/>
    </xf>
    <xf numFmtId="169" fontId="10" fillId="0" borderId="63" xfId="24" applyNumberFormat="1" applyFont="1" applyFill="1" applyBorder="1" applyAlignment="1">
      <alignment horizontal="center"/>
      <protection/>
    </xf>
    <xf numFmtId="4" fontId="10" fillId="0" borderId="66" xfId="24" applyNumberFormat="1" applyFont="1" applyFill="1" applyBorder="1" applyAlignment="1">
      <alignment horizontal="right"/>
      <protection/>
    </xf>
    <xf numFmtId="4" fontId="80" fillId="16" borderId="64" xfId="24" applyNumberFormat="1" applyFont="1" applyFill="1" applyBorder="1" applyAlignment="1">
      <alignment horizontal="right"/>
      <protection/>
    </xf>
    <xf numFmtId="176" fontId="80" fillId="16" borderId="64" xfId="24" applyNumberFormat="1" applyFont="1" applyFill="1" applyBorder="1" applyAlignment="1">
      <alignment horizontal="right"/>
      <protection/>
    </xf>
    <xf numFmtId="4" fontId="10" fillId="0" borderId="63" xfId="24" applyNumberFormat="1" applyFont="1" applyFill="1" applyBorder="1" applyAlignment="1">
      <alignment horizontal="right"/>
      <protection/>
    </xf>
    <xf numFmtId="2" fontId="7" fillId="0" borderId="2" xfId="24" applyNumberFormat="1" applyFont="1" applyFill="1" applyBorder="1" applyAlignment="1">
      <alignment horizontal="center"/>
      <protection/>
    </xf>
    <xf numFmtId="0" fontId="7" fillId="0" borderId="1" xfId="24" applyFont="1" applyFill="1" applyBorder="1" applyAlignment="1">
      <alignment horizontal="center"/>
      <protection/>
    </xf>
    <xf numFmtId="0" fontId="7" fillId="0" borderId="8" xfId="24" applyFont="1" applyFill="1" applyBorder="1" applyAlignment="1">
      <alignment horizontal="center"/>
      <protection/>
    </xf>
    <xf numFmtId="0" fontId="7" fillId="20" borderId="12" xfId="21" applyFont="1" applyFill="1" applyBorder="1" applyAlignment="1" applyProtection="1">
      <alignment horizontal="center"/>
      <protection/>
    </xf>
    <xf numFmtId="0" fontId="7" fillId="20" borderId="1" xfId="21" applyFont="1" applyFill="1" applyBorder="1" applyAlignment="1" applyProtection="1">
      <alignment horizontal="center"/>
      <protection/>
    </xf>
    <xf numFmtId="2" fontId="7" fillId="20" borderId="1" xfId="21" applyNumberFormat="1" applyFont="1" applyFill="1" applyBorder="1" applyAlignment="1" applyProtection="1">
      <alignment horizontal="center"/>
      <protection/>
    </xf>
    <xf numFmtId="22" fontId="7" fillId="20" borderId="8" xfId="21" applyNumberFormat="1" applyFont="1" applyFill="1" applyBorder="1" applyAlignment="1" applyProtection="1">
      <alignment horizontal="center"/>
      <protection locked="0"/>
    </xf>
    <xf numFmtId="22" fontId="7" fillId="20" borderId="67" xfId="21" applyNumberFormat="1" applyFont="1" applyFill="1" applyBorder="1" applyAlignment="1" applyProtection="1">
      <alignment horizontal="center"/>
      <protection locked="0"/>
    </xf>
    <xf numFmtId="4" fontId="7" fillId="0" borderId="1" xfId="24" applyNumberFormat="1" applyFont="1" applyFill="1" applyBorder="1" applyAlignment="1" applyProtection="1" quotePrefix="1">
      <alignment horizontal="center"/>
      <protection/>
    </xf>
    <xf numFmtId="164" fontId="7" fillId="0" borderId="1" xfId="24" applyNumberFormat="1" applyFont="1" applyFill="1" applyBorder="1" applyAlignment="1" applyProtection="1" quotePrefix="1">
      <alignment horizontal="center"/>
      <protection/>
    </xf>
    <xf numFmtId="168" fontId="7" fillId="20" borderId="8" xfId="24" applyNumberFormat="1" applyFont="1" applyFill="1" applyBorder="1" applyAlignment="1" applyProtection="1">
      <alignment horizontal="center"/>
      <protection locked="0"/>
    </xf>
    <xf numFmtId="172" fontId="7" fillId="0" borderId="1" xfId="24" applyNumberFormat="1" applyFont="1" applyFill="1" applyBorder="1" applyAlignment="1" applyProtection="1" quotePrefix="1">
      <alignment horizontal="center"/>
      <protection/>
    </xf>
    <xf numFmtId="168" fontId="7" fillId="0" borderId="1" xfId="24" applyNumberFormat="1" applyFont="1" applyFill="1" applyBorder="1" applyAlignment="1" applyProtection="1">
      <alignment horizontal="center"/>
      <protection/>
    </xf>
    <xf numFmtId="168" fontId="43" fillId="2" borderId="1" xfId="24" applyNumberFormat="1" applyFont="1" applyFill="1" applyBorder="1" applyAlignment="1" applyProtection="1" quotePrefix="1">
      <alignment horizontal="center"/>
      <protection/>
    </xf>
    <xf numFmtId="168" fontId="9" fillId="2" borderId="1" xfId="24" applyNumberFormat="1" applyFont="1" applyFill="1" applyBorder="1" applyAlignment="1" applyProtection="1" quotePrefix="1">
      <alignment horizontal="center"/>
      <protection/>
    </xf>
    <xf numFmtId="4" fontId="9" fillId="2" borderId="1" xfId="24" applyNumberFormat="1" applyFont="1" applyFill="1" applyBorder="1" applyAlignment="1" applyProtection="1">
      <alignment horizontal="center"/>
      <protection/>
    </xf>
    <xf numFmtId="4" fontId="10" fillId="0" borderId="8" xfId="24" applyNumberFormat="1" applyFont="1" applyFill="1" applyBorder="1" applyAlignment="1">
      <alignment horizontal="right"/>
      <protection/>
    </xf>
    <xf numFmtId="4" fontId="9" fillId="0" borderId="1" xfId="24" applyNumberFormat="1" applyFont="1" applyFill="1" applyBorder="1" applyAlignment="1" applyProtection="1">
      <alignment horizontal="center"/>
      <protection/>
    </xf>
    <xf numFmtId="175" fontId="10" fillId="20" borderId="8" xfId="24" applyNumberFormat="1" applyFont="1" applyFill="1" applyBorder="1" applyAlignment="1" applyProtection="1">
      <alignment horizontal="right"/>
      <protection locked="0"/>
    </xf>
    <xf numFmtId="3" fontId="10" fillId="0" borderId="8" xfId="24" applyNumberFormat="1" applyFont="1" applyFill="1" applyBorder="1" applyAlignment="1">
      <alignment horizontal="right"/>
      <protection/>
    </xf>
    <xf numFmtId="4" fontId="10" fillId="20" borderId="4" xfId="24" applyNumberFormat="1" applyFont="1" applyFill="1" applyBorder="1" applyAlignment="1" applyProtection="1">
      <alignment horizontal="right"/>
      <protection locked="0"/>
    </xf>
    <xf numFmtId="169" fontId="10" fillId="0" borderId="4" xfId="24" applyNumberFormat="1" applyFont="1" applyFill="1" applyBorder="1" applyAlignment="1">
      <alignment horizontal="center"/>
      <protection/>
    </xf>
    <xf numFmtId="4" fontId="10" fillId="0" borderId="68" xfId="24" applyNumberFormat="1" applyFont="1" applyFill="1" applyBorder="1" applyAlignment="1">
      <alignment horizontal="right"/>
      <protection/>
    </xf>
    <xf numFmtId="4" fontId="10" fillId="16" borderId="4" xfId="24" applyNumberFormat="1" applyFont="1" applyFill="1" applyBorder="1" applyAlignment="1">
      <alignment horizontal="right"/>
      <protection/>
    </xf>
    <xf numFmtId="176" fontId="10" fillId="16" borderId="8" xfId="24" applyNumberFormat="1" applyFont="1" applyFill="1" applyBorder="1" applyAlignment="1">
      <alignment horizontal="right"/>
      <protection/>
    </xf>
    <xf numFmtId="168" fontId="9" fillId="2" borderId="3" xfId="24" applyNumberFormat="1" applyFont="1" applyFill="1" applyBorder="1" applyAlignment="1" applyProtection="1" quotePrefix="1">
      <alignment horizontal="center"/>
      <protection/>
    </xf>
    <xf numFmtId="4" fontId="9" fillId="2" borderId="3" xfId="24" applyNumberFormat="1" applyFont="1" applyFill="1" applyBorder="1" applyAlignment="1" applyProtection="1">
      <alignment horizontal="center"/>
      <protection/>
    </xf>
    <xf numFmtId="4" fontId="10" fillId="0" borderId="3" xfId="24" applyNumberFormat="1" applyFont="1" applyFill="1" applyBorder="1" applyAlignment="1">
      <alignment horizontal="right"/>
      <protection/>
    </xf>
    <xf numFmtId="0" fontId="7" fillId="20" borderId="1" xfId="21" applyFont="1" applyFill="1" applyBorder="1" applyAlignment="1" applyProtection="1">
      <alignment horizontal="center"/>
      <protection locked="0"/>
    </xf>
    <xf numFmtId="164" fontId="7" fillId="20" borderId="1" xfId="21" applyNumberFormat="1" applyFont="1" applyFill="1" applyBorder="1" applyAlignment="1" applyProtection="1">
      <alignment horizontal="center"/>
      <protection locked="0"/>
    </xf>
    <xf numFmtId="165" fontId="7" fillId="20" borderId="1" xfId="21" applyNumberFormat="1" applyFont="1" applyFill="1" applyBorder="1" applyAlignment="1" applyProtection="1">
      <alignment horizontal="center"/>
      <protection locked="0"/>
    </xf>
    <xf numFmtId="22" fontId="7" fillId="20" borderId="1" xfId="21" applyNumberFormat="1" applyFont="1" applyFill="1" applyBorder="1" applyAlignment="1" applyProtection="1">
      <alignment horizontal="center"/>
      <protection locked="0"/>
    </xf>
    <xf numFmtId="168" fontId="7" fillId="20" borderId="1" xfId="24" applyNumberFormat="1" applyFont="1" applyFill="1" applyBorder="1" applyAlignment="1" applyProtection="1">
      <alignment horizontal="center"/>
      <protection locked="0"/>
    </xf>
    <xf numFmtId="4" fontId="10" fillId="0" borderId="1" xfId="24" applyNumberFormat="1" applyFont="1" applyFill="1" applyBorder="1" applyAlignment="1">
      <alignment horizontal="right"/>
      <protection/>
    </xf>
    <xf numFmtId="175" fontId="10" fillId="20" borderId="1" xfId="24" applyNumberFormat="1" applyFont="1" applyFill="1" applyBorder="1" applyAlignment="1" applyProtection="1">
      <alignment horizontal="right"/>
      <protection locked="0"/>
    </xf>
    <xf numFmtId="3" fontId="10" fillId="0" borderId="1" xfId="24" applyNumberFormat="1" applyFont="1" applyFill="1" applyBorder="1" applyAlignment="1">
      <alignment horizontal="right"/>
      <protection/>
    </xf>
    <xf numFmtId="4" fontId="10" fillId="20" borderId="1" xfId="24" applyNumberFormat="1" applyFont="1" applyFill="1" applyBorder="1" applyAlignment="1" applyProtection="1">
      <alignment horizontal="right"/>
      <protection locked="0"/>
    </xf>
    <xf numFmtId="4" fontId="10" fillId="16" borderId="1" xfId="24" applyNumberFormat="1" applyFont="1" applyFill="1" applyBorder="1" applyAlignment="1">
      <alignment horizontal="right"/>
      <protection/>
    </xf>
    <xf numFmtId="176" fontId="10" fillId="16" borderId="1" xfId="24" applyNumberFormat="1" applyFont="1" applyFill="1" applyBorder="1" applyAlignment="1">
      <alignment horizontal="right"/>
      <protection/>
    </xf>
    <xf numFmtId="0" fontId="7" fillId="0" borderId="61" xfId="24" applyFont="1" applyFill="1" applyBorder="1" applyAlignment="1">
      <alignment horizontal="center"/>
      <protection/>
    </xf>
    <xf numFmtId="0" fontId="7" fillId="0" borderId="69" xfId="24" applyFont="1" applyFill="1" applyBorder="1" applyAlignment="1">
      <alignment horizontal="center"/>
      <protection/>
    </xf>
    <xf numFmtId="0" fontId="7" fillId="20" borderId="61" xfId="21" applyFont="1" applyFill="1" applyBorder="1" applyAlignment="1" applyProtection="1">
      <alignment horizontal="center"/>
      <protection locked="0"/>
    </xf>
    <xf numFmtId="164" fontId="7" fillId="20" borderId="61" xfId="21" applyNumberFormat="1" applyFont="1" applyFill="1" applyBorder="1" applyAlignment="1" applyProtection="1">
      <alignment horizontal="center"/>
      <protection locked="0"/>
    </xf>
    <xf numFmtId="165" fontId="7" fillId="20" borderId="61" xfId="21" applyNumberFormat="1" applyFont="1" applyFill="1" applyBorder="1" applyAlignment="1" applyProtection="1">
      <alignment horizontal="center"/>
      <protection locked="0"/>
    </xf>
    <xf numFmtId="22" fontId="7" fillId="20" borderId="61" xfId="21" applyNumberFormat="1" applyFont="1" applyFill="1" applyBorder="1" applyAlignment="1" applyProtection="1">
      <alignment horizontal="center"/>
      <protection locked="0"/>
    </xf>
    <xf numFmtId="4" fontId="7" fillId="0" borderId="61" xfId="24" applyNumberFormat="1" applyFont="1" applyFill="1" applyBorder="1" applyAlignment="1" applyProtection="1" quotePrefix="1">
      <alignment horizontal="center"/>
      <protection/>
    </xf>
    <xf numFmtId="164" fontId="7" fillId="0" borderId="61" xfId="24" applyNumberFormat="1" applyFont="1" applyFill="1" applyBorder="1" applyAlignment="1" applyProtection="1" quotePrefix="1">
      <alignment horizontal="center"/>
      <protection/>
    </xf>
    <xf numFmtId="168" fontId="7" fillId="20" borderId="61" xfId="24" applyNumberFormat="1" applyFont="1" applyFill="1" applyBorder="1" applyAlignment="1" applyProtection="1">
      <alignment horizontal="center"/>
      <protection locked="0"/>
    </xf>
    <xf numFmtId="172" fontId="7" fillId="0" borderId="61" xfId="24" applyNumberFormat="1" applyFont="1" applyFill="1" applyBorder="1" applyAlignment="1" applyProtection="1" quotePrefix="1">
      <alignment horizontal="center"/>
      <protection/>
    </xf>
    <xf numFmtId="168" fontId="7" fillId="0" borderId="61" xfId="24" applyNumberFormat="1" applyFont="1" applyFill="1" applyBorder="1" applyAlignment="1" applyProtection="1">
      <alignment horizontal="center"/>
      <protection/>
    </xf>
    <xf numFmtId="168" fontId="43" fillId="2" borderId="61" xfId="24" applyNumberFormat="1" applyFont="1" applyFill="1" applyBorder="1" applyAlignment="1" applyProtection="1" quotePrefix="1">
      <alignment horizontal="center"/>
      <protection/>
    </xf>
    <xf numFmtId="4" fontId="10" fillId="0" borderId="61" xfId="24" applyNumberFormat="1" applyFont="1" applyFill="1" applyBorder="1" applyAlignment="1">
      <alignment horizontal="right"/>
      <protection/>
    </xf>
    <xf numFmtId="4" fontId="9" fillId="0" borderId="61" xfId="24" applyNumberFormat="1" applyFont="1" applyFill="1" applyBorder="1" applyAlignment="1" applyProtection="1">
      <alignment horizontal="center"/>
      <protection/>
    </xf>
    <xf numFmtId="175" fontId="10" fillId="20" borderId="61" xfId="24" applyNumberFormat="1" applyFont="1" applyFill="1" applyBorder="1" applyAlignment="1" applyProtection="1">
      <alignment horizontal="right"/>
      <protection locked="0"/>
    </xf>
    <xf numFmtId="3" fontId="10" fillId="0" borderId="61" xfId="24" applyNumberFormat="1" applyFont="1" applyFill="1" applyBorder="1" applyAlignment="1">
      <alignment horizontal="right"/>
      <protection/>
    </xf>
    <xf numFmtId="4" fontId="10" fillId="20" borderId="61" xfId="24" applyNumberFormat="1" applyFont="1" applyFill="1" applyBorder="1" applyAlignment="1" applyProtection="1">
      <alignment horizontal="right"/>
      <protection locked="0"/>
    </xf>
    <xf numFmtId="4" fontId="10" fillId="16" borderId="61" xfId="24" applyNumberFormat="1" applyFont="1" applyFill="1" applyBorder="1" applyAlignment="1">
      <alignment horizontal="right"/>
      <protection/>
    </xf>
    <xf numFmtId="176" fontId="10" fillId="16" borderId="61" xfId="24" applyNumberFormat="1" applyFont="1" applyFill="1" applyBorder="1" applyAlignment="1">
      <alignment horizontal="right"/>
      <protection/>
    </xf>
    <xf numFmtId="0" fontId="7" fillId="20" borderId="70" xfId="22" applyFont="1" applyFill="1" applyBorder="1" applyAlignment="1" applyProtection="1">
      <alignment horizontal="center"/>
      <protection locked="0"/>
    </xf>
    <xf numFmtId="164" fontId="7" fillId="20" borderId="70" xfId="22" applyNumberFormat="1" applyFont="1" applyFill="1" applyBorder="1" applyAlignment="1" applyProtection="1">
      <alignment horizontal="center"/>
      <protection locked="0"/>
    </xf>
    <xf numFmtId="165" fontId="7" fillId="20" borderId="70" xfId="22" applyNumberFormat="1" applyFont="1" applyFill="1" applyBorder="1" applyAlignment="1" applyProtection="1">
      <alignment horizontal="center"/>
      <protection locked="0"/>
    </xf>
    <xf numFmtId="22" fontId="7" fillId="20" borderId="71" xfId="22" applyNumberFormat="1" applyFont="1" applyFill="1" applyBorder="1" applyAlignment="1" applyProtection="1">
      <alignment horizontal="center"/>
      <protection locked="0"/>
    </xf>
    <xf numFmtId="22" fontId="7" fillId="20" borderId="72" xfId="22" applyNumberFormat="1" applyFont="1" applyFill="1" applyBorder="1" applyAlignment="1" applyProtection="1">
      <alignment horizontal="center"/>
      <protection locked="0"/>
    </xf>
    <xf numFmtId="168" fontId="43" fillId="2" borderId="63" xfId="24" applyNumberFormat="1" applyFont="1" applyFill="1" applyBorder="1" applyAlignment="1" applyProtection="1" quotePrefix="1">
      <alignment horizontal="center"/>
      <protection/>
    </xf>
    <xf numFmtId="168" fontId="9" fillId="2" borderId="63" xfId="24" applyNumberFormat="1" applyFont="1" applyFill="1" applyBorder="1" applyAlignment="1" applyProtection="1" quotePrefix="1">
      <alignment horizontal="center"/>
      <protection/>
    </xf>
    <xf numFmtId="4" fontId="9" fillId="2" borderId="63" xfId="24" applyNumberFormat="1" applyFont="1" applyFill="1" applyBorder="1" applyAlignment="1" applyProtection="1">
      <alignment horizontal="center"/>
      <protection/>
    </xf>
    <xf numFmtId="169" fontId="10" fillId="0" borderId="61" xfId="24" applyNumberFormat="1" applyFont="1" applyFill="1" applyBorder="1" applyAlignment="1">
      <alignment horizontal="center"/>
      <protection/>
    </xf>
    <xf numFmtId="4" fontId="10" fillId="0" borderId="69" xfId="24" applyNumberFormat="1" applyFont="1" applyFill="1" applyBorder="1" applyAlignment="1">
      <alignment horizontal="right"/>
      <protection/>
    </xf>
    <xf numFmtId="0" fontId="7" fillId="19" borderId="9" xfId="24" applyFont="1" applyFill="1" applyBorder="1">
      <alignment/>
      <protection/>
    </xf>
    <xf numFmtId="0" fontId="7" fillId="0" borderId="9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20" borderId="9" xfId="24" applyFont="1" applyFill="1" applyBorder="1" applyAlignment="1" applyProtection="1">
      <alignment horizontal="center"/>
      <protection locked="0"/>
    </xf>
    <xf numFmtId="164" fontId="9" fillId="20" borderId="9" xfId="24" applyNumberFormat="1" applyFont="1" applyFill="1" applyBorder="1" applyAlignment="1" applyProtection="1">
      <alignment horizontal="center"/>
      <protection locked="0"/>
    </xf>
    <xf numFmtId="173" fontId="79" fillId="9" borderId="9" xfId="24" applyNumberFormat="1" applyFont="1" applyFill="1" applyBorder="1" applyAlignment="1" applyProtection="1">
      <alignment horizontal="center"/>
      <protection locked="0"/>
    </xf>
    <xf numFmtId="168" fontId="7" fillId="20" borderId="9" xfId="24" applyNumberFormat="1" applyFont="1" applyFill="1" applyBorder="1" applyAlignment="1" applyProtection="1">
      <alignment horizontal="center"/>
      <protection locked="0"/>
    </xf>
    <xf numFmtId="168" fontId="7" fillId="0" borderId="9" xfId="24" applyNumberFormat="1" applyFont="1" applyFill="1" applyBorder="1" applyAlignment="1" applyProtection="1">
      <alignment horizontal="center"/>
      <protection/>
    </xf>
    <xf numFmtId="172" fontId="7" fillId="0" borderId="9" xfId="24" applyNumberFormat="1" applyFont="1" applyFill="1" applyBorder="1" applyAlignment="1" applyProtection="1" quotePrefix="1">
      <alignment horizontal="center"/>
      <protection/>
    </xf>
    <xf numFmtId="168" fontId="43" fillId="2" borderId="50" xfId="24" applyNumberFormat="1" applyFont="1" applyFill="1" applyBorder="1" applyAlignment="1" applyProtection="1" quotePrefix="1">
      <alignment horizontal="center"/>
      <protection/>
    </xf>
    <xf numFmtId="168" fontId="43" fillId="2" borderId="50" xfId="24" applyNumberFormat="1" applyFont="1" applyFill="1" applyBorder="1" applyAlignment="1" applyProtection="1" quotePrefix="1">
      <alignment horizontal="center"/>
      <protection/>
    </xf>
    <xf numFmtId="4" fontId="43" fillId="2" borderId="50" xfId="24" applyNumberFormat="1" applyFont="1" applyFill="1" applyBorder="1" applyAlignment="1" applyProtection="1">
      <alignment horizontal="center"/>
      <protection/>
    </xf>
    <xf numFmtId="2" fontId="10" fillId="0" borderId="9" xfId="24" applyNumberFormat="1" applyFont="1" applyFill="1" applyBorder="1" applyAlignment="1">
      <alignment horizontal="right"/>
      <protection/>
    </xf>
    <xf numFmtId="4" fontId="9" fillId="0" borderId="9" xfId="24" applyNumberFormat="1" applyFont="1" applyBorder="1" applyAlignment="1" applyProtection="1">
      <alignment horizontal="center"/>
      <protection/>
    </xf>
    <xf numFmtId="0" fontId="10" fillId="20" borderId="9" xfId="24" applyFont="1" applyFill="1" applyBorder="1" applyProtection="1">
      <alignment/>
      <protection locked="0"/>
    </xf>
    <xf numFmtId="0" fontId="10" fillId="0" borderId="9" xfId="24" applyFont="1" applyFill="1" applyBorder="1">
      <alignment/>
      <protection/>
    </xf>
    <xf numFmtId="169" fontId="10" fillId="0" borderId="9" xfId="24" applyNumberFormat="1" applyFont="1" applyFill="1" applyBorder="1" applyAlignment="1">
      <alignment horizontal="center"/>
      <protection/>
    </xf>
    <xf numFmtId="4" fontId="10" fillId="16" borderId="9" xfId="24" applyNumberFormat="1" applyFont="1" applyFill="1" applyBorder="1" applyAlignment="1">
      <alignment horizontal="right"/>
      <protection/>
    </xf>
    <xf numFmtId="0" fontId="10" fillId="16" borderId="9" xfId="24" applyFont="1" applyFill="1" applyBorder="1">
      <alignment/>
      <protection/>
    </xf>
    <xf numFmtId="168" fontId="43" fillId="2" borderId="9" xfId="24" applyNumberFormat="1" applyFont="1" applyFill="1" applyBorder="1" applyAlignment="1" applyProtection="1" quotePrefix="1">
      <alignment horizontal="center"/>
      <protection/>
    </xf>
    <xf numFmtId="4" fontId="43" fillId="2" borderId="9" xfId="24" applyNumberFormat="1" applyFont="1" applyFill="1" applyBorder="1" applyAlignment="1" applyProtection="1">
      <alignment horizontal="center"/>
      <protection/>
    </xf>
    <xf numFmtId="0" fontId="10" fillId="0" borderId="28" xfId="24" applyFont="1" applyBorder="1">
      <alignment/>
      <protection/>
    </xf>
    <xf numFmtId="0" fontId="36" fillId="0" borderId="26" xfId="24" applyFont="1" applyBorder="1" applyAlignment="1">
      <alignment horizontal="center"/>
      <protection/>
    </xf>
    <xf numFmtId="0" fontId="38" fillId="0" borderId="0" xfId="24" applyFont="1" applyBorder="1" applyAlignment="1" applyProtection="1">
      <alignment horizontal="left"/>
      <protection/>
    </xf>
    <xf numFmtId="164" fontId="9" fillId="0" borderId="0" xfId="24" applyNumberFormat="1" applyFont="1" applyBorder="1" applyAlignment="1" applyProtection="1">
      <alignment horizontal="center"/>
      <protection/>
    </xf>
    <xf numFmtId="168" fontId="7" fillId="0" borderId="0" xfId="24" applyNumberFormat="1" applyFont="1" applyBorder="1" applyAlignment="1" applyProtection="1">
      <alignment horizontal="center"/>
      <protection/>
    </xf>
    <xf numFmtId="168" fontId="7" fillId="0" borderId="0" xfId="24" applyNumberFormat="1" applyFont="1" applyFill="1" applyBorder="1" applyAlignment="1" applyProtection="1">
      <alignment horizontal="center"/>
      <protection/>
    </xf>
    <xf numFmtId="172" fontId="7" fillId="0" borderId="0" xfId="24" applyNumberFormat="1" applyFont="1" applyBorder="1" applyAlignment="1" applyProtection="1" quotePrefix="1">
      <alignment horizontal="center"/>
      <protection/>
    </xf>
    <xf numFmtId="2" fontId="43" fillId="2" borderId="9" xfId="24" applyNumberFormat="1" applyFont="1" applyFill="1" applyBorder="1" applyAlignment="1" applyProtection="1">
      <alignment horizontal="center"/>
      <protection/>
    </xf>
    <xf numFmtId="7" fontId="14" fillId="0" borderId="0" xfId="24" applyNumberFormat="1" applyFont="1" applyFill="1" applyBorder="1" applyAlignment="1" applyProtection="1">
      <alignment horizontal="right"/>
      <protection/>
    </xf>
    <xf numFmtId="2" fontId="81" fillId="0" borderId="0" xfId="24" applyNumberFormat="1" applyFont="1" applyBorder="1" applyAlignment="1" applyProtection="1">
      <alignment horizontal="center"/>
      <protection/>
    </xf>
    <xf numFmtId="7" fontId="14" fillId="0" borderId="43" xfId="24" applyNumberFormat="1" applyFont="1" applyFill="1" applyBorder="1" applyAlignment="1" applyProtection="1">
      <alignment horizontal="right"/>
      <protection/>
    </xf>
    <xf numFmtId="0" fontId="0" fillId="0" borderId="0" xfId="24">
      <alignment/>
      <protection/>
    </xf>
    <xf numFmtId="0" fontId="0" fillId="0" borderId="16" xfId="24" applyBorder="1">
      <alignment/>
      <protection/>
    </xf>
    <xf numFmtId="0" fontId="0" fillId="0" borderId="0" xfId="24" applyBorder="1">
      <alignment/>
      <protection/>
    </xf>
    <xf numFmtId="0" fontId="0" fillId="0" borderId="0" xfId="24" applyFont="1">
      <alignment/>
      <protection/>
    </xf>
    <xf numFmtId="0" fontId="0" fillId="0" borderId="0" xfId="24" applyFont="1" applyFill="1">
      <alignment/>
      <protection/>
    </xf>
    <xf numFmtId="0" fontId="0" fillId="0" borderId="0" xfId="24" applyFill="1">
      <alignment/>
      <protection/>
    </xf>
    <xf numFmtId="0" fontId="0" fillId="0" borderId="2" xfId="24" applyBorder="1">
      <alignment/>
      <protection/>
    </xf>
    <xf numFmtId="0" fontId="7" fillId="0" borderId="19" xfId="24" applyFont="1" applyBorder="1">
      <alignment/>
      <protection/>
    </xf>
    <xf numFmtId="0" fontId="7" fillId="0" borderId="20" xfId="24" applyFont="1" applyBorder="1">
      <alignment/>
      <protection/>
    </xf>
    <xf numFmtId="0" fontId="7" fillId="0" borderId="20" xfId="24" applyFont="1" applyFill="1" applyBorder="1">
      <alignment/>
      <protection/>
    </xf>
    <xf numFmtId="0" fontId="7" fillId="0" borderId="21" xfId="24" applyFont="1" applyBorder="1">
      <alignment/>
      <protection/>
    </xf>
    <xf numFmtId="0" fontId="82" fillId="0" borderId="0" xfId="24" applyFont="1">
      <alignment/>
      <protection/>
    </xf>
    <xf numFmtId="0" fontId="82" fillId="0" borderId="0" xfId="24" applyFont="1" applyFill="1">
      <alignment/>
      <protection/>
    </xf>
    <xf numFmtId="174" fontId="27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/>
    </xf>
    <xf numFmtId="0" fontId="7" fillId="19" borderId="73" xfId="24" applyFont="1" applyFill="1" applyBorder="1" applyAlignment="1">
      <alignment horizontal="center" vertical="center" textRotation="90"/>
      <protection/>
    </xf>
    <xf numFmtId="0" fontId="7" fillId="19" borderId="28" xfId="24" applyFont="1" applyFill="1" applyBorder="1" applyAlignment="1">
      <alignment horizontal="center" vertical="center" textRotation="90"/>
      <protection/>
    </xf>
    <xf numFmtId="0" fontId="7" fillId="19" borderId="74" xfId="24" applyFont="1" applyFill="1" applyBorder="1" applyAlignment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01" xfId="21"/>
    <cellStyle name="Normal_info-penalizaciones-iii" xfId="22"/>
    <cellStyle name="Normal_LI-0009 (3)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152400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W15">
            <v>36557</v>
          </cell>
          <cell r="BX15">
            <v>36586</v>
          </cell>
          <cell r="BY15">
            <v>36617</v>
          </cell>
          <cell r="BZ15">
            <v>36647</v>
          </cell>
          <cell r="CA15">
            <v>36678</v>
          </cell>
          <cell r="CB15">
            <v>36708</v>
          </cell>
          <cell r="CC15">
            <v>36739</v>
          </cell>
          <cell r="CD15">
            <v>36770</v>
          </cell>
          <cell r="CE15">
            <v>36800</v>
          </cell>
          <cell r="CF15">
            <v>36831</v>
          </cell>
          <cell r="CG15">
            <v>36861</v>
          </cell>
          <cell r="CH15">
            <v>36892</v>
          </cell>
          <cell r="CI15">
            <v>36923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CA17">
            <v>1</v>
          </cell>
          <cell r="CF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W19" t="str">
            <v>XXXX</v>
          </cell>
          <cell r="BX19" t="str">
            <v>XXXX</v>
          </cell>
          <cell r="BY19" t="str">
            <v>XXXX</v>
          </cell>
          <cell r="BZ19" t="str">
            <v>XXXX</v>
          </cell>
          <cell r="CA19" t="str">
            <v>XXXX</v>
          </cell>
          <cell r="CB19" t="str">
            <v>XXXX</v>
          </cell>
          <cell r="CC19" t="str">
            <v>XXXX</v>
          </cell>
          <cell r="CD19" t="str">
            <v>XXXX</v>
          </cell>
          <cell r="CE19" t="str">
            <v>XXXX</v>
          </cell>
          <cell r="CF19" t="str">
            <v>XXXX</v>
          </cell>
          <cell r="CG19" t="str">
            <v>XXXX</v>
          </cell>
          <cell r="CH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W22" t="str">
            <v>XXXX</v>
          </cell>
          <cell r="BX22" t="str">
            <v>XXXX</v>
          </cell>
          <cell r="BY22" t="str">
            <v>XXXX</v>
          </cell>
          <cell r="BZ22" t="str">
            <v>XXXX</v>
          </cell>
          <cell r="CA22" t="str">
            <v>XXXX</v>
          </cell>
          <cell r="CB22" t="str">
            <v>XXXX</v>
          </cell>
          <cell r="CC22" t="str">
            <v>XXXX</v>
          </cell>
          <cell r="CD22" t="str">
            <v>XXXX</v>
          </cell>
          <cell r="CE22" t="str">
            <v>XXXX</v>
          </cell>
          <cell r="CF22" t="str">
            <v>XXXX</v>
          </cell>
          <cell r="CG22" t="str">
            <v>XXXX</v>
          </cell>
          <cell r="CH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  <cell r="BZ23">
            <v>1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BX24">
            <v>1</v>
          </cell>
          <cell r="CD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W26" t="str">
            <v>XXXX</v>
          </cell>
          <cell r="BX26" t="str">
            <v>XXXX</v>
          </cell>
          <cell r="BY26" t="str">
            <v>XXXX</v>
          </cell>
          <cell r="BZ26" t="str">
            <v>XXXX</v>
          </cell>
          <cell r="CA26" t="str">
            <v>XXXX</v>
          </cell>
          <cell r="CB26" t="str">
            <v>XXXX</v>
          </cell>
          <cell r="CC26" t="str">
            <v>XXXX</v>
          </cell>
          <cell r="CD26" t="str">
            <v>XXXX</v>
          </cell>
          <cell r="CE26" t="str">
            <v>XXXX</v>
          </cell>
          <cell r="CF26" t="str">
            <v>XXXX</v>
          </cell>
          <cell r="CG26" t="str">
            <v>XXXX</v>
          </cell>
          <cell r="CH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BW27">
            <v>1</v>
          </cell>
          <cell r="CG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BW28">
            <v>3</v>
          </cell>
          <cell r="CA28">
            <v>1</v>
          </cell>
          <cell r="CE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BX29">
            <v>1</v>
          </cell>
          <cell r="CC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BW31">
            <v>1</v>
          </cell>
          <cell r="BY31">
            <v>2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BZ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BX35">
            <v>1</v>
          </cell>
          <cell r="CC35">
            <v>1</v>
          </cell>
          <cell r="CF35">
            <v>2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CD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W39" t="str">
            <v>XXXX</v>
          </cell>
          <cell r="BX39" t="str">
            <v>XXXX</v>
          </cell>
          <cell r="BY39" t="str">
            <v>XXXX</v>
          </cell>
          <cell r="BZ39" t="str">
            <v>XXXX</v>
          </cell>
          <cell r="CA39" t="str">
            <v>XXXX</v>
          </cell>
          <cell r="CB39" t="str">
            <v>XXXX</v>
          </cell>
          <cell r="CC39" t="str">
            <v>XXXX</v>
          </cell>
          <cell r="CD39" t="str">
            <v>XXXX</v>
          </cell>
          <cell r="CE39" t="str">
            <v>XXXX</v>
          </cell>
          <cell r="CF39" t="str">
            <v>XXXX</v>
          </cell>
          <cell r="CG39" t="str">
            <v>XXXX</v>
          </cell>
          <cell r="CH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CE40">
            <v>2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BX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BX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CG44">
            <v>1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BW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BW46">
            <v>1</v>
          </cell>
          <cell r="CC46">
            <v>1</v>
          </cell>
          <cell r="CF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CC47">
            <v>1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CA48">
            <v>1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BW50">
            <v>1</v>
          </cell>
          <cell r="BX50">
            <v>1</v>
          </cell>
          <cell r="CE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CB51">
            <v>1</v>
          </cell>
          <cell r="CF51">
            <v>2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BZ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W53" t="str">
            <v>XXXX</v>
          </cell>
          <cell r="BX53" t="str">
            <v>XXXX</v>
          </cell>
          <cell r="BY53" t="str">
            <v>XXXX</v>
          </cell>
          <cell r="BZ53" t="str">
            <v>XXXX</v>
          </cell>
          <cell r="CA53" t="str">
            <v>XXXX</v>
          </cell>
          <cell r="CB53" t="str">
            <v>XXXX</v>
          </cell>
          <cell r="CC53" t="str">
            <v>XXXX</v>
          </cell>
          <cell r="CD53" t="str">
            <v>XXXX</v>
          </cell>
          <cell r="CE53" t="str">
            <v>XXXX</v>
          </cell>
          <cell r="CF53" t="str">
            <v>XXXX</v>
          </cell>
          <cell r="CG53" t="str">
            <v>XXXX</v>
          </cell>
          <cell r="CH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BW54">
            <v>1</v>
          </cell>
          <cell r="BY54">
            <v>1</v>
          </cell>
          <cell r="CC54">
            <v>1</v>
          </cell>
          <cell r="CD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BW57" t="str">
            <v>I</v>
          </cell>
          <cell r="CD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BW58" t="str">
            <v>I</v>
          </cell>
          <cell r="CF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BX59">
            <v>1</v>
          </cell>
          <cell r="CA59">
            <v>1</v>
          </cell>
          <cell r="CC59" t="str">
            <v>I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X62">
            <v>2</v>
          </cell>
          <cell r="CD62">
            <v>2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CG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W65">
            <v>2</v>
          </cell>
          <cell r="BY65" t="str">
            <v>XXXX</v>
          </cell>
          <cell r="BZ65" t="str">
            <v>XXXX</v>
          </cell>
          <cell r="CA65" t="str">
            <v>XXXX</v>
          </cell>
          <cell r="CB65" t="str">
            <v>XXXX</v>
          </cell>
          <cell r="CC65" t="str">
            <v>XXXX</v>
          </cell>
          <cell r="CD65" t="str">
            <v>XXXX</v>
          </cell>
          <cell r="CE65" t="str">
            <v>XXXX</v>
          </cell>
          <cell r="CF65" t="str">
            <v>XXXX</v>
          </cell>
          <cell r="CG65" t="str">
            <v>XXXX</v>
          </cell>
          <cell r="CH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CB66">
            <v>1</v>
          </cell>
          <cell r="CF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  <cell r="CG68">
            <v>1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X71">
            <v>1</v>
          </cell>
          <cell r="CC71">
            <v>1</v>
          </cell>
          <cell r="CD71">
            <v>1</v>
          </cell>
          <cell r="CF71">
            <v>2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X75">
            <v>3</v>
          </cell>
          <cell r="CB75">
            <v>1</v>
          </cell>
          <cell r="CG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W76">
            <v>3</v>
          </cell>
          <cell r="BX76">
            <v>1</v>
          </cell>
          <cell r="BZ76">
            <v>1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W77">
            <v>1</v>
          </cell>
          <cell r="BX77">
            <v>1</v>
          </cell>
          <cell r="BZ77">
            <v>2</v>
          </cell>
          <cell r="CA77">
            <v>3</v>
          </cell>
          <cell r="CB77">
            <v>1</v>
          </cell>
          <cell r="CD77">
            <v>1</v>
          </cell>
          <cell r="CG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W78">
            <v>1</v>
          </cell>
          <cell r="CD78">
            <v>1</v>
          </cell>
          <cell r="CE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Z79">
            <v>1</v>
          </cell>
          <cell r="CB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CB80">
            <v>1</v>
          </cell>
          <cell r="CD80">
            <v>1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BW83" t="str">
            <v>XXXX</v>
          </cell>
          <cell r="BX83" t="str">
            <v>XXXX</v>
          </cell>
          <cell r="CB83">
            <v>1</v>
          </cell>
          <cell r="CG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BW84" t="str">
            <v>XXXX</v>
          </cell>
          <cell r="BX84" t="str">
            <v>XXXX</v>
          </cell>
        </row>
        <row r="85">
          <cell r="D85" t="str">
            <v>FRIAS - RECREO</v>
          </cell>
          <cell r="E85">
            <v>132</v>
          </cell>
          <cell r="F85">
            <v>74.54</v>
          </cell>
          <cell r="BW85" t="str">
            <v>XXXX</v>
          </cell>
          <cell r="BX85" t="str">
            <v>XXXX</v>
          </cell>
          <cell r="BY85" t="str">
            <v>XXXX</v>
          </cell>
          <cell r="BZ85" t="str">
            <v>XXXX</v>
          </cell>
          <cell r="CA85" t="str">
            <v>XXXX</v>
          </cell>
          <cell r="CB85" t="str">
            <v>XXXX</v>
          </cell>
          <cell r="CC85" t="str">
            <v>XXXX</v>
          </cell>
          <cell r="CD85" t="str">
            <v>XXXX</v>
          </cell>
          <cell r="CE85" t="str">
            <v>XXXX</v>
          </cell>
          <cell r="CF85" t="str">
            <v>XXXX</v>
          </cell>
          <cell r="CG85" t="str">
            <v>XXXX</v>
          </cell>
          <cell r="CH85" t="str">
            <v>XXXX</v>
          </cell>
        </row>
        <row r="101">
          <cell r="BW101">
            <v>2.69</v>
          </cell>
          <cell r="BX101">
            <v>2.92</v>
          </cell>
          <cell r="BY101">
            <v>3.15</v>
          </cell>
          <cell r="BZ101">
            <v>3.08</v>
          </cell>
          <cell r="CA101">
            <v>3.25</v>
          </cell>
          <cell r="CB101">
            <v>3.31</v>
          </cell>
          <cell r="CC101">
            <v>3.44</v>
          </cell>
          <cell r="CD101">
            <v>3.21</v>
          </cell>
          <cell r="CE101">
            <v>3.21</v>
          </cell>
          <cell r="CF101">
            <v>3.38</v>
          </cell>
          <cell r="CG101">
            <v>3.51</v>
          </cell>
          <cell r="CH101">
            <v>3.48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72" customFormat="1" ht="26.25">
      <c r="B1" s="73"/>
      <c r="L1" s="390"/>
    </row>
    <row r="2" spans="2:11" s="72" customFormat="1" ht="26.25">
      <c r="B2" s="73" t="s">
        <v>178</v>
      </c>
      <c r="C2" s="74"/>
      <c r="D2" s="75"/>
      <c r="E2" s="75"/>
      <c r="F2" s="75"/>
      <c r="G2" s="75"/>
      <c r="H2" s="75"/>
      <c r="I2" s="75"/>
      <c r="J2" s="75"/>
      <c r="K2" s="75"/>
    </row>
    <row r="3" spans="3:20" ht="12.75">
      <c r="C3"/>
      <c r="D3" s="76"/>
      <c r="E3" s="76"/>
      <c r="F3" s="76"/>
      <c r="G3" s="76"/>
      <c r="H3" s="76"/>
      <c r="I3" s="76"/>
      <c r="J3" s="76"/>
      <c r="K3" s="76"/>
      <c r="Q3" s="7"/>
      <c r="R3" s="7"/>
      <c r="S3" s="7"/>
      <c r="T3" s="7"/>
    </row>
    <row r="4" spans="1:20" s="79" customFormat="1" ht="11.25">
      <c r="A4" s="77" t="s">
        <v>36</v>
      </c>
      <c r="B4" s="7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9" customFormat="1" ht="11.25">
      <c r="A5" s="77" t="s">
        <v>37</v>
      </c>
      <c r="B5" s="7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72" customFormat="1" ht="6" customHeight="1">
      <c r="B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90" customFormat="1" ht="19.5">
      <c r="B7" s="147" t="s">
        <v>0</v>
      </c>
      <c r="C7" s="232"/>
      <c r="D7" s="233"/>
      <c r="E7" s="233"/>
      <c r="F7" s="233"/>
      <c r="G7" s="95"/>
      <c r="H7" s="95"/>
      <c r="I7" s="95"/>
      <c r="J7" s="95"/>
      <c r="K7" s="95"/>
      <c r="L7" s="97"/>
      <c r="M7" s="97"/>
      <c r="N7" s="97"/>
      <c r="O7" s="97"/>
      <c r="P7" s="97"/>
      <c r="Q7" s="97"/>
      <c r="R7" s="97"/>
      <c r="S7" s="97"/>
      <c r="T7" s="97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90" customFormat="1" ht="19.5">
      <c r="B9" s="147" t="s">
        <v>1</v>
      </c>
      <c r="C9" s="232"/>
      <c r="D9" s="233"/>
      <c r="E9" s="233"/>
      <c r="F9" s="233"/>
      <c r="G9" s="95"/>
      <c r="H9" s="95"/>
      <c r="I9" s="95"/>
      <c r="J9" s="95"/>
      <c r="K9" s="95"/>
      <c r="L9" s="97"/>
      <c r="M9" s="97"/>
      <c r="N9" s="97"/>
      <c r="O9" s="97"/>
      <c r="P9" s="97"/>
      <c r="Q9" s="97"/>
      <c r="R9" s="97"/>
      <c r="S9" s="97"/>
      <c r="T9" s="97"/>
    </row>
    <row r="10" spans="4:20" ht="12.75">
      <c r="D10" s="85"/>
      <c r="E10" s="85"/>
      <c r="F10" s="8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90" customFormat="1" ht="19.5">
      <c r="B11" s="147" t="s">
        <v>143</v>
      </c>
      <c r="C11" s="232"/>
      <c r="D11" s="233"/>
      <c r="E11" s="233"/>
      <c r="F11" s="233"/>
      <c r="G11" s="95"/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</row>
    <row r="12" spans="4:20" s="86" customFormat="1" ht="16.5" thickBot="1">
      <c r="D12" s="6"/>
      <c r="E12" s="6"/>
      <c r="F12" s="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 s="86" customFormat="1" ht="16.5" thickTop="1">
      <c r="B13" s="259">
        <v>1</v>
      </c>
      <c r="C13" s="389" t="b">
        <v>0</v>
      </c>
      <c r="D13" s="88"/>
      <c r="E13" s="88"/>
      <c r="F13" s="88"/>
      <c r="G13" s="88"/>
      <c r="H13" s="88"/>
      <c r="I13" s="88"/>
      <c r="J13" s="88"/>
      <c r="K13" s="89"/>
      <c r="L13" s="87"/>
      <c r="M13" s="87"/>
      <c r="N13" s="87"/>
      <c r="O13" s="87"/>
      <c r="P13" s="87"/>
      <c r="Q13" s="87"/>
      <c r="R13" s="87"/>
      <c r="S13" s="87"/>
      <c r="T13" s="87"/>
    </row>
    <row r="14" spans="2:20" s="90" customFormat="1" ht="19.5">
      <c r="B14" s="91" t="s">
        <v>130</v>
      </c>
      <c r="C14" s="92"/>
      <c r="D14" s="93"/>
      <c r="E14" s="94"/>
      <c r="F14" s="94"/>
      <c r="G14" s="94"/>
      <c r="H14" s="94"/>
      <c r="I14" s="94"/>
      <c r="J14" s="95"/>
      <c r="K14" s="96"/>
      <c r="L14" s="97"/>
      <c r="M14" s="97"/>
      <c r="N14" s="97"/>
      <c r="O14" s="97"/>
      <c r="P14" s="97"/>
      <c r="Q14" s="97"/>
      <c r="R14" s="97"/>
      <c r="S14" s="97"/>
      <c r="T14" s="97"/>
    </row>
    <row r="15" spans="2:20" s="90" customFormat="1" ht="19.5" hidden="1">
      <c r="B15" s="98"/>
      <c r="C15" s="99"/>
      <c r="D15" s="99"/>
      <c r="E15" s="97"/>
      <c r="F15" s="97"/>
      <c r="G15" s="100"/>
      <c r="H15" s="100"/>
      <c r="I15" s="100"/>
      <c r="J15" s="97"/>
      <c r="K15" s="101"/>
      <c r="L15" s="97"/>
      <c r="M15" s="97"/>
      <c r="N15" s="97"/>
      <c r="O15" s="97"/>
      <c r="P15" s="97"/>
      <c r="Q15" s="97"/>
      <c r="R15" s="97"/>
      <c r="S15" s="97"/>
      <c r="T15" s="97"/>
    </row>
    <row r="16" spans="2:20" s="90" customFormat="1" ht="19.5" hidden="1">
      <c r="B16" s="91" t="s">
        <v>38</v>
      </c>
      <c r="C16" s="230"/>
      <c r="D16" s="230"/>
      <c r="E16" s="95"/>
      <c r="F16" s="95"/>
      <c r="G16" s="94"/>
      <c r="H16" s="94"/>
      <c r="I16" s="94"/>
      <c r="J16" s="95"/>
      <c r="K16" s="96"/>
      <c r="L16"/>
      <c r="M16" s="97"/>
      <c r="N16" s="97"/>
      <c r="O16" s="97"/>
      <c r="P16" s="97"/>
      <c r="Q16" s="97"/>
      <c r="R16" s="97"/>
      <c r="S16" s="97"/>
      <c r="T16" s="97"/>
    </row>
    <row r="17" spans="2:20" s="90" customFormat="1" ht="19.5">
      <c r="B17" s="98"/>
      <c r="C17" s="99"/>
      <c r="D17" s="99"/>
      <c r="E17" s="97"/>
      <c r="F17" s="97"/>
      <c r="G17" s="100"/>
      <c r="H17" s="100"/>
      <c r="I17" s="100"/>
      <c r="J17" s="97"/>
      <c r="K17" s="101"/>
      <c r="L17"/>
      <c r="M17" s="97"/>
      <c r="N17" s="97"/>
      <c r="O17" s="97"/>
      <c r="P17" s="97"/>
      <c r="Q17" s="97"/>
      <c r="R17" s="97"/>
      <c r="S17" s="97"/>
      <c r="T17" s="97"/>
    </row>
    <row r="18" spans="2:20" s="90" customFormat="1" ht="19.5">
      <c r="B18" s="98"/>
      <c r="C18" s="102" t="s">
        <v>39</v>
      </c>
      <c r="D18" s="103" t="s">
        <v>2</v>
      </c>
      <c r="E18" s="97"/>
      <c r="F18" s="97"/>
      <c r="G18" s="100"/>
      <c r="H18" s="100"/>
      <c r="I18" s="100"/>
      <c r="J18" s="104"/>
      <c r="K18" s="101"/>
      <c r="L18" s="97"/>
      <c r="M18" s="97"/>
      <c r="N18" s="97"/>
      <c r="O18" s="97"/>
      <c r="P18" s="97"/>
      <c r="Q18" s="97"/>
      <c r="R18" s="97"/>
      <c r="S18" s="97"/>
      <c r="T18" s="97"/>
    </row>
    <row r="19" spans="2:20" s="90" customFormat="1" ht="19.5">
      <c r="B19" s="98"/>
      <c r="C19" s="102"/>
      <c r="D19" s="102" t="s">
        <v>40</v>
      </c>
      <c r="E19" s="111" t="s">
        <v>41</v>
      </c>
      <c r="F19" s="111"/>
      <c r="G19" s="100"/>
      <c r="H19" s="100"/>
      <c r="I19" s="100"/>
      <c r="J19" s="104">
        <f>ROUND('LI-0102 (2)'!Y42,2)</f>
        <v>6661.1</v>
      </c>
      <c r="K19" s="101"/>
      <c r="L19" s="97"/>
      <c r="M19" s="97"/>
      <c r="N19" s="97"/>
      <c r="O19" s="97"/>
      <c r="P19" s="97"/>
      <c r="Q19" s="97"/>
      <c r="R19" s="97"/>
      <c r="S19" s="97"/>
      <c r="T19" s="97"/>
    </row>
    <row r="20" spans="2:19" s="90" customFormat="1" ht="19.5">
      <c r="B20" s="98"/>
      <c r="C20" s="102"/>
      <c r="D20" s="764"/>
      <c r="E20" s="765">
        <v>111</v>
      </c>
      <c r="F20" s="766" t="s">
        <v>177</v>
      </c>
      <c r="G20" s="100"/>
      <c r="H20" s="100"/>
      <c r="I20" s="104"/>
      <c r="J20" s="104">
        <f>'condiciones climaticas 313'!AK30</f>
        <v>0</v>
      </c>
      <c r="K20" s="101"/>
      <c r="L20" s="97"/>
      <c r="M20" s="97"/>
      <c r="N20" s="97"/>
      <c r="O20" s="97"/>
      <c r="P20" s="97"/>
      <c r="Q20" s="97"/>
      <c r="R20" s="97"/>
      <c r="S20" s="97"/>
    </row>
    <row r="21" spans="2:20" ht="7.5" customHeight="1">
      <c r="B21" s="105"/>
      <c r="C21" s="106"/>
      <c r="D21" s="107"/>
      <c r="E21" s="7"/>
      <c r="F21" s="7"/>
      <c r="G21" s="108"/>
      <c r="H21" s="108"/>
      <c r="I21" s="108"/>
      <c r="J21" s="109"/>
      <c r="K21" s="10"/>
      <c r="L21" s="7"/>
      <c r="M21" s="7"/>
      <c r="N21" s="7"/>
      <c r="O21" s="7"/>
      <c r="P21" s="7"/>
      <c r="Q21" s="7"/>
      <c r="R21" s="7"/>
      <c r="S21" s="7"/>
      <c r="T21" s="7"/>
    </row>
    <row r="22" spans="2:20" s="90" customFormat="1" ht="19.5">
      <c r="B22" s="98"/>
      <c r="C22" s="102" t="s">
        <v>42</v>
      </c>
      <c r="D22" s="103" t="s">
        <v>43</v>
      </c>
      <c r="E22" s="97"/>
      <c r="F22" s="97"/>
      <c r="G22" s="100"/>
      <c r="H22" s="100"/>
      <c r="I22" s="100"/>
      <c r="J22" s="104"/>
      <c r="K22" s="101"/>
      <c r="L22" s="97"/>
      <c r="M22" s="97"/>
      <c r="N22" s="97"/>
      <c r="O22" s="97"/>
      <c r="P22" s="97"/>
      <c r="Q22" s="97"/>
      <c r="R22" s="97"/>
      <c r="S22" s="97"/>
      <c r="T22" s="97"/>
    </row>
    <row r="23" spans="2:20" s="90" customFormat="1" ht="19.5">
      <c r="B23" s="98"/>
      <c r="C23" s="102"/>
      <c r="D23" s="102" t="s">
        <v>44</v>
      </c>
      <c r="E23" s="111" t="s">
        <v>45</v>
      </c>
      <c r="F23" s="111"/>
      <c r="G23" s="100"/>
      <c r="H23" s="100"/>
      <c r="I23" s="100"/>
      <c r="J23" s="104"/>
      <c r="K23" s="101"/>
      <c r="L23" s="97"/>
      <c r="M23" s="97"/>
      <c r="N23" s="97"/>
      <c r="O23" s="97"/>
      <c r="P23" s="97"/>
      <c r="Q23" s="97"/>
      <c r="R23" s="97"/>
      <c r="S23" s="97"/>
      <c r="T23" s="97"/>
    </row>
    <row r="24" spans="2:20" s="90" customFormat="1" ht="19.5">
      <c r="B24" s="98"/>
      <c r="C24" s="102"/>
      <c r="D24"/>
      <c r="E24" s="102" t="s">
        <v>46</v>
      </c>
      <c r="F24" s="111" t="s">
        <v>41</v>
      </c>
      <c r="G24"/>
      <c r="H24" s="100"/>
      <c r="I24" s="100"/>
      <c r="J24" s="104">
        <f>ROUND('TR-0102 (2)'!AA45,2)</f>
        <v>1885.6</v>
      </c>
      <c r="K24" s="101"/>
      <c r="L24" s="97"/>
      <c r="M24" s="97"/>
      <c r="N24" s="97"/>
      <c r="O24" s="97"/>
      <c r="P24" s="97"/>
      <c r="Q24" s="97"/>
      <c r="R24" s="97"/>
      <c r="S24" s="97"/>
      <c r="T24" s="97"/>
    </row>
    <row r="25" spans="2:20" ht="8.25" customHeight="1">
      <c r="B25" s="105"/>
      <c r="C25" s="106"/>
      <c r="D25" s="106"/>
      <c r="E25" s="7"/>
      <c r="F25" s="7"/>
      <c r="G25" s="108"/>
      <c r="H25" s="108"/>
      <c r="I25" s="108"/>
      <c r="J25" s="110"/>
      <c r="K25" s="10"/>
      <c r="L25" s="7"/>
      <c r="M25" s="7"/>
      <c r="N25" s="7"/>
      <c r="O25" s="7"/>
      <c r="P25" s="7"/>
      <c r="Q25" s="7"/>
      <c r="R25" s="7"/>
      <c r="S25" s="7"/>
      <c r="T25" s="7"/>
    </row>
    <row r="26" spans="2:20" s="90" customFormat="1" ht="19.5">
      <c r="B26" s="98"/>
      <c r="C26" s="102"/>
      <c r="D26" s="102" t="s">
        <v>47</v>
      </c>
      <c r="E26" s="111" t="s">
        <v>48</v>
      </c>
      <c r="F26" s="111"/>
      <c r="G26" s="100"/>
      <c r="H26" s="100"/>
      <c r="I26" s="100"/>
      <c r="J26" s="104"/>
      <c r="K26" s="101"/>
      <c r="L26" s="97"/>
      <c r="M26" s="97"/>
      <c r="N26" s="97"/>
      <c r="O26" s="97"/>
      <c r="P26" s="97"/>
      <c r="Q26" s="97"/>
      <c r="R26" s="97"/>
      <c r="S26" s="97"/>
      <c r="T26" s="97"/>
    </row>
    <row r="27" spans="2:20" s="90" customFormat="1" ht="19.5">
      <c r="B27" s="98"/>
      <c r="C27" s="102"/>
      <c r="D27"/>
      <c r="E27" s="102" t="s">
        <v>49</v>
      </c>
      <c r="F27" s="111" t="s">
        <v>41</v>
      </c>
      <c r="G27"/>
      <c r="H27" s="100"/>
      <c r="I27" s="100"/>
      <c r="J27" s="104">
        <f>ROUND('SA-0102'!T44,2)</f>
        <v>161.69</v>
      </c>
      <c r="K27" s="101"/>
      <c r="L27" s="97"/>
      <c r="M27" s="97"/>
      <c r="N27" s="97"/>
      <c r="O27" s="97"/>
      <c r="P27" s="97"/>
      <c r="Q27" s="97"/>
      <c r="R27" s="97"/>
      <c r="S27" s="97"/>
      <c r="T27" s="97"/>
    </row>
    <row r="28" spans="2:20" s="90" customFormat="1" ht="19.5">
      <c r="B28" s="98"/>
      <c r="C28" s="102"/>
      <c r="D28" s="102"/>
      <c r="E28" s="111"/>
      <c r="F28" s="111"/>
      <c r="G28" s="100"/>
      <c r="H28" s="100"/>
      <c r="I28" s="100"/>
      <c r="J28" s="104"/>
      <c r="K28" s="101"/>
      <c r="L28" s="97"/>
      <c r="M28" s="97"/>
      <c r="N28" s="97"/>
      <c r="O28" s="97"/>
      <c r="P28" s="97"/>
      <c r="Q28" s="97"/>
      <c r="R28" s="97"/>
      <c r="S28" s="97"/>
      <c r="T28" s="97"/>
    </row>
    <row r="29" spans="2:20" s="90" customFormat="1" ht="20.25" thickBot="1">
      <c r="B29" s="98"/>
      <c r="C29" s="99"/>
      <c r="D29" s="99"/>
      <c r="E29" s="97"/>
      <c r="F29" s="97"/>
      <c r="G29" s="100"/>
      <c r="H29" s="100"/>
      <c r="I29" s="100"/>
      <c r="J29" s="97"/>
      <c r="K29" s="101"/>
      <c r="L29" s="97"/>
      <c r="M29" s="97"/>
      <c r="N29" s="97"/>
      <c r="O29" s="97"/>
      <c r="P29" s="97"/>
      <c r="Q29" s="97"/>
      <c r="R29" s="97"/>
      <c r="S29" s="97"/>
      <c r="T29" s="97"/>
    </row>
    <row r="30" spans="2:20" s="90" customFormat="1" ht="20.25" thickBot="1" thickTop="1">
      <c r="B30" s="98"/>
      <c r="C30" s="102"/>
      <c r="D30" s="102"/>
      <c r="G30" s="112" t="s">
        <v>50</v>
      </c>
      <c r="H30" s="113">
        <f>SUM(J18:J28)</f>
        <v>8708.390000000001</v>
      </c>
      <c r="I30" s="231"/>
      <c r="K30" s="101"/>
      <c r="L30" s="97"/>
      <c r="M30" s="97"/>
      <c r="N30" s="97"/>
      <c r="O30" s="97"/>
      <c r="P30" s="97"/>
      <c r="Q30" s="97"/>
      <c r="R30" s="97"/>
      <c r="S30" s="97"/>
      <c r="T30" s="97"/>
    </row>
    <row r="31" spans="2:20" s="86" customFormat="1" ht="17.25" thickBot="1" thickTop="1">
      <c r="B31" s="114"/>
      <c r="C31" s="115"/>
      <c r="D31" s="115"/>
      <c r="E31" s="116"/>
      <c r="F31" s="116"/>
      <c r="G31" s="116"/>
      <c r="H31" s="116"/>
      <c r="I31" s="116"/>
      <c r="J31" s="116"/>
      <c r="K31" s="117"/>
      <c r="L31" s="87"/>
      <c r="M31" s="87"/>
      <c r="N31" s="118"/>
      <c r="O31" s="119"/>
      <c r="P31" s="119"/>
      <c r="Q31" s="120"/>
      <c r="R31" s="121"/>
      <c r="S31" s="87"/>
      <c r="T31" s="87"/>
    </row>
    <row r="32" spans="4:20" ht="13.5" thickTop="1">
      <c r="D32" s="7"/>
      <c r="G32" s="7"/>
      <c r="H32" s="7"/>
      <c r="I32" s="7"/>
      <c r="J32" s="7"/>
      <c r="K32" s="7"/>
      <c r="L32" s="7"/>
      <c r="M32" s="7"/>
      <c r="N32" s="47"/>
      <c r="O32" s="122"/>
      <c r="P32" s="122"/>
      <c r="Q32" s="7"/>
      <c r="R32" s="123"/>
      <c r="S32" s="7"/>
      <c r="T32" s="7"/>
    </row>
    <row r="33" spans="4:20" ht="12.75">
      <c r="D33" s="7"/>
      <c r="G33" s="7"/>
      <c r="H33" s="7"/>
      <c r="I33" s="7"/>
      <c r="J33" s="7"/>
      <c r="K33" s="7"/>
      <c r="L33" s="7"/>
      <c r="M33" s="7"/>
      <c r="N33" s="7"/>
      <c r="O33" s="124"/>
      <c r="P33" s="124"/>
      <c r="Q33" s="125"/>
      <c r="R33" s="123"/>
      <c r="S33" s="7"/>
      <c r="T33" s="7"/>
    </row>
    <row r="34" spans="4:20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24"/>
      <c r="P34" s="124"/>
      <c r="Q34" s="125"/>
      <c r="R34" s="123"/>
      <c r="S34" s="7"/>
      <c r="T34" s="7"/>
    </row>
    <row r="35" spans="4:20" ht="12.75">
      <c r="D35" s="7"/>
      <c r="E35" s="7"/>
      <c r="F35" s="7"/>
      <c r="M35" s="7"/>
      <c r="N35" s="7"/>
      <c r="O35" s="7"/>
      <c r="P35" s="7"/>
      <c r="Q35" s="7"/>
      <c r="R35" s="7"/>
      <c r="S35" s="7"/>
      <c r="T35" s="7"/>
    </row>
    <row r="36" spans="4:20" ht="12.75">
      <c r="D36" s="7"/>
      <c r="E36" s="7"/>
      <c r="F36" s="7"/>
      <c r="Q36" s="7"/>
      <c r="R36" s="7"/>
      <c r="S36" s="7"/>
      <c r="T36" s="7"/>
    </row>
    <row r="37" spans="4:20" ht="12.75">
      <c r="D37" s="7"/>
      <c r="E37" s="7"/>
      <c r="F37" s="7"/>
      <c r="Q37" s="7"/>
      <c r="R37" s="7"/>
      <c r="S37" s="7"/>
      <c r="T37" s="7"/>
    </row>
    <row r="38" spans="4:20" ht="12.75">
      <c r="D38" s="7"/>
      <c r="E38" s="7"/>
      <c r="F38" s="7"/>
      <c r="Q38" s="7"/>
      <c r="R38" s="7"/>
      <c r="S38" s="7"/>
      <c r="T38" s="7"/>
    </row>
    <row r="39" spans="4:20" ht="12.75">
      <c r="D39" s="7"/>
      <c r="E39" s="7"/>
      <c r="F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17:20" ht="12.75">
      <c r="Q41" s="7"/>
      <c r="R41" s="7"/>
      <c r="S41" s="7"/>
      <c r="T41" s="7"/>
    </row>
    <row r="42" spans="17:20" ht="12.75">
      <c r="Q42" s="7"/>
      <c r="R42" s="7"/>
      <c r="S42" s="7"/>
      <c r="T42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Z43"/>
  <sheetViews>
    <sheetView zoomScale="75" zoomScaleNormal="75" workbookViewId="0" topLeftCell="A17">
      <selection activeCell="D28" sqref="D28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+'tot-0102'!B2</f>
        <v>ANEXO I a la Resolución ENRE N° 155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36</v>
      </c>
      <c r="B4" s="154"/>
      <c r="Z4" s="80"/>
    </row>
    <row r="5" spans="1:26" s="79" customFormat="1" ht="11.25">
      <c r="A5" s="153" t="s">
        <v>37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51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52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53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+'tot-0102'!B14</f>
        <v>Desde el 01 al 28 de febrero de 2001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54</v>
      </c>
      <c r="E16" s="388">
        <v>51.392</v>
      </c>
      <c r="F16" s="260"/>
      <c r="G16" s="7"/>
      <c r="H16"/>
      <c r="I16" s="143" t="s">
        <v>55</v>
      </c>
      <c r="J16" s="144">
        <f>30*'tot-0102'!B13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56</v>
      </c>
      <c r="D18" s="156" t="s">
        <v>2</v>
      </c>
      <c r="E18" s="157" t="s">
        <v>57</v>
      </c>
      <c r="F18" s="158" t="s">
        <v>58</v>
      </c>
      <c r="G18" s="246" t="s">
        <v>59</v>
      </c>
      <c r="H18" s="156" t="s">
        <v>60</v>
      </c>
      <c r="I18" s="156" t="s">
        <v>61</v>
      </c>
      <c r="J18" s="157" t="s">
        <v>62</v>
      </c>
      <c r="K18" s="157" t="s">
        <v>63</v>
      </c>
      <c r="L18" s="159" t="s">
        <v>64</v>
      </c>
      <c r="M18" s="157" t="s">
        <v>65</v>
      </c>
      <c r="N18" s="262" t="s">
        <v>66</v>
      </c>
      <c r="O18" s="267" t="s">
        <v>67</v>
      </c>
      <c r="P18" s="272" t="s">
        <v>68</v>
      </c>
      <c r="Q18" s="273"/>
      <c r="R18" s="274"/>
      <c r="S18" s="285" t="s">
        <v>69</v>
      </c>
      <c r="T18" s="286"/>
      <c r="U18" s="287"/>
      <c r="V18" s="300" t="s">
        <v>70</v>
      </c>
      <c r="W18" s="305" t="s">
        <v>71</v>
      </c>
      <c r="X18" s="160" t="s">
        <v>72</v>
      </c>
      <c r="Y18" s="257" t="s">
        <v>73</v>
      </c>
      <c r="Z18" s="10"/>
    </row>
    <row r="19" spans="1:26" s="9" customFormat="1" ht="15.75" hidden="1" thickTop="1">
      <c r="A19" s="7"/>
      <c r="B19" s="105"/>
      <c r="C19" s="13"/>
      <c r="D19" s="17"/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/>
      <c r="Z19" s="10"/>
    </row>
    <row r="20" spans="1:26" s="9" customFormat="1" ht="15.75" thickTop="1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1</v>
      </c>
      <c r="D21" s="55" t="s">
        <v>5</v>
      </c>
      <c r="E21" s="8">
        <v>132</v>
      </c>
      <c r="F21" s="45">
        <v>75.4</v>
      </c>
      <c r="G21" s="248">
        <f aca="true" t="shared" si="0" ref="G21:G38">$E$16/100*IF(F21&gt;25,F21,25)</f>
        <v>38.749568000000004</v>
      </c>
      <c r="H21" s="22">
        <v>36924.416666666664</v>
      </c>
      <c r="I21" s="29">
        <v>36924.70763888889</v>
      </c>
      <c r="J21" s="23">
        <f aca="true" t="shared" si="1" ref="J21:J38">IF(D21="","",(I21-H21)*24)</f>
        <v>6.9833333333954215</v>
      </c>
      <c r="K21" s="24">
        <f aca="true" t="shared" si="2" ref="K21:K38">IF(D21="","",ROUND((I21-H21)*24*60,0))</f>
        <v>419</v>
      </c>
      <c r="L21" s="25" t="s">
        <v>125</v>
      </c>
      <c r="M21" s="26" t="str">
        <f aca="true" t="shared" si="3" ref="M21:M38">IF(D21="","","--")</f>
        <v>--</v>
      </c>
      <c r="N21" s="265">
        <f aca="true" t="shared" si="4" ref="N21:N38">IF(L21="P",ROUND(K21/60,2)*G21*$J$16*0.01,"--")</f>
        <v>81.14159539200001</v>
      </c>
      <c r="O21" s="270" t="str">
        <f aca="true" t="shared" si="5" ref="O21:O38">IF(L21="RP",G21*M21*ROUND(J21/60,2)*0.01*K21/100,"--")</f>
        <v>--</v>
      </c>
      <c r="P21" s="275" t="str">
        <f aca="true" t="shared" si="6" ref="P21:P38">IF(L21="F",G21*$J$16,"--")</f>
        <v>--</v>
      </c>
      <c r="Q21" s="276" t="str">
        <f aca="true" t="shared" si="7" ref="Q21:Q38">IF(AND(K21&gt;10,L21="F"),G21*$J$16*IF(K21&gt;180,3,ROUND((K21)/60,2)),"--")</f>
        <v>--</v>
      </c>
      <c r="R21" s="277" t="str">
        <f aca="true" t="shared" si="8" ref="R21:R38">IF(AND(K21&gt;180,L21="F"),(ROUND(K21/60,2)-3)*G21*$J$16*0.1,"--")</f>
        <v>--</v>
      </c>
      <c r="S21" s="290" t="str">
        <f aca="true" t="shared" si="9" ref="S21:S38">IF(L21="R",G21*$J$16*M21/100,"--")</f>
        <v>--</v>
      </c>
      <c r="T21" s="294" t="str">
        <f aca="true" t="shared" si="10" ref="T21:T38">IF(AND(K21&gt;10,L21="R"),G21*$J$16*M21/100*IF(K21&gt;180,3,ROUND(K21/60,2)),"--")</f>
        <v>--</v>
      </c>
      <c r="U21" s="298" t="str">
        <f aca="true" t="shared" si="11" ref="U21:U38">IF(AND(K21&gt;180,L21="R"),(ROUND(K21/60,2)-3)*G21*$J$16*0.1*M21/100,"--")</f>
        <v>--</v>
      </c>
      <c r="V21" s="303" t="str">
        <f aca="true" t="shared" si="12" ref="V21:V38">IF(L21="RF",ROUND(K21/60,2)*G21*$J$16*0.1,"--")</f>
        <v>--</v>
      </c>
      <c r="W21" s="308" t="str">
        <f aca="true" t="shared" si="13" ref="W21:W38">IF(L21="RR",ROUND(K21/60,2)*G21*$J$16*0.1*M21/100,"--")</f>
        <v>--</v>
      </c>
      <c r="X21" s="56" t="str">
        <f aca="true" t="shared" si="14" ref="X21:X38">IF(D21="","","SI")</f>
        <v>SI</v>
      </c>
      <c r="Y21" s="57">
        <f aca="true" t="shared" si="15" ref="Y21:Y38">IF(D21="","",SUM(N21:W21)*IF(X21="SI",1,2))</f>
        <v>81.14159539200001</v>
      </c>
      <c r="Z21" s="386"/>
    </row>
    <row r="22" spans="1:26" s="9" customFormat="1" ht="15">
      <c r="A22" s="7"/>
      <c r="B22" s="105"/>
      <c r="C22" s="11">
        <v>2</v>
      </c>
      <c r="D22" s="55" t="s">
        <v>16</v>
      </c>
      <c r="E22" s="8">
        <v>132</v>
      </c>
      <c r="F22" s="45">
        <v>21.4</v>
      </c>
      <c r="G22" s="248">
        <f t="shared" si="0"/>
        <v>12.848</v>
      </c>
      <c r="H22" s="22">
        <v>36925.19652777778</v>
      </c>
      <c r="I22" s="29">
        <v>36925.19930555556</v>
      </c>
      <c r="J22" s="23">
        <f t="shared" si="1"/>
        <v>0.06666666670935228</v>
      </c>
      <c r="K22" s="24">
        <f t="shared" si="2"/>
        <v>4</v>
      </c>
      <c r="L22" s="25" t="s">
        <v>126</v>
      </c>
      <c r="M22" s="26" t="str">
        <f t="shared" si="3"/>
        <v>--</v>
      </c>
      <c r="N22" s="265" t="str">
        <f t="shared" si="4"/>
        <v>--</v>
      </c>
      <c r="O22" s="270" t="str">
        <f t="shared" si="5"/>
        <v>--</v>
      </c>
      <c r="P22" s="275">
        <f t="shared" si="6"/>
        <v>385.44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385.44</v>
      </c>
      <c r="Z22" s="386"/>
    </row>
    <row r="23" spans="1:26" s="9" customFormat="1" ht="15">
      <c r="A23" s="7"/>
      <c r="B23" s="105"/>
      <c r="C23" s="11">
        <v>3</v>
      </c>
      <c r="D23" s="55" t="s">
        <v>9</v>
      </c>
      <c r="E23" s="8">
        <v>132</v>
      </c>
      <c r="F23" s="45">
        <v>97.13</v>
      </c>
      <c r="G23" s="248">
        <f t="shared" si="0"/>
        <v>49.9170496</v>
      </c>
      <c r="H23" s="22">
        <v>36928.31180555555</v>
      </c>
      <c r="I23" s="29">
        <v>36928.68958333333</v>
      </c>
      <c r="J23" s="23">
        <f t="shared" si="1"/>
        <v>9.066666666709352</v>
      </c>
      <c r="K23" s="24">
        <f t="shared" si="2"/>
        <v>544</v>
      </c>
      <c r="L23" s="25" t="s">
        <v>125</v>
      </c>
      <c r="M23" s="26" t="str">
        <f t="shared" si="3"/>
        <v>--</v>
      </c>
      <c r="N23" s="265">
        <f t="shared" si="4"/>
        <v>135.82429196159998</v>
      </c>
      <c r="O23" s="270" t="str">
        <f t="shared" si="5"/>
        <v>--</v>
      </c>
      <c r="P23" s="275" t="str">
        <f t="shared" si="6"/>
        <v>--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135.82429196159998</v>
      </c>
      <c r="Z23" s="386"/>
    </row>
    <row r="24" spans="1:26" s="9" customFormat="1" ht="15">
      <c r="A24" s="7"/>
      <c r="B24" s="105"/>
      <c r="C24" s="11">
        <v>4</v>
      </c>
      <c r="D24" s="55" t="s">
        <v>9</v>
      </c>
      <c r="E24" s="8">
        <v>132</v>
      </c>
      <c r="F24" s="45">
        <v>97.13</v>
      </c>
      <c r="G24" s="248">
        <f t="shared" si="0"/>
        <v>49.9170496</v>
      </c>
      <c r="H24" s="22">
        <v>36929.311111111114</v>
      </c>
      <c r="I24" s="29">
        <v>36929.69375</v>
      </c>
      <c r="J24" s="23">
        <f t="shared" si="1"/>
        <v>9.18333333323244</v>
      </c>
      <c r="K24" s="24">
        <f t="shared" si="2"/>
        <v>551</v>
      </c>
      <c r="L24" s="25" t="s">
        <v>125</v>
      </c>
      <c r="M24" s="26" t="str">
        <f t="shared" si="3"/>
        <v>--</v>
      </c>
      <c r="N24" s="265">
        <f t="shared" si="4"/>
        <v>137.4715545984</v>
      </c>
      <c r="O24" s="270" t="str">
        <f t="shared" si="5"/>
        <v>--</v>
      </c>
      <c r="P24" s="275" t="str">
        <f t="shared" si="6"/>
        <v>--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137.4715545984</v>
      </c>
      <c r="Z24" s="386"/>
    </row>
    <row r="25" spans="1:26" s="9" customFormat="1" ht="15">
      <c r="A25" s="7"/>
      <c r="B25" s="105"/>
      <c r="C25" s="11">
        <v>5</v>
      </c>
      <c r="D25" s="55" t="s">
        <v>9</v>
      </c>
      <c r="E25" s="8">
        <v>132</v>
      </c>
      <c r="F25" s="45">
        <v>97.13</v>
      </c>
      <c r="G25" s="248">
        <f t="shared" si="0"/>
        <v>49.9170496</v>
      </c>
      <c r="H25" s="22">
        <v>36930.311111111114</v>
      </c>
      <c r="I25" s="29">
        <v>36930.73611111111</v>
      </c>
      <c r="J25" s="23">
        <f t="shared" si="1"/>
        <v>10.199999999895226</v>
      </c>
      <c r="K25" s="24">
        <f t="shared" si="2"/>
        <v>612</v>
      </c>
      <c r="L25" s="25" t="s">
        <v>125</v>
      </c>
      <c r="M25" s="26" t="str">
        <f t="shared" si="3"/>
        <v>--</v>
      </c>
      <c r="N25" s="265">
        <f t="shared" si="4"/>
        <v>152.74617177599998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152.74617177599998</v>
      </c>
      <c r="Z25" s="386"/>
    </row>
    <row r="26" spans="1:26" s="9" customFormat="1" ht="15">
      <c r="A26" s="7"/>
      <c r="B26" s="105"/>
      <c r="C26" s="11">
        <v>6</v>
      </c>
      <c r="D26" s="55" t="s">
        <v>3</v>
      </c>
      <c r="E26" s="8">
        <v>132</v>
      </c>
      <c r="F26" s="45">
        <v>34.14</v>
      </c>
      <c r="G26" s="248">
        <f t="shared" si="0"/>
        <v>17.5452288</v>
      </c>
      <c r="H26" s="22">
        <v>36930.61388888889</v>
      </c>
      <c r="I26" s="29">
        <v>36930.62291666667</v>
      </c>
      <c r="J26" s="23">
        <f t="shared" si="1"/>
        <v>0.2166666666744277</v>
      </c>
      <c r="K26" s="24">
        <f t="shared" si="2"/>
        <v>13</v>
      </c>
      <c r="L26" s="25" t="s">
        <v>126</v>
      </c>
      <c r="M26" s="26" t="str">
        <f t="shared" si="3"/>
        <v>--</v>
      </c>
      <c r="N26" s="265" t="str">
        <f t="shared" si="4"/>
        <v>--</v>
      </c>
      <c r="O26" s="270" t="str">
        <f t="shared" si="5"/>
        <v>--</v>
      </c>
      <c r="P26" s="275">
        <f t="shared" si="6"/>
        <v>526.356864</v>
      </c>
      <c r="Q26" s="276">
        <f t="shared" si="7"/>
        <v>115.79851008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642.15537408</v>
      </c>
      <c r="Z26" s="386"/>
    </row>
    <row r="27" spans="1:26" s="9" customFormat="1" ht="15">
      <c r="A27" s="7"/>
      <c r="B27" s="105"/>
      <c r="C27" s="11">
        <v>8</v>
      </c>
      <c r="D27" s="55" t="s">
        <v>9</v>
      </c>
      <c r="E27" s="8">
        <v>132</v>
      </c>
      <c r="F27" s="45">
        <v>97.13</v>
      </c>
      <c r="G27" s="248">
        <f t="shared" si="0"/>
        <v>49.9170496</v>
      </c>
      <c r="H27" s="22">
        <v>36931.31041666667</v>
      </c>
      <c r="I27" s="29">
        <v>36931.768055555556</v>
      </c>
      <c r="J27" s="23">
        <f t="shared" si="1"/>
        <v>10.983333333337214</v>
      </c>
      <c r="K27" s="24">
        <f t="shared" si="2"/>
        <v>659</v>
      </c>
      <c r="L27" s="25" t="s">
        <v>125</v>
      </c>
      <c r="M27" s="26" t="str">
        <f t="shared" si="3"/>
        <v>--</v>
      </c>
      <c r="N27" s="265">
        <f t="shared" si="4"/>
        <v>164.4267613824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164.4267613824</v>
      </c>
      <c r="Z27" s="10"/>
    </row>
    <row r="28" spans="1:26" s="9" customFormat="1" ht="15">
      <c r="A28" s="7"/>
      <c r="B28" s="105"/>
      <c r="C28" s="11">
        <v>9</v>
      </c>
      <c r="D28" s="55" t="s">
        <v>4</v>
      </c>
      <c r="E28" s="8">
        <v>132</v>
      </c>
      <c r="F28" s="45">
        <v>21</v>
      </c>
      <c r="G28" s="248">
        <f t="shared" si="0"/>
        <v>12.848</v>
      </c>
      <c r="H28" s="22">
        <v>36933.29305555556</v>
      </c>
      <c r="I28" s="29">
        <v>36933.62569444445</v>
      </c>
      <c r="J28" s="23">
        <f t="shared" si="1"/>
        <v>7.983333333337214</v>
      </c>
      <c r="K28" s="24">
        <f t="shared" si="2"/>
        <v>479</v>
      </c>
      <c r="L28" s="25" t="s">
        <v>125</v>
      </c>
      <c r="M28" s="26" t="str">
        <f t="shared" si="3"/>
        <v>--</v>
      </c>
      <c r="N28" s="265">
        <f t="shared" si="4"/>
        <v>30.758112000000008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30.758112000000008</v>
      </c>
      <c r="Z28" s="10"/>
    </row>
    <row r="29" spans="1:26" s="9" customFormat="1" ht="15">
      <c r="A29" s="7"/>
      <c r="B29" s="105"/>
      <c r="C29" s="11">
        <v>11</v>
      </c>
      <c r="D29" s="55" t="s">
        <v>15</v>
      </c>
      <c r="E29" s="8">
        <v>132</v>
      </c>
      <c r="F29" s="45">
        <v>10</v>
      </c>
      <c r="G29" s="248">
        <f t="shared" si="0"/>
        <v>12.848</v>
      </c>
      <c r="H29" s="22">
        <v>36934.350694444445</v>
      </c>
      <c r="I29" s="29">
        <v>36934.53333333333</v>
      </c>
      <c r="J29" s="23">
        <f t="shared" si="1"/>
        <v>4.383333333302289</v>
      </c>
      <c r="K29" s="24">
        <f t="shared" si="2"/>
        <v>263</v>
      </c>
      <c r="L29" s="25" t="s">
        <v>126</v>
      </c>
      <c r="M29" s="26" t="str">
        <f t="shared" si="3"/>
        <v>--</v>
      </c>
      <c r="N29" s="265" t="str">
        <f t="shared" si="4"/>
        <v>--</v>
      </c>
      <c r="O29" s="270" t="str">
        <f t="shared" si="5"/>
        <v>--</v>
      </c>
      <c r="P29" s="275">
        <f t="shared" si="6"/>
        <v>385.44</v>
      </c>
      <c r="Q29" s="276">
        <f t="shared" si="7"/>
        <v>1156.32</v>
      </c>
      <c r="R29" s="277">
        <f t="shared" si="8"/>
        <v>53.19072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1594.95072</v>
      </c>
      <c r="Z29" s="10"/>
    </row>
    <row r="30" spans="1:26" s="9" customFormat="1" ht="15">
      <c r="A30" s="7"/>
      <c r="B30" s="105"/>
      <c r="C30" s="11">
        <v>12</v>
      </c>
      <c r="D30" s="55" t="s">
        <v>12</v>
      </c>
      <c r="E30" s="8">
        <v>132</v>
      </c>
      <c r="F30" s="45">
        <v>17</v>
      </c>
      <c r="G30" s="248">
        <f t="shared" si="0"/>
        <v>12.848</v>
      </c>
      <c r="H30" s="22">
        <v>36935.24652777778</v>
      </c>
      <c r="I30" s="29">
        <v>36935.25277777778</v>
      </c>
      <c r="J30" s="23">
        <f t="shared" si="1"/>
        <v>0.1499999999650754</v>
      </c>
      <c r="K30" s="24">
        <f t="shared" si="2"/>
        <v>9</v>
      </c>
      <c r="L30" s="25" t="s">
        <v>126</v>
      </c>
      <c r="M30" s="26" t="str">
        <f t="shared" si="3"/>
        <v>--</v>
      </c>
      <c r="N30" s="265" t="str">
        <f t="shared" si="4"/>
        <v>--</v>
      </c>
      <c r="O30" s="270" t="str">
        <f t="shared" si="5"/>
        <v>--</v>
      </c>
      <c r="P30" s="275">
        <f t="shared" si="6"/>
        <v>385.44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385.44</v>
      </c>
      <c r="Z30" s="10"/>
    </row>
    <row r="31" spans="1:26" s="9" customFormat="1" ht="15">
      <c r="A31" s="7"/>
      <c r="B31" s="105"/>
      <c r="C31" s="11">
        <v>13</v>
      </c>
      <c r="D31" s="55" t="s">
        <v>6</v>
      </c>
      <c r="E31" s="8">
        <v>132</v>
      </c>
      <c r="F31" s="45">
        <v>6.2</v>
      </c>
      <c r="G31" s="248">
        <f t="shared" si="0"/>
        <v>12.848</v>
      </c>
      <c r="H31" s="22">
        <v>36935.31736111111</v>
      </c>
      <c r="I31" s="29">
        <v>36935.73333333333</v>
      </c>
      <c r="J31" s="23">
        <f t="shared" si="1"/>
        <v>9.983333333220799</v>
      </c>
      <c r="K31" s="24">
        <f t="shared" si="2"/>
        <v>599</v>
      </c>
      <c r="L31" s="25" t="s">
        <v>125</v>
      </c>
      <c r="M31" s="26" t="str">
        <f t="shared" si="3"/>
        <v>--</v>
      </c>
      <c r="N31" s="265">
        <f t="shared" si="4"/>
        <v>38.46691200000001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38.46691200000001</v>
      </c>
      <c r="Z31" s="10"/>
    </row>
    <row r="32" spans="1:26" s="9" customFormat="1" ht="15">
      <c r="A32" s="7"/>
      <c r="B32" s="105"/>
      <c r="C32" s="11">
        <v>14</v>
      </c>
      <c r="D32" s="55" t="s">
        <v>100</v>
      </c>
      <c r="E32" s="8">
        <v>132</v>
      </c>
      <c r="F32" s="45">
        <v>40.92</v>
      </c>
      <c r="G32" s="248">
        <f t="shared" si="0"/>
        <v>21.029606400000002</v>
      </c>
      <c r="H32" s="22">
        <v>36935.31736111111</v>
      </c>
      <c r="I32" s="29">
        <v>36935.37708333333</v>
      </c>
      <c r="J32" s="23">
        <f t="shared" si="1"/>
        <v>1.4333333332906477</v>
      </c>
      <c r="K32" s="24">
        <f t="shared" si="2"/>
        <v>86</v>
      </c>
      <c r="L32" s="25" t="s">
        <v>125</v>
      </c>
      <c r="M32" s="26" t="str">
        <f t="shared" si="3"/>
        <v>--</v>
      </c>
      <c r="N32" s="265">
        <f t="shared" si="4"/>
        <v>9.021701145600002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9.021701145600002</v>
      </c>
      <c r="Z32" s="10"/>
    </row>
    <row r="33" spans="1:26" s="9" customFormat="1" ht="15">
      <c r="A33" s="7"/>
      <c r="B33" s="105"/>
      <c r="C33" s="11">
        <v>15</v>
      </c>
      <c r="D33" s="55" t="s">
        <v>6</v>
      </c>
      <c r="E33" s="8">
        <v>132</v>
      </c>
      <c r="F33" s="45">
        <v>6.2</v>
      </c>
      <c r="G33" s="248">
        <f t="shared" si="0"/>
        <v>12.848</v>
      </c>
      <c r="H33" s="22">
        <v>36936.35902777778</v>
      </c>
      <c r="I33" s="29">
        <v>36936.5625</v>
      </c>
      <c r="J33" s="23">
        <f t="shared" si="1"/>
        <v>4.883333333360497</v>
      </c>
      <c r="K33" s="24">
        <f t="shared" si="2"/>
        <v>293</v>
      </c>
      <c r="L33" s="25" t="s">
        <v>125</v>
      </c>
      <c r="M33" s="26" t="str">
        <f t="shared" si="3"/>
        <v>--</v>
      </c>
      <c r="N33" s="265">
        <f t="shared" si="4"/>
        <v>18.809472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18.809472</v>
      </c>
      <c r="Z33" s="10"/>
    </row>
    <row r="34" spans="1:26" s="9" customFormat="1" ht="15">
      <c r="A34" s="7"/>
      <c r="B34" s="105"/>
      <c r="C34" s="11">
        <v>16</v>
      </c>
      <c r="D34" s="55" t="s">
        <v>12</v>
      </c>
      <c r="E34" s="8">
        <v>132</v>
      </c>
      <c r="F34" s="45">
        <v>17</v>
      </c>
      <c r="G34" s="248">
        <f t="shared" si="0"/>
        <v>12.848</v>
      </c>
      <c r="H34" s="22">
        <v>36937.07152777778</v>
      </c>
      <c r="I34" s="29">
        <v>36937.07430555556</v>
      </c>
      <c r="J34" s="23">
        <f t="shared" si="1"/>
        <v>0.06666666670935228</v>
      </c>
      <c r="K34" s="24">
        <f t="shared" si="2"/>
        <v>4</v>
      </c>
      <c r="L34" s="25" t="s">
        <v>126</v>
      </c>
      <c r="M34" s="26" t="str">
        <f t="shared" si="3"/>
        <v>--</v>
      </c>
      <c r="N34" s="265" t="str">
        <f t="shared" si="4"/>
        <v>--</v>
      </c>
      <c r="O34" s="270" t="str">
        <f t="shared" si="5"/>
        <v>--</v>
      </c>
      <c r="P34" s="275">
        <f t="shared" si="6"/>
        <v>385.44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385.44</v>
      </c>
      <c r="Z34" s="10"/>
    </row>
    <row r="35" spans="1:26" s="9" customFormat="1" ht="15">
      <c r="A35" s="7"/>
      <c r="B35" s="105"/>
      <c r="C35" s="11">
        <v>17</v>
      </c>
      <c r="D35" s="55" t="s">
        <v>7</v>
      </c>
      <c r="E35" s="8">
        <v>132</v>
      </c>
      <c r="F35" s="45">
        <v>67.25</v>
      </c>
      <c r="G35" s="248">
        <f t="shared" si="0"/>
        <v>34.56112</v>
      </c>
      <c r="H35" s="22">
        <v>36937.305555555555</v>
      </c>
      <c r="I35" s="29">
        <v>36937.77291666667</v>
      </c>
      <c r="J35" s="23">
        <f t="shared" si="1"/>
        <v>11.216666666732635</v>
      </c>
      <c r="K35" s="24">
        <f t="shared" si="2"/>
        <v>673</v>
      </c>
      <c r="L35" s="25" t="s">
        <v>125</v>
      </c>
      <c r="M35" s="26" t="str">
        <f t="shared" si="3"/>
        <v>--</v>
      </c>
      <c r="N35" s="265">
        <f t="shared" si="4"/>
        <v>116.33272992000002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 t="str">
        <f t="shared" si="14"/>
        <v>SI</v>
      </c>
      <c r="Y35" s="57">
        <f t="shared" si="15"/>
        <v>116.33272992000002</v>
      </c>
      <c r="Z35" s="10"/>
    </row>
    <row r="36" spans="1:26" s="9" customFormat="1" ht="15">
      <c r="A36" s="7"/>
      <c r="B36" s="105"/>
      <c r="C36" s="11">
        <v>18</v>
      </c>
      <c r="D36" s="55" t="s">
        <v>10</v>
      </c>
      <c r="E36" s="8">
        <v>132</v>
      </c>
      <c r="F36" s="45">
        <v>36.24</v>
      </c>
      <c r="G36" s="248">
        <f t="shared" si="0"/>
        <v>18.6244608</v>
      </c>
      <c r="H36" s="22">
        <v>36937.376388888886</v>
      </c>
      <c r="I36" s="29">
        <v>36937.725694444445</v>
      </c>
      <c r="J36" s="23">
        <f t="shared" si="1"/>
        <v>8.383333333418705</v>
      </c>
      <c r="K36" s="24">
        <f t="shared" si="2"/>
        <v>503</v>
      </c>
      <c r="L36" s="25" t="s">
        <v>125</v>
      </c>
      <c r="M36" s="26" t="str">
        <f t="shared" si="3"/>
        <v>--</v>
      </c>
      <c r="N36" s="265">
        <f t="shared" si="4"/>
        <v>46.82189445120001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 t="str">
        <f t="shared" si="14"/>
        <v>SI</v>
      </c>
      <c r="Y36" s="57">
        <f t="shared" si="15"/>
        <v>46.82189445120001</v>
      </c>
      <c r="Z36" s="10"/>
    </row>
    <row r="37" spans="1:26" s="9" customFormat="1" ht="15">
      <c r="A37" s="7"/>
      <c r="B37" s="105"/>
      <c r="C37" s="11">
        <v>19</v>
      </c>
      <c r="D37" s="55" t="s">
        <v>7</v>
      </c>
      <c r="E37" s="8">
        <v>132</v>
      </c>
      <c r="F37" s="45">
        <v>67.25</v>
      </c>
      <c r="G37" s="248">
        <f t="shared" si="0"/>
        <v>34.56112</v>
      </c>
      <c r="H37" s="22">
        <v>36938.302777777775</v>
      </c>
      <c r="I37" s="29">
        <v>36938.791666666664</v>
      </c>
      <c r="J37" s="23">
        <f t="shared" si="1"/>
        <v>11.733333333337214</v>
      </c>
      <c r="K37" s="24">
        <f t="shared" si="2"/>
        <v>704</v>
      </c>
      <c r="L37" s="25" t="s">
        <v>125</v>
      </c>
      <c r="M37" s="26" t="str">
        <f t="shared" si="3"/>
        <v>--</v>
      </c>
      <c r="N37" s="265">
        <f t="shared" si="4"/>
        <v>121.62058128000002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 t="str">
        <f t="shared" si="14"/>
        <v>SI</v>
      </c>
      <c r="Y37" s="57">
        <f t="shared" si="15"/>
        <v>121.62058128000002</v>
      </c>
      <c r="Z37" s="10"/>
    </row>
    <row r="38" spans="1:26" s="9" customFormat="1" ht="15">
      <c r="A38" s="7"/>
      <c r="B38" s="105"/>
      <c r="C38" s="11">
        <v>20</v>
      </c>
      <c r="D38" s="55" t="s">
        <v>10</v>
      </c>
      <c r="E38" s="8">
        <v>132</v>
      </c>
      <c r="F38" s="45">
        <v>36.24</v>
      </c>
      <c r="G38" s="248">
        <f t="shared" si="0"/>
        <v>18.6244608</v>
      </c>
      <c r="H38" s="22">
        <v>36938.39791666667</v>
      </c>
      <c r="I38" s="29">
        <v>36938.76666666667</v>
      </c>
      <c r="J38" s="23">
        <f t="shared" si="1"/>
        <v>8.850000000034925</v>
      </c>
      <c r="K38" s="24">
        <f t="shared" si="2"/>
        <v>531</v>
      </c>
      <c r="L38" s="25" t="s">
        <v>125</v>
      </c>
      <c r="M38" s="26" t="str">
        <f t="shared" si="3"/>
        <v>--</v>
      </c>
      <c r="N38" s="265">
        <f t="shared" si="4"/>
        <v>49.44794342400001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 t="str">
        <f t="shared" si="14"/>
        <v>SI</v>
      </c>
      <c r="Y38" s="57">
        <f t="shared" si="15"/>
        <v>49.44794342400001</v>
      </c>
      <c r="Z38" s="10"/>
    </row>
    <row r="39" spans="1:26" s="9" customFormat="1" ht="15.75" thickBot="1">
      <c r="A39" s="7"/>
      <c r="B39" s="105"/>
      <c r="C39" s="58"/>
      <c r="D39" s="59"/>
      <c r="E39" s="60"/>
      <c r="F39" s="61"/>
      <c r="G39" s="249"/>
      <c r="H39" s="27"/>
      <c r="I39" s="27"/>
      <c r="J39" s="27"/>
      <c r="K39" s="27"/>
      <c r="L39" s="27"/>
      <c r="M39" s="62"/>
      <c r="N39" s="266"/>
      <c r="O39" s="271"/>
      <c r="P39" s="278"/>
      <c r="Q39" s="279"/>
      <c r="R39" s="280"/>
      <c r="S39" s="291"/>
      <c r="T39" s="295"/>
      <c r="U39" s="299"/>
      <c r="V39" s="304"/>
      <c r="W39" s="309"/>
      <c r="X39" s="28"/>
      <c r="Y39" s="146"/>
      <c r="Z39" s="10"/>
    </row>
    <row r="40" spans="1:26" s="9" customFormat="1" ht="17.25" thickBot="1" thickTop="1">
      <c r="A40" s="7"/>
      <c r="B40" s="105"/>
      <c r="C40" s="234" t="s">
        <v>74</v>
      </c>
      <c r="D40" s="235" t="s">
        <v>75</v>
      </c>
      <c r="E40" s="7"/>
      <c r="F40" s="7"/>
      <c r="G40" s="7"/>
      <c r="H40" s="7"/>
      <c r="I40" s="7"/>
      <c r="J40" s="7"/>
      <c r="K40" s="7"/>
      <c r="L40" s="7"/>
      <c r="M40" s="7"/>
      <c r="N40" s="283">
        <f aca="true" t="shared" si="16" ref="N40:W40">SUM(N19:N39)</f>
        <v>1102.8897213312</v>
      </c>
      <c r="O40" s="284">
        <f t="shared" si="16"/>
        <v>0</v>
      </c>
      <c r="P40" s="310">
        <f t="shared" si="16"/>
        <v>2068.116864</v>
      </c>
      <c r="Q40" s="310">
        <f t="shared" si="16"/>
        <v>1272.1185100799999</v>
      </c>
      <c r="R40" s="310">
        <f t="shared" si="16"/>
        <v>53.19072</v>
      </c>
      <c r="S40" s="311">
        <f t="shared" si="16"/>
        <v>0</v>
      </c>
      <c r="T40" s="311">
        <f t="shared" si="16"/>
        <v>0</v>
      </c>
      <c r="U40" s="311">
        <f t="shared" si="16"/>
        <v>0</v>
      </c>
      <c r="V40" s="312">
        <f t="shared" si="16"/>
        <v>0</v>
      </c>
      <c r="W40" s="313">
        <f t="shared" si="16"/>
        <v>0</v>
      </c>
      <c r="X40" s="7"/>
      <c r="Y40" s="245">
        <f>ROUND(SUM(Y19:Y39),2)</f>
        <v>4496.32</v>
      </c>
      <c r="Z40" s="10"/>
    </row>
    <row r="41" spans="1:26" s="240" customFormat="1" ht="13.5" thickTop="1">
      <c r="A41" s="238"/>
      <c r="B41" s="239"/>
      <c r="C41" s="236"/>
      <c r="D41" s="237" t="s">
        <v>76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41"/>
    </row>
    <row r="42" spans="1:26" s="9" customFormat="1" ht="13.5" thickBot="1">
      <c r="A42" s="7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</row>
    <row r="43" spans="1:2" ht="13.5" thickTop="1">
      <c r="A43" s="1"/>
      <c r="B43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Z45"/>
  <sheetViews>
    <sheetView zoomScale="75" zoomScaleNormal="75" workbookViewId="0" topLeftCell="A13">
      <selection activeCell="B14" sqref="B14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+'tot-0102'!B2</f>
        <v>ANEXO I a la Resolución ENRE N° 155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36</v>
      </c>
      <c r="B4" s="154"/>
      <c r="Z4" s="80"/>
    </row>
    <row r="5" spans="1:26" s="79" customFormat="1" ht="11.25">
      <c r="A5" s="153" t="s">
        <v>37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51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52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53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+'tot-0102'!B14</f>
        <v>Desde el 01 al 28 de febrero de 2001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54</v>
      </c>
      <c r="E16" s="388">
        <v>51.392</v>
      </c>
      <c r="F16" s="260"/>
      <c r="G16" s="7"/>
      <c r="H16"/>
      <c r="I16" s="143" t="s">
        <v>55</v>
      </c>
      <c r="J16" s="144">
        <f>30*'tot-0102'!B13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56</v>
      </c>
      <c r="D18" s="156" t="s">
        <v>2</v>
      </c>
      <c r="E18" s="157" t="s">
        <v>57</v>
      </c>
      <c r="F18" s="158" t="s">
        <v>58</v>
      </c>
      <c r="G18" s="246" t="s">
        <v>59</v>
      </c>
      <c r="H18" s="156" t="s">
        <v>60</v>
      </c>
      <c r="I18" s="156" t="s">
        <v>61</v>
      </c>
      <c r="J18" s="157" t="s">
        <v>62</v>
      </c>
      <c r="K18" s="157" t="s">
        <v>63</v>
      </c>
      <c r="L18" s="159" t="s">
        <v>64</v>
      </c>
      <c r="M18" s="157" t="s">
        <v>65</v>
      </c>
      <c r="N18" s="262" t="s">
        <v>66</v>
      </c>
      <c r="O18" s="267" t="s">
        <v>67</v>
      </c>
      <c r="P18" s="272" t="s">
        <v>68</v>
      </c>
      <c r="Q18" s="273"/>
      <c r="R18" s="274"/>
      <c r="S18" s="285" t="s">
        <v>69</v>
      </c>
      <c r="T18" s="286"/>
      <c r="U18" s="287"/>
      <c r="V18" s="300" t="s">
        <v>70</v>
      </c>
      <c r="W18" s="305" t="s">
        <v>71</v>
      </c>
      <c r="X18" s="160" t="s">
        <v>72</v>
      </c>
      <c r="Y18" s="257" t="s">
        <v>73</v>
      </c>
      <c r="Z18" s="10"/>
    </row>
    <row r="19" spans="1:26" s="9" customFormat="1" ht="15.75" thickTop="1">
      <c r="A19" s="7"/>
      <c r="B19" s="105"/>
      <c r="C19" s="13"/>
      <c r="D19" s="17" t="s">
        <v>124</v>
      </c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>
        <f>ROUND('LI-0102'!Y40,2)</f>
        <v>4496.32</v>
      </c>
      <c r="Z19" s="10"/>
    </row>
    <row r="20" spans="1:26" s="9" customFormat="1" ht="15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21</v>
      </c>
      <c r="D21" s="55" t="s">
        <v>103</v>
      </c>
      <c r="E21" s="8">
        <v>132</v>
      </c>
      <c r="F21" s="45">
        <v>102</v>
      </c>
      <c r="G21" s="248">
        <f aca="true" t="shared" si="0" ref="G21:G40">$E$16/100*IF(F21&gt;25,F21,25)</f>
        <v>52.41984000000001</v>
      </c>
      <c r="H21" s="22">
        <v>36940.29305555556</v>
      </c>
      <c r="I21" s="29">
        <v>36940.649305555555</v>
      </c>
      <c r="J21" s="23">
        <f aca="true" t="shared" si="1" ref="J21:J40">IF(D21="","",(I21-H21)*24)</f>
        <v>8.54999999993015</v>
      </c>
      <c r="K21" s="24">
        <f aca="true" t="shared" si="2" ref="K21:K40">IF(D21="","",ROUND((I21-H21)*24*60,0))</f>
        <v>513</v>
      </c>
      <c r="L21" s="25" t="s">
        <v>125</v>
      </c>
      <c r="M21" s="26" t="str">
        <f aca="true" t="shared" si="3" ref="M21:M40">IF(D21="","","--")</f>
        <v>--</v>
      </c>
      <c r="N21" s="265">
        <f aca="true" t="shared" si="4" ref="N21:N40">IF(L21="P",ROUND(K21/60,2)*G21*$J$16*0.01,"--")</f>
        <v>134.45688960000004</v>
      </c>
      <c r="O21" s="270" t="str">
        <f aca="true" t="shared" si="5" ref="O21:O40">IF(L21="RP",G21*M21*ROUND(J21/60,2)*0.01*K21/100,"--")</f>
        <v>--</v>
      </c>
      <c r="P21" s="275" t="str">
        <f aca="true" t="shared" si="6" ref="P21:P40">IF(L21="F",G21*$J$16,"--")</f>
        <v>--</v>
      </c>
      <c r="Q21" s="276" t="str">
        <f aca="true" t="shared" si="7" ref="Q21:Q40">IF(AND(K21&gt;10,L21="F"),G21*$J$16*IF(K21&gt;180,3,ROUND((K21)/60,2)),"--")</f>
        <v>--</v>
      </c>
      <c r="R21" s="277" t="str">
        <f aca="true" t="shared" si="8" ref="R21:R40">IF(AND(K21&gt;180,L21="F"),(ROUND(K21/60,2)-3)*G21*$J$16*0.1,"--")</f>
        <v>--</v>
      </c>
      <c r="S21" s="290" t="str">
        <f aca="true" t="shared" si="9" ref="S21:S40">IF(L21="R",G21*$J$16*M21/100,"--")</f>
        <v>--</v>
      </c>
      <c r="T21" s="294" t="str">
        <f aca="true" t="shared" si="10" ref="T21:T40">IF(AND(K21&gt;10,L21="R"),G21*$J$16*M21/100*IF(K21&gt;180,3,ROUND(K21/60,2)),"--")</f>
        <v>--</v>
      </c>
      <c r="U21" s="298" t="str">
        <f aca="true" t="shared" si="11" ref="U21:U40">IF(AND(K21&gt;180,L21="R"),(ROUND(K21/60,2)-3)*G21*$J$16*0.1*M21/100,"--")</f>
        <v>--</v>
      </c>
      <c r="V21" s="303" t="str">
        <f aca="true" t="shared" si="12" ref="V21:V40">IF(L21="RF",ROUND(K21/60,2)*G21*$J$16*0.1,"--")</f>
        <v>--</v>
      </c>
      <c r="W21" s="308" t="str">
        <f aca="true" t="shared" si="13" ref="W21:W40">IF(L21="RR",ROUND(K21/60,2)*G21*$J$16*0.1*M21/100,"--")</f>
        <v>--</v>
      </c>
      <c r="X21" s="56" t="str">
        <f aca="true" t="shared" si="14" ref="X21:X40">IF(D21="","","SI")</f>
        <v>SI</v>
      </c>
      <c r="Y21" s="57">
        <f aca="true" t="shared" si="15" ref="Y21:Y40">IF(D21="","",SUM(N21:W21)*IF(X21="SI",1,2))</f>
        <v>134.45688960000004</v>
      </c>
      <c r="Z21" s="386"/>
    </row>
    <row r="22" spans="1:26" s="9" customFormat="1" ht="15">
      <c r="A22" s="7"/>
      <c r="B22" s="105"/>
      <c r="C22" s="11">
        <v>22</v>
      </c>
      <c r="D22" s="55" t="s">
        <v>11</v>
      </c>
      <c r="E22" s="8">
        <v>132</v>
      </c>
      <c r="F22" s="45">
        <v>220</v>
      </c>
      <c r="G22" s="248">
        <f t="shared" si="0"/>
        <v>113.06240000000001</v>
      </c>
      <c r="H22" s="22">
        <v>36940.33819444444</v>
      </c>
      <c r="I22" s="29">
        <v>36940.85833333333</v>
      </c>
      <c r="J22" s="23">
        <f t="shared" si="1"/>
        <v>12.483333333337214</v>
      </c>
      <c r="K22" s="24">
        <f t="shared" si="2"/>
        <v>749</v>
      </c>
      <c r="L22" s="25" t="s">
        <v>125</v>
      </c>
      <c r="M22" s="26" t="str">
        <f t="shared" si="3"/>
        <v>--</v>
      </c>
      <c r="N22" s="265">
        <f t="shared" si="4"/>
        <v>423.30562560000004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423.30562560000004</v>
      </c>
      <c r="Z22" s="386"/>
    </row>
    <row r="23" spans="1:26" s="9" customFormat="1" ht="15">
      <c r="A23" s="7"/>
      <c r="B23" s="105"/>
      <c r="C23" s="11">
        <v>23</v>
      </c>
      <c r="D23" s="55" t="s">
        <v>102</v>
      </c>
      <c r="E23" s="8">
        <v>132</v>
      </c>
      <c r="F23" s="45">
        <v>75</v>
      </c>
      <c r="G23" s="248">
        <f t="shared" si="0"/>
        <v>38.544000000000004</v>
      </c>
      <c r="H23" s="22">
        <v>36941.31805555556</v>
      </c>
      <c r="I23" s="29">
        <v>36941.59027777778</v>
      </c>
      <c r="J23" s="23">
        <f t="shared" si="1"/>
        <v>6.533333333325572</v>
      </c>
      <c r="K23" s="24">
        <f t="shared" si="2"/>
        <v>392</v>
      </c>
      <c r="L23" s="25" t="s">
        <v>125</v>
      </c>
      <c r="M23" s="26" t="str">
        <f t="shared" si="3"/>
        <v>--</v>
      </c>
      <c r="N23" s="265">
        <f t="shared" si="4"/>
        <v>75.50769600000001</v>
      </c>
      <c r="O23" s="270" t="str">
        <f t="shared" si="5"/>
        <v>--</v>
      </c>
      <c r="P23" s="275" t="str">
        <f t="shared" si="6"/>
        <v>--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75.50769600000001</v>
      </c>
      <c r="Z23" s="386"/>
    </row>
    <row r="24" spans="1:26" s="9" customFormat="1" ht="15">
      <c r="A24" s="7"/>
      <c r="B24" s="105"/>
      <c r="C24" s="11">
        <v>24</v>
      </c>
      <c r="D24" s="55" t="s">
        <v>12</v>
      </c>
      <c r="E24" s="8">
        <v>132</v>
      </c>
      <c r="F24" s="45">
        <v>17</v>
      </c>
      <c r="G24" s="248">
        <f t="shared" si="0"/>
        <v>12.848</v>
      </c>
      <c r="H24" s="22">
        <v>36942.166666666664</v>
      </c>
      <c r="I24" s="29">
        <v>36942.52361111111</v>
      </c>
      <c r="J24" s="23">
        <f t="shared" si="1"/>
        <v>8.566666666651145</v>
      </c>
      <c r="K24" s="24">
        <f t="shared" si="2"/>
        <v>514</v>
      </c>
      <c r="L24" s="25" t="s">
        <v>125</v>
      </c>
      <c r="M24" s="26" t="str">
        <f t="shared" si="3"/>
        <v>--</v>
      </c>
      <c r="N24" s="265">
        <f t="shared" si="4"/>
        <v>33.032208000000004</v>
      </c>
      <c r="O24" s="270" t="str">
        <f t="shared" si="5"/>
        <v>--</v>
      </c>
      <c r="P24" s="275" t="str">
        <f t="shared" si="6"/>
        <v>--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33.032208000000004</v>
      </c>
      <c r="Z24" s="386"/>
    </row>
    <row r="25" spans="1:26" s="9" customFormat="1" ht="15">
      <c r="A25" s="7"/>
      <c r="B25" s="105"/>
      <c r="C25" s="11">
        <v>25</v>
      </c>
      <c r="D25" s="55" t="s">
        <v>102</v>
      </c>
      <c r="E25" s="8">
        <v>132</v>
      </c>
      <c r="F25" s="45">
        <v>75</v>
      </c>
      <c r="G25" s="248">
        <f t="shared" si="0"/>
        <v>38.544000000000004</v>
      </c>
      <c r="H25" s="22">
        <v>36942.36666666667</v>
      </c>
      <c r="I25" s="29">
        <v>36942.69375</v>
      </c>
      <c r="J25" s="23">
        <f t="shared" si="1"/>
        <v>7.849999999918509</v>
      </c>
      <c r="K25" s="24">
        <f t="shared" si="2"/>
        <v>471</v>
      </c>
      <c r="L25" s="25" t="s">
        <v>125</v>
      </c>
      <c r="M25" s="26" t="str">
        <f t="shared" si="3"/>
        <v>--</v>
      </c>
      <c r="N25" s="265">
        <f t="shared" si="4"/>
        <v>90.77112000000001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90.77112000000001</v>
      </c>
      <c r="Z25" s="386"/>
    </row>
    <row r="26" spans="1:26" s="9" customFormat="1" ht="15">
      <c r="A26" s="7"/>
      <c r="B26" s="105"/>
      <c r="C26" s="11">
        <v>26</v>
      </c>
      <c r="D26" s="55" t="s">
        <v>101</v>
      </c>
      <c r="E26" s="8">
        <v>132</v>
      </c>
      <c r="F26" s="45">
        <v>115</v>
      </c>
      <c r="G26" s="248">
        <f t="shared" si="0"/>
        <v>59.10080000000001</v>
      </c>
      <c r="H26" s="22">
        <v>36943.47083333333</v>
      </c>
      <c r="I26" s="29">
        <v>36943.69236111111</v>
      </c>
      <c r="J26" s="23">
        <f t="shared" si="1"/>
        <v>5.316666666709352</v>
      </c>
      <c r="K26" s="24">
        <f t="shared" si="2"/>
        <v>319</v>
      </c>
      <c r="L26" s="25" t="s">
        <v>125</v>
      </c>
      <c r="M26" s="26" t="str">
        <f t="shared" si="3"/>
        <v>--</v>
      </c>
      <c r="N26" s="265">
        <f t="shared" si="4"/>
        <v>94.3248768</v>
      </c>
      <c r="O26" s="270" t="str">
        <f t="shared" si="5"/>
        <v>--</v>
      </c>
      <c r="P26" s="275" t="str">
        <f t="shared" si="6"/>
        <v>--</v>
      </c>
      <c r="Q26" s="276" t="str">
        <f t="shared" si="7"/>
        <v>--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94.3248768</v>
      </c>
      <c r="Z26" s="386"/>
    </row>
    <row r="27" spans="1:26" s="9" customFormat="1" ht="15">
      <c r="A27" s="7"/>
      <c r="B27" s="105"/>
      <c r="C27" s="11">
        <v>27</v>
      </c>
      <c r="D27" s="55" t="s">
        <v>14</v>
      </c>
      <c r="E27" s="8">
        <v>132</v>
      </c>
      <c r="F27" s="45">
        <v>31.5</v>
      </c>
      <c r="G27" s="248">
        <f t="shared" si="0"/>
        <v>16.188480000000002</v>
      </c>
      <c r="H27" s="22">
        <v>36944.35486111111</v>
      </c>
      <c r="I27" s="29">
        <v>36944.49722222222</v>
      </c>
      <c r="J27" s="23">
        <f t="shared" si="1"/>
        <v>3.4166666666278616</v>
      </c>
      <c r="K27" s="24">
        <f t="shared" si="2"/>
        <v>205</v>
      </c>
      <c r="L27" s="25" t="s">
        <v>125</v>
      </c>
      <c r="M27" s="26" t="str">
        <f t="shared" si="3"/>
        <v>--</v>
      </c>
      <c r="N27" s="265">
        <f t="shared" si="4"/>
        <v>16.609380480000002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16.609380480000002</v>
      </c>
      <c r="Z27" s="386"/>
    </row>
    <row r="28" spans="1:26" s="9" customFormat="1" ht="15">
      <c r="A28" s="7"/>
      <c r="B28" s="105"/>
      <c r="C28" s="11">
        <v>28</v>
      </c>
      <c r="D28" s="55" t="s">
        <v>114</v>
      </c>
      <c r="E28" s="8">
        <v>132</v>
      </c>
      <c r="F28" s="45">
        <v>235.1</v>
      </c>
      <c r="G28" s="248">
        <f t="shared" si="0"/>
        <v>120.822592</v>
      </c>
      <c r="H28" s="22">
        <v>36944.501388888886</v>
      </c>
      <c r="I28" s="29">
        <v>36944.725694444445</v>
      </c>
      <c r="J28" s="23">
        <f t="shared" si="1"/>
        <v>5.383333333418705</v>
      </c>
      <c r="K28" s="24">
        <f t="shared" si="2"/>
        <v>323</v>
      </c>
      <c r="L28" s="25" t="s">
        <v>125</v>
      </c>
      <c r="M28" s="26" t="str">
        <f t="shared" si="3"/>
        <v>--</v>
      </c>
      <c r="N28" s="265">
        <f t="shared" si="4"/>
        <v>195.00766348799996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195.00766348799996</v>
      </c>
      <c r="Z28" s="10"/>
    </row>
    <row r="29" spans="1:26" s="9" customFormat="1" ht="15">
      <c r="A29" s="7"/>
      <c r="B29" s="105"/>
      <c r="C29" s="11">
        <v>29</v>
      </c>
      <c r="D29" s="55" t="s">
        <v>114</v>
      </c>
      <c r="E29" s="8">
        <v>132</v>
      </c>
      <c r="F29" s="45">
        <v>235.1</v>
      </c>
      <c r="G29" s="248">
        <f t="shared" si="0"/>
        <v>120.822592</v>
      </c>
      <c r="H29" s="22">
        <v>36945.38611111111</v>
      </c>
      <c r="I29" s="29">
        <v>36945.743055555555</v>
      </c>
      <c r="J29" s="23">
        <f t="shared" si="1"/>
        <v>8.566666666651145</v>
      </c>
      <c r="K29" s="24">
        <f t="shared" si="2"/>
        <v>514</v>
      </c>
      <c r="L29" s="25" t="s">
        <v>125</v>
      </c>
      <c r="M29" s="26" t="str">
        <f t="shared" si="3"/>
        <v>--</v>
      </c>
      <c r="N29" s="265">
        <f t="shared" si="4"/>
        <v>310.63488403200006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310.63488403200006</v>
      </c>
      <c r="Z29" s="10"/>
    </row>
    <row r="30" spans="1:26" s="9" customFormat="1" ht="15">
      <c r="A30" s="7"/>
      <c r="B30" s="105"/>
      <c r="C30" s="11">
        <v>30</v>
      </c>
      <c r="D30" s="55" t="s">
        <v>104</v>
      </c>
      <c r="E30" s="8">
        <v>132</v>
      </c>
      <c r="F30" s="45">
        <v>80.3</v>
      </c>
      <c r="G30" s="248">
        <f t="shared" si="0"/>
        <v>41.267776000000005</v>
      </c>
      <c r="H30" s="22">
        <v>36947.29513888889</v>
      </c>
      <c r="I30" s="29">
        <v>36947.67638888889</v>
      </c>
      <c r="J30" s="23">
        <f t="shared" si="1"/>
        <v>9.149999999965075</v>
      </c>
      <c r="K30" s="24">
        <f t="shared" si="2"/>
        <v>549</v>
      </c>
      <c r="L30" s="25" t="s">
        <v>125</v>
      </c>
      <c r="M30" s="26" t="str">
        <f t="shared" si="3"/>
        <v>--</v>
      </c>
      <c r="N30" s="265">
        <f t="shared" si="4"/>
        <v>113.28004512000004</v>
      </c>
      <c r="O30" s="270" t="str">
        <f t="shared" si="5"/>
        <v>--</v>
      </c>
      <c r="P30" s="275" t="str">
        <f t="shared" si="6"/>
        <v>--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113.28004512000004</v>
      </c>
      <c r="Z30" s="10"/>
    </row>
    <row r="31" spans="1:26" s="9" customFormat="1" ht="15">
      <c r="A31" s="7"/>
      <c r="B31" s="105"/>
      <c r="C31" s="11">
        <v>31</v>
      </c>
      <c r="D31" s="55" t="s">
        <v>123</v>
      </c>
      <c r="E31" s="8">
        <v>132</v>
      </c>
      <c r="F31" s="45">
        <v>72</v>
      </c>
      <c r="G31" s="248">
        <f t="shared" si="0"/>
        <v>37.00224</v>
      </c>
      <c r="H31" s="22">
        <v>36947.29513888889</v>
      </c>
      <c r="I31" s="29">
        <v>36947.67638888889</v>
      </c>
      <c r="J31" s="23">
        <f t="shared" si="1"/>
        <v>9.149999999965075</v>
      </c>
      <c r="K31" s="24">
        <f t="shared" si="2"/>
        <v>549</v>
      </c>
      <c r="L31" s="25" t="s">
        <v>125</v>
      </c>
      <c r="M31" s="26" t="str">
        <f t="shared" si="3"/>
        <v>--</v>
      </c>
      <c r="N31" s="265">
        <f t="shared" si="4"/>
        <v>101.57114879999999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101.57114879999999</v>
      </c>
      <c r="Z31" s="10"/>
    </row>
    <row r="32" spans="1:26" s="9" customFormat="1" ht="15">
      <c r="A32" s="7"/>
      <c r="B32" s="105"/>
      <c r="C32" s="11">
        <v>32</v>
      </c>
      <c r="D32" s="55" t="s">
        <v>103</v>
      </c>
      <c r="E32" s="8">
        <v>132</v>
      </c>
      <c r="F32" s="45">
        <v>102</v>
      </c>
      <c r="G32" s="248">
        <f t="shared" si="0"/>
        <v>52.41984000000001</v>
      </c>
      <c r="H32" s="22">
        <v>36947.29513888889</v>
      </c>
      <c r="I32" s="29">
        <v>36947.67638888889</v>
      </c>
      <c r="J32" s="23">
        <f t="shared" si="1"/>
        <v>9.149999999965075</v>
      </c>
      <c r="K32" s="24">
        <f t="shared" si="2"/>
        <v>549</v>
      </c>
      <c r="L32" s="25" t="s">
        <v>125</v>
      </c>
      <c r="M32" s="26" t="str">
        <f t="shared" si="3"/>
        <v>--</v>
      </c>
      <c r="N32" s="265">
        <f t="shared" si="4"/>
        <v>143.89246080000004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143.89246080000004</v>
      </c>
      <c r="Z32" s="10"/>
    </row>
    <row r="33" spans="1:26" s="9" customFormat="1" ht="15">
      <c r="A33" s="7"/>
      <c r="B33" s="105"/>
      <c r="C33" s="11">
        <v>33</v>
      </c>
      <c r="D33" s="55" t="s">
        <v>8</v>
      </c>
      <c r="E33" s="8">
        <v>132</v>
      </c>
      <c r="F33" s="45">
        <v>14.5</v>
      </c>
      <c r="G33" s="248">
        <f t="shared" si="0"/>
        <v>12.848</v>
      </c>
      <c r="H33" s="22">
        <v>36948.419444444444</v>
      </c>
      <c r="I33" s="29">
        <v>36948.59375</v>
      </c>
      <c r="J33" s="23">
        <f t="shared" si="1"/>
        <v>4.183333333348855</v>
      </c>
      <c r="K33" s="24">
        <f t="shared" si="2"/>
        <v>251</v>
      </c>
      <c r="L33" s="25" t="s">
        <v>125</v>
      </c>
      <c r="M33" s="26" t="str">
        <f t="shared" si="3"/>
        <v>--</v>
      </c>
      <c r="N33" s="265">
        <f t="shared" si="4"/>
        <v>16.111392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16.111392</v>
      </c>
      <c r="Z33" s="10"/>
    </row>
    <row r="34" spans="1:26" s="9" customFormat="1" ht="15">
      <c r="A34" s="7"/>
      <c r="B34" s="105"/>
      <c r="C34" s="11">
        <v>34</v>
      </c>
      <c r="D34" s="55" t="s">
        <v>13</v>
      </c>
      <c r="E34" s="8">
        <v>132</v>
      </c>
      <c r="F34" s="45">
        <v>27</v>
      </c>
      <c r="G34" s="248">
        <f t="shared" si="0"/>
        <v>13.875840000000002</v>
      </c>
      <c r="H34" s="22">
        <v>36949.51944444444</v>
      </c>
      <c r="I34" s="29">
        <v>36949.520833333336</v>
      </c>
      <c r="J34" s="23">
        <f t="shared" si="1"/>
        <v>0.033333333441987634</v>
      </c>
      <c r="K34" s="24">
        <f t="shared" si="2"/>
        <v>2</v>
      </c>
      <c r="L34" s="25" t="s">
        <v>126</v>
      </c>
      <c r="M34" s="26" t="str">
        <f t="shared" si="3"/>
        <v>--</v>
      </c>
      <c r="N34" s="265" t="str">
        <f t="shared" si="4"/>
        <v>--</v>
      </c>
      <c r="O34" s="270" t="str">
        <f t="shared" si="5"/>
        <v>--</v>
      </c>
      <c r="P34" s="275">
        <f t="shared" si="6"/>
        <v>416.27520000000004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416.27520000000004</v>
      </c>
      <c r="Z34" s="10"/>
    </row>
    <row r="35" spans="1:26" s="9" customFormat="1" ht="15">
      <c r="A35" s="7"/>
      <c r="B35" s="105"/>
      <c r="C35" s="11"/>
      <c r="D35" s="55"/>
      <c r="E35" s="8"/>
      <c r="F35" s="45"/>
      <c r="G35" s="248">
        <f t="shared" si="0"/>
        <v>12.848</v>
      </c>
      <c r="H35" s="22"/>
      <c r="I35" s="29"/>
      <c r="J35" s="23">
        <f t="shared" si="1"/>
      </c>
      <c r="K35" s="24">
        <f t="shared" si="2"/>
      </c>
      <c r="L35" s="25"/>
      <c r="M35" s="26">
        <f t="shared" si="3"/>
      </c>
      <c r="N35" s="265" t="str">
        <f t="shared" si="4"/>
        <v>--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>
        <f t="shared" si="14"/>
      </c>
      <c r="Y35" s="57">
        <f t="shared" si="15"/>
      </c>
      <c r="Z35" s="10"/>
    </row>
    <row r="36" spans="1:26" s="9" customFormat="1" ht="15">
      <c r="A36" s="7"/>
      <c r="B36" s="105"/>
      <c r="C36" s="11"/>
      <c r="D36" s="55"/>
      <c r="E36" s="8"/>
      <c r="F36" s="45"/>
      <c r="G36" s="248">
        <f t="shared" si="0"/>
        <v>12.848</v>
      </c>
      <c r="H36" s="22"/>
      <c r="I36" s="29"/>
      <c r="J36" s="23">
        <f t="shared" si="1"/>
      </c>
      <c r="K36" s="24">
        <f t="shared" si="2"/>
      </c>
      <c r="L36" s="25"/>
      <c r="M36" s="26">
        <f t="shared" si="3"/>
      </c>
      <c r="N36" s="265" t="str">
        <f t="shared" si="4"/>
        <v>--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>
        <f t="shared" si="14"/>
      </c>
      <c r="Y36" s="57">
        <f t="shared" si="15"/>
      </c>
      <c r="Z36" s="10"/>
    </row>
    <row r="37" spans="1:26" s="9" customFormat="1" ht="15">
      <c r="A37" s="7"/>
      <c r="B37" s="105"/>
      <c r="C37" s="11"/>
      <c r="D37" s="55"/>
      <c r="E37" s="8"/>
      <c r="F37" s="45"/>
      <c r="G37" s="248">
        <f t="shared" si="0"/>
        <v>12.848</v>
      </c>
      <c r="H37" s="22"/>
      <c r="I37" s="29"/>
      <c r="J37" s="23">
        <f t="shared" si="1"/>
      </c>
      <c r="K37" s="24">
        <f t="shared" si="2"/>
      </c>
      <c r="L37" s="25"/>
      <c r="M37" s="26">
        <f t="shared" si="3"/>
      </c>
      <c r="N37" s="265" t="str">
        <f t="shared" si="4"/>
        <v>--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>
        <f t="shared" si="14"/>
      </c>
      <c r="Y37" s="57">
        <f t="shared" si="15"/>
      </c>
      <c r="Z37" s="10"/>
    </row>
    <row r="38" spans="1:26" s="9" customFormat="1" ht="15">
      <c r="A38" s="7"/>
      <c r="B38" s="105"/>
      <c r="C38" s="11"/>
      <c r="D38" s="55"/>
      <c r="E38" s="8"/>
      <c r="F38" s="45"/>
      <c r="G38" s="248">
        <f t="shared" si="0"/>
        <v>12.848</v>
      </c>
      <c r="H38" s="22"/>
      <c r="I38" s="29"/>
      <c r="J38" s="23">
        <f t="shared" si="1"/>
      </c>
      <c r="K38" s="24">
        <f t="shared" si="2"/>
      </c>
      <c r="L38" s="25"/>
      <c r="M38" s="26">
        <f t="shared" si="3"/>
      </c>
      <c r="N38" s="265" t="str">
        <f t="shared" si="4"/>
        <v>--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>
        <f t="shared" si="14"/>
      </c>
      <c r="Y38" s="57">
        <f t="shared" si="15"/>
      </c>
      <c r="Z38" s="10"/>
    </row>
    <row r="39" spans="1:26" s="9" customFormat="1" ht="15">
      <c r="A39" s="7"/>
      <c r="B39" s="105"/>
      <c r="C39" s="11"/>
      <c r="D39" s="55"/>
      <c r="E39" s="8"/>
      <c r="F39" s="45"/>
      <c r="G39" s="248">
        <f t="shared" si="0"/>
        <v>12.848</v>
      </c>
      <c r="H39" s="22"/>
      <c r="I39" s="29"/>
      <c r="J39" s="23">
        <f t="shared" si="1"/>
      </c>
      <c r="K39" s="24">
        <f t="shared" si="2"/>
      </c>
      <c r="L39" s="25"/>
      <c r="M39" s="26">
        <f t="shared" si="3"/>
      </c>
      <c r="N39" s="265" t="str">
        <f t="shared" si="4"/>
        <v>--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>
        <f t="shared" si="14"/>
      </c>
      <c r="Y39" s="57">
        <f t="shared" si="15"/>
      </c>
      <c r="Z39" s="10"/>
    </row>
    <row r="40" spans="1:26" s="9" customFormat="1" ht="15">
      <c r="A40" s="7"/>
      <c r="B40" s="105"/>
      <c r="C40" s="11"/>
      <c r="D40" s="55"/>
      <c r="E40" s="8"/>
      <c r="F40" s="45"/>
      <c r="G40" s="248">
        <f t="shared" si="0"/>
        <v>12.848</v>
      </c>
      <c r="H40" s="22"/>
      <c r="I40" s="29"/>
      <c r="J40" s="23">
        <f t="shared" si="1"/>
      </c>
      <c r="K40" s="24">
        <f t="shared" si="2"/>
      </c>
      <c r="L40" s="25"/>
      <c r="M40" s="26">
        <f t="shared" si="3"/>
      </c>
      <c r="N40" s="265" t="str">
        <f t="shared" si="4"/>
        <v>--</v>
      </c>
      <c r="O40" s="270" t="str">
        <f t="shared" si="5"/>
        <v>--</v>
      </c>
      <c r="P40" s="275" t="str">
        <f t="shared" si="6"/>
        <v>--</v>
      </c>
      <c r="Q40" s="276" t="str">
        <f t="shared" si="7"/>
        <v>--</v>
      </c>
      <c r="R40" s="277" t="str">
        <f t="shared" si="8"/>
        <v>--</v>
      </c>
      <c r="S40" s="290" t="str">
        <f t="shared" si="9"/>
        <v>--</v>
      </c>
      <c r="T40" s="294" t="str">
        <f t="shared" si="10"/>
        <v>--</v>
      </c>
      <c r="U40" s="298" t="str">
        <f t="shared" si="11"/>
        <v>--</v>
      </c>
      <c r="V40" s="303" t="str">
        <f t="shared" si="12"/>
        <v>--</v>
      </c>
      <c r="W40" s="308" t="str">
        <f t="shared" si="13"/>
        <v>--</v>
      </c>
      <c r="X40" s="56">
        <f t="shared" si="14"/>
      </c>
      <c r="Y40" s="57">
        <f t="shared" si="15"/>
      </c>
      <c r="Z40" s="10"/>
    </row>
    <row r="41" spans="1:26" s="9" customFormat="1" ht="15.75" thickBot="1">
      <c r="A41" s="7"/>
      <c r="B41" s="105"/>
      <c r="C41" s="58"/>
      <c r="D41" s="59"/>
      <c r="E41" s="60"/>
      <c r="F41" s="61"/>
      <c r="G41" s="249"/>
      <c r="H41" s="27"/>
      <c r="I41" s="27"/>
      <c r="J41" s="27"/>
      <c r="K41" s="27"/>
      <c r="L41" s="27"/>
      <c r="M41" s="62"/>
      <c r="N41" s="266"/>
      <c r="O41" s="271"/>
      <c r="P41" s="278"/>
      <c r="Q41" s="279"/>
      <c r="R41" s="280"/>
      <c r="S41" s="291"/>
      <c r="T41" s="295"/>
      <c r="U41" s="299"/>
      <c r="V41" s="304"/>
      <c r="W41" s="309"/>
      <c r="X41" s="28"/>
      <c r="Y41" s="146"/>
      <c r="Z41" s="10"/>
    </row>
    <row r="42" spans="1:26" s="9" customFormat="1" ht="17.25" thickBot="1" thickTop="1">
      <c r="A42" s="7"/>
      <c r="B42" s="105"/>
      <c r="C42" s="234" t="s">
        <v>74</v>
      </c>
      <c r="D42" s="235" t="s">
        <v>75</v>
      </c>
      <c r="E42" s="7"/>
      <c r="F42" s="7"/>
      <c r="G42" s="7"/>
      <c r="H42" s="7"/>
      <c r="I42" s="7"/>
      <c r="J42" s="7"/>
      <c r="K42" s="7"/>
      <c r="L42" s="7"/>
      <c r="M42" s="7"/>
      <c r="N42" s="283">
        <f aca="true" t="shared" si="16" ref="N42:W42">SUM(N19:N41)</f>
        <v>1748.5053907200002</v>
      </c>
      <c r="O42" s="284">
        <f t="shared" si="16"/>
        <v>0</v>
      </c>
      <c r="P42" s="310">
        <f t="shared" si="16"/>
        <v>416.27520000000004</v>
      </c>
      <c r="Q42" s="310">
        <f t="shared" si="16"/>
        <v>0</v>
      </c>
      <c r="R42" s="310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2">
        <f t="shared" si="16"/>
        <v>0</v>
      </c>
      <c r="W42" s="313">
        <f t="shared" si="16"/>
        <v>0</v>
      </c>
      <c r="X42" s="7"/>
      <c r="Y42" s="400">
        <f>ROUND(SUM(Y19:Y41),2)</f>
        <v>6661.1</v>
      </c>
      <c r="Z42" s="10"/>
    </row>
    <row r="43" spans="1:26" s="240" customFormat="1" ht="13.5" thickTop="1">
      <c r="A43" s="238"/>
      <c r="B43" s="239"/>
      <c r="C43" s="236"/>
      <c r="D43" s="237" t="s">
        <v>76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1122">
    <pageSetUpPr fitToPage="1"/>
  </sheetPr>
  <dimension ref="A1:AM39"/>
  <sheetViews>
    <sheetView zoomScale="75" zoomScaleNormal="75" workbookViewId="0" topLeftCell="M13">
      <selection activeCell="AB21" sqref="AB21"/>
    </sheetView>
  </sheetViews>
  <sheetFormatPr defaultColWidth="11.421875" defaultRowHeight="12.75" outlineLevelCol="1"/>
  <cols>
    <col min="1" max="1" width="22.00390625" style="751" customWidth="1"/>
    <col min="2" max="2" width="15.7109375" style="751" customWidth="1"/>
    <col min="3" max="4" width="5.28125" style="751" customWidth="1"/>
    <col min="5" max="5" width="4.7109375" style="751" customWidth="1"/>
    <col min="6" max="6" width="41.28125" style="751" customWidth="1"/>
    <col min="7" max="7" width="5.8515625" style="751" customWidth="1"/>
    <col min="8" max="8" width="7.140625" style="751" bestFit="1" customWidth="1"/>
    <col min="9" max="9" width="10.8515625" style="751" hidden="1" customWidth="1" outlineLevel="1"/>
    <col min="10" max="10" width="16.28125" style="751" customWidth="1" collapsed="1"/>
    <col min="11" max="11" width="16.28125" style="751" customWidth="1"/>
    <col min="12" max="12" width="7.140625" style="755" customWidth="1"/>
    <col min="13" max="13" width="7.8515625" style="751" customWidth="1"/>
    <col min="14" max="14" width="7.140625" style="751" customWidth="1"/>
    <col min="15" max="15" width="6.57421875" style="751" customWidth="1"/>
    <col min="16" max="16" width="5.421875" style="751" customWidth="1"/>
    <col min="17" max="17" width="6.00390625" style="751" bestFit="1" customWidth="1"/>
    <col min="18" max="18" width="17.140625" style="751" hidden="1" customWidth="1" outlineLevel="1"/>
    <col min="19" max="19" width="16.28125" style="751" hidden="1" customWidth="1" outlineLevel="1"/>
    <col min="20" max="20" width="13.7109375" style="751" hidden="1" customWidth="1" outlineLevel="1"/>
    <col min="21" max="21" width="13.28125" style="756" customWidth="1" collapsed="1"/>
    <col min="22" max="22" width="8.57421875" style="751" customWidth="1"/>
    <col min="23" max="23" width="7.421875" style="751" bestFit="1" customWidth="1"/>
    <col min="24" max="24" width="7.28125" style="756" customWidth="1"/>
    <col min="25" max="25" width="8.57421875" style="756" customWidth="1"/>
    <col min="26" max="26" width="4.140625" style="756" bestFit="1" customWidth="1"/>
    <col min="27" max="27" width="8.57421875" style="756" bestFit="1" customWidth="1"/>
    <col min="28" max="28" width="7.57421875" style="756" bestFit="1" customWidth="1"/>
    <col min="29" max="29" width="11.8515625" style="756" customWidth="1"/>
    <col min="30" max="30" width="16.57421875" style="756" hidden="1" customWidth="1" outlineLevel="1"/>
    <col min="31" max="31" width="15.7109375" style="751" hidden="1" customWidth="1" outlineLevel="1"/>
    <col min="32" max="32" width="15.8515625" style="751" hidden="1" customWidth="1" outlineLevel="1"/>
    <col min="33" max="33" width="16.00390625" style="751" hidden="1" customWidth="1" outlineLevel="1"/>
    <col min="34" max="34" width="14.57421875" style="751" hidden="1" customWidth="1" outlineLevel="1"/>
    <col min="35" max="35" width="17.140625" style="751" hidden="1" customWidth="1" outlineLevel="1"/>
    <col min="36" max="36" width="18.00390625" style="751" customWidth="1" collapsed="1"/>
    <col min="37" max="37" width="13.28125" style="751" bestFit="1" customWidth="1"/>
    <col min="38" max="38" width="12.28125" style="751" customWidth="1"/>
    <col min="39" max="39" width="30.421875" style="751" customWidth="1"/>
    <col min="40" max="40" width="3.140625" style="751" customWidth="1"/>
    <col min="41" max="41" width="3.57421875" style="751" customWidth="1"/>
    <col min="42" max="42" width="24.28125" style="751" customWidth="1"/>
    <col min="43" max="43" width="4.7109375" style="751" customWidth="1"/>
    <col min="44" max="44" width="7.57421875" style="751" customWidth="1"/>
    <col min="45" max="46" width="4.140625" style="751" customWidth="1"/>
    <col min="47" max="47" width="7.140625" style="751" customWidth="1"/>
    <col min="48" max="48" width="5.28125" style="751" customWidth="1"/>
    <col min="49" max="49" width="5.421875" style="751" customWidth="1"/>
    <col min="50" max="50" width="4.7109375" style="751" customWidth="1"/>
    <col min="51" max="51" width="5.28125" style="751" customWidth="1"/>
    <col min="52" max="53" width="13.28125" style="751" customWidth="1"/>
    <col min="54" max="54" width="6.57421875" style="751" customWidth="1"/>
    <col min="55" max="55" width="6.421875" style="751" customWidth="1"/>
    <col min="56" max="59" width="11.421875" style="751" customWidth="1"/>
    <col min="60" max="60" width="12.7109375" style="751" customWidth="1"/>
    <col min="61" max="63" width="11.421875" style="751" customWidth="1"/>
    <col min="64" max="64" width="21.00390625" style="751" customWidth="1"/>
    <col min="65" max="16384" width="11.421875" style="751" customWidth="1"/>
  </cols>
  <sheetData>
    <row r="1" spans="1:38" s="507" customFormat="1" ht="26.25">
      <c r="A1" s="506"/>
      <c r="L1" s="506"/>
      <c r="U1" s="506"/>
      <c r="X1" s="506"/>
      <c r="Y1" s="506"/>
      <c r="Z1" s="506"/>
      <c r="AA1" s="506"/>
      <c r="AB1" s="506"/>
      <c r="AC1" s="506"/>
      <c r="AD1" s="506"/>
      <c r="AL1" s="508"/>
    </row>
    <row r="2" spans="1:38" s="507" customFormat="1" ht="26.25">
      <c r="A2" s="506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10"/>
      <c r="M2" s="509"/>
      <c r="N2" s="509"/>
      <c r="O2" s="509"/>
      <c r="P2" s="509"/>
      <c r="Q2" s="509"/>
      <c r="R2" s="509"/>
      <c r="S2" s="509"/>
      <c r="T2" s="509"/>
      <c r="U2" s="510"/>
      <c r="V2" s="509"/>
      <c r="W2" s="509"/>
      <c r="X2" s="510"/>
      <c r="Y2" s="510"/>
      <c r="Z2" s="510"/>
      <c r="AA2" s="510"/>
      <c r="AB2" s="510"/>
      <c r="AC2" s="510"/>
      <c r="AD2" s="510"/>
      <c r="AE2" s="509"/>
      <c r="AF2" s="509"/>
      <c r="AG2" s="509"/>
      <c r="AH2" s="509"/>
      <c r="AI2" s="509"/>
      <c r="AJ2" s="509"/>
      <c r="AK2" s="509"/>
      <c r="AL2" s="509"/>
    </row>
    <row r="3" spans="1:30" s="512" customFormat="1" ht="12.75">
      <c r="A3" s="511"/>
      <c r="L3" s="511"/>
      <c r="U3" s="511"/>
      <c r="X3" s="511"/>
      <c r="Y3" s="511"/>
      <c r="Z3" s="511"/>
      <c r="AA3" s="511"/>
      <c r="AB3" s="511"/>
      <c r="AC3" s="511"/>
      <c r="AD3" s="511"/>
    </row>
    <row r="4" spans="1:30" s="515" customFormat="1" ht="11.25">
      <c r="A4" s="513" t="s">
        <v>36</v>
      </c>
      <c r="B4" s="514"/>
      <c r="C4" s="514"/>
      <c r="D4" s="514"/>
      <c r="L4" s="516"/>
      <c r="U4" s="516"/>
      <c r="X4" s="516"/>
      <c r="Y4" s="516"/>
      <c r="Z4" s="516"/>
      <c r="AA4" s="516"/>
      <c r="AB4" s="516"/>
      <c r="AC4" s="516"/>
      <c r="AD4" s="516"/>
    </row>
    <row r="5" spans="1:30" s="515" customFormat="1" ht="11.25">
      <c r="A5" s="513" t="s">
        <v>37</v>
      </c>
      <c r="B5" s="514"/>
      <c r="C5" s="514"/>
      <c r="D5" s="514"/>
      <c r="L5" s="516"/>
      <c r="U5" s="516"/>
      <c r="X5" s="516"/>
      <c r="Y5" s="516"/>
      <c r="Z5" s="516"/>
      <c r="AA5" s="516"/>
      <c r="AB5" s="516"/>
      <c r="AC5" s="516"/>
      <c r="AD5" s="516"/>
    </row>
    <row r="6" spans="6:30" s="512" customFormat="1" ht="111.75" customHeight="1" thickBot="1">
      <c r="F6" s="517"/>
      <c r="G6" s="511"/>
      <c r="H6" s="511"/>
      <c r="I6" s="511"/>
      <c r="J6" s="511"/>
      <c r="K6" s="511"/>
      <c r="L6" s="511"/>
      <c r="M6" s="511"/>
      <c r="N6" s="511"/>
      <c r="U6" s="511"/>
      <c r="X6" s="511"/>
      <c r="Y6" s="511"/>
      <c r="Z6" s="511"/>
      <c r="AA6" s="511"/>
      <c r="AB6" s="511"/>
      <c r="AC6" s="511"/>
      <c r="AD6" s="511"/>
    </row>
    <row r="7" spans="2:38" s="512" customFormat="1" ht="13.5" thickTop="1">
      <c r="B7" s="518"/>
      <c r="C7" s="519"/>
      <c r="D7" s="519"/>
      <c r="E7" s="519"/>
      <c r="F7" s="519"/>
      <c r="G7" s="520"/>
      <c r="H7" s="519"/>
      <c r="I7" s="519"/>
      <c r="J7" s="519"/>
      <c r="K7" s="519"/>
      <c r="L7" s="521"/>
      <c r="M7" s="519"/>
      <c r="N7" s="519"/>
      <c r="O7" s="519"/>
      <c r="P7" s="519"/>
      <c r="Q7" s="519"/>
      <c r="R7" s="519"/>
      <c r="S7" s="519"/>
      <c r="T7" s="519"/>
      <c r="U7" s="521"/>
      <c r="V7" s="519"/>
      <c r="W7" s="519"/>
      <c r="X7" s="521"/>
      <c r="Y7" s="521"/>
      <c r="Z7" s="521"/>
      <c r="AA7" s="521"/>
      <c r="AB7" s="521"/>
      <c r="AC7" s="521"/>
      <c r="AD7" s="521"/>
      <c r="AE7" s="519"/>
      <c r="AF7" s="519"/>
      <c r="AG7" s="519"/>
      <c r="AH7" s="519"/>
      <c r="AI7" s="519"/>
      <c r="AJ7" s="519"/>
      <c r="AK7" s="519"/>
      <c r="AL7" s="522"/>
    </row>
    <row r="8" spans="2:38" s="523" customFormat="1" ht="20.25">
      <c r="B8" s="524"/>
      <c r="C8" s="525"/>
      <c r="D8" s="525"/>
      <c r="E8" s="525"/>
      <c r="F8" s="526" t="s">
        <v>145</v>
      </c>
      <c r="G8" s="525"/>
      <c r="H8" s="525"/>
      <c r="L8" s="527"/>
      <c r="N8" s="525"/>
      <c r="O8" s="525"/>
      <c r="P8" s="528"/>
      <c r="Q8" s="528"/>
      <c r="R8" s="525"/>
      <c r="S8" s="525"/>
      <c r="T8" s="525"/>
      <c r="U8" s="529"/>
      <c r="V8" s="525"/>
      <c r="W8" s="525"/>
      <c r="X8" s="529"/>
      <c r="Y8" s="529"/>
      <c r="Z8" s="529"/>
      <c r="AA8" s="529"/>
      <c r="AB8" s="529"/>
      <c r="AC8" s="529"/>
      <c r="AD8" s="529"/>
      <c r="AE8" s="525"/>
      <c r="AF8" s="525"/>
      <c r="AG8" s="525"/>
      <c r="AH8" s="525"/>
      <c r="AI8" s="525"/>
      <c r="AJ8" s="525"/>
      <c r="AK8" s="525"/>
      <c r="AL8" s="530"/>
    </row>
    <row r="9" spans="2:38" s="512" customFormat="1" ht="12.75">
      <c r="B9" s="531"/>
      <c r="C9" s="532"/>
      <c r="D9" s="532"/>
      <c r="E9" s="532"/>
      <c r="F9" s="532"/>
      <c r="G9" s="532"/>
      <c r="H9" s="532"/>
      <c r="I9" s="532"/>
      <c r="J9" s="532"/>
      <c r="K9" s="532"/>
      <c r="L9" s="533"/>
      <c r="M9" s="532"/>
      <c r="N9" s="532"/>
      <c r="O9" s="532"/>
      <c r="P9" s="532"/>
      <c r="Q9" s="532"/>
      <c r="R9" s="532"/>
      <c r="S9" s="532"/>
      <c r="T9" s="532"/>
      <c r="U9" s="533"/>
      <c r="V9" s="532"/>
      <c r="W9" s="532"/>
      <c r="X9" s="533"/>
      <c r="Y9" s="533"/>
      <c r="Z9" s="533"/>
      <c r="AA9" s="533"/>
      <c r="AB9" s="533"/>
      <c r="AC9" s="533"/>
      <c r="AD9" s="533"/>
      <c r="AE9" s="532"/>
      <c r="AF9" s="532"/>
      <c r="AG9" s="532"/>
      <c r="AH9" s="532"/>
      <c r="AI9" s="532"/>
      <c r="AJ9" s="532"/>
      <c r="AK9" s="532"/>
      <c r="AL9" s="534"/>
    </row>
    <row r="10" spans="2:38" s="523" customFormat="1" ht="20.25">
      <c r="B10" s="524"/>
      <c r="C10" s="525"/>
      <c r="D10" s="525"/>
      <c r="E10" s="525"/>
      <c r="F10" s="535" t="s">
        <v>146</v>
      </c>
      <c r="G10" s="525"/>
      <c r="H10" s="525"/>
      <c r="I10" s="525"/>
      <c r="J10" s="525"/>
      <c r="K10" s="525"/>
      <c r="L10" s="529"/>
      <c r="M10" s="525"/>
      <c r="N10" s="525"/>
      <c r="O10" s="525"/>
      <c r="P10" s="525"/>
      <c r="Q10" s="525"/>
      <c r="R10" s="525"/>
      <c r="S10" s="525"/>
      <c r="T10" s="525"/>
      <c r="U10" s="529"/>
      <c r="V10" s="525"/>
      <c r="W10" s="525"/>
      <c r="X10" s="529"/>
      <c r="Y10" s="529"/>
      <c r="Z10" s="529"/>
      <c r="AA10" s="529"/>
      <c r="AB10" s="529"/>
      <c r="AC10" s="529"/>
      <c r="AD10" s="529"/>
      <c r="AE10" s="525"/>
      <c r="AF10" s="525"/>
      <c r="AG10" s="525"/>
      <c r="AH10" s="525"/>
      <c r="AI10" s="525"/>
      <c r="AJ10" s="525"/>
      <c r="AK10" s="525"/>
      <c r="AL10" s="530"/>
    </row>
    <row r="11" spans="2:38" s="512" customFormat="1" ht="12.75">
      <c r="B11" s="531"/>
      <c r="C11" s="532"/>
      <c r="D11" s="532"/>
      <c r="E11" s="532"/>
      <c r="F11" s="532"/>
      <c r="G11" s="532"/>
      <c r="H11" s="532"/>
      <c r="I11" s="532"/>
      <c r="J11" s="532"/>
      <c r="K11" s="532"/>
      <c r="L11" s="533"/>
      <c r="M11" s="532"/>
      <c r="N11" s="532"/>
      <c r="O11" s="532"/>
      <c r="P11" s="532"/>
      <c r="Q11" s="532"/>
      <c r="R11" s="532"/>
      <c r="S11" s="532"/>
      <c r="T11" s="532"/>
      <c r="U11" s="533"/>
      <c r="V11" s="532"/>
      <c r="W11" s="532"/>
      <c r="X11" s="533"/>
      <c r="Y11" s="533"/>
      <c r="Z11" s="533"/>
      <c r="AA11" s="533"/>
      <c r="AB11" s="533"/>
      <c r="AC11" s="533"/>
      <c r="AD11" s="533"/>
      <c r="AE11" s="532"/>
      <c r="AF11" s="532"/>
      <c r="AG11" s="532"/>
      <c r="AH11" s="532"/>
      <c r="AI11" s="532"/>
      <c r="AJ11" s="532"/>
      <c r="AK11" s="532"/>
      <c r="AL11" s="534"/>
    </row>
    <row r="12" spans="2:38" s="512" customFormat="1" ht="12.75"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3"/>
      <c r="M12" s="532"/>
      <c r="N12" s="532"/>
      <c r="O12" s="532"/>
      <c r="P12" s="532"/>
      <c r="Q12" s="532"/>
      <c r="R12" s="532"/>
      <c r="S12" s="532"/>
      <c r="T12" s="532"/>
      <c r="U12" s="533"/>
      <c r="V12" s="532"/>
      <c r="W12" s="532"/>
      <c r="X12" s="533"/>
      <c r="Y12" s="533"/>
      <c r="Z12" s="533"/>
      <c r="AA12" s="533"/>
      <c r="AB12" s="533"/>
      <c r="AC12" s="533"/>
      <c r="AD12" s="533"/>
      <c r="AE12" s="532"/>
      <c r="AF12" s="532"/>
      <c r="AG12" s="532"/>
      <c r="AH12" s="532"/>
      <c r="AI12" s="532"/>
      <c r="AJ12" s="532"/>
      <c r="AK12" s="532"/>
      <c r="AL12" s="534"/>
    </row>
    <row r="13" spans="2:38" s="536" customFormat="1" ht="19.5">
      <c r="B13" s="537" t="str">
        <f>'tot-0102'!B14</f>
        <v>Desde el 01 al 28 de febrero de 2001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9"/>
      <c r="M13" s="538"/>
      <c r="N13" s="540"/>
      <c r="O13" s="540"/>
      <c r="P13" s="538"/>
      <c r="Q13" s="538"/>
      <c r="R13" s="538"/>
      <c r="S13" s="538"/>
      <c r="T13" s="538"/>
      <c r="U13" s="539"/>
      <c r="V13" s="538"/>
      <c r="W13" s="538"/>
      <c r="X13" s="539"/>
      <c r="Y13" s="539"/>
      <c r="Z13" s="539"/>
      <c r="AA13" s="539"/>
      <c r="AB13" s="539"/>
      <c r="AC13" s="539"/>
      <c r="AD13" s="539"/>
      <c r="AE13" s="538"/>
      <c r="AF13" s="538"/>
      <c r="AG13" s="538"/>
      <c r="AH13" s="538"/>
      <c r="AI13" s="538"/>
      <c r="AJ13" s="538"/>
      <c r="AK13" s="538"/>
      <c r="AL13" s="541"/>
    </row>
    <row r="14" spans="2:38" s="512" customFormat="1" ht="16.5" customHeight="1" thickBot="1">
      <c r="B14" s="531"/>
      <c r="C14" s="532"/>
      <c r="D14" s="532"/>
      <c r="E14" s="532"/>
      <c r="F14" s="532"/>
      <c r="G14" s="542"/>
      <c r="H14" s="542"/>
      <c r="I14" s="532"/>
      <c r="J14" s="543"/>
      <c r="K14" s="532"/>
      <c r="L14" s="533"/>
      <c r="M14" s="532"/>
      <c r="P14" s="532"/>
      <c r="Q14" s="532"/>
      <c r="R14" s="532"/>
      <c r="S14" s="532"/>
      <c r="T14" s="532"/>
      <c r="U14" s="533"/>
      <c r="V14" s="532"/>
      <c r="W14" s="532"/>
      <c r="X14" s="533"/>
      <c r="Y14" s="533"/>
      <c r="Z14" s="533"/>
      <c r="AA14" s="533"/>
      <c r="AB14" s="533"/>
      <c r="AC14" s="533"/>
      <c r="AD14" s="533"/>
      <c r="AE14" s="532"/>
      <c r="AF14" s="532"/>
      <c r="AG14" s="532"/>
      <c r="AH14" s="532"/>
      <c r="AI14" s="532"/>
      <c r="AJ14" s="532"/>
      <c r="AK14" s="532"/>
      <c r="AL14" s="534"/>
    </row>
    <row r="15" spans="2:38" s="512" customFormat="1" ht="16.5" customHeight="1" thickBot="1" thickTop="1">
      <c r="B15" s="531"/>
      <c r="C15" s="532"/>
      <c r="D15" s="532"/>
      <c r="E15" s="532"/>
      <c r="F15" s="544"/>
      <c r="G15" s="545"/>
      <c r="H15" s="546"/>
      <c r="I15" s="532"/>
      <c r="J15" s="547"/>
      <c r="K15" s="532"/>
      <c r="L15" s="533"/>
      <c r="M15" s="532"/>
      <c r="N15" s="532"/>
      <c r="O15" s="532"/>
      <c r="P15" s="532"/>
      <c r="Q15" s="532"/>
      <c r="R15" s="548" t="s">
        <v>147</v>
      </c>
      <c r="S15" s="549"/>
      <c r="T15" s="550"/>
      <c r="U15" s="533"/>
      <c r="V15" s="532"/>
      <c r="W15" s="532"/>
      <c r="X15" s="533"/>
      <c r="Y15" s="533"/>
      <c r="Z15" s="533"/>
      <c r="AA15" s="533"/>
      <c r="AB15" s="533"/>
      <c r="AC15" s="533"/>
      <c r="AD15" s="533"/>
      <c r="AE15" s="532"/>
      <c r="AF15" s="532"/>
      <c r="AG15" s="551" t="s">
        <v>147</v>
      </c>
      <c r="AH15" s="552"/>
      <c r="AI15" s="553"/>
      <c r="AJ15" s="532"/>
      <c r="AK15" s="532"/>
      <c r="AL15" s="534"/>
    </row>
    <row r="16" spans="2:38" s="512" customFormat="1" ht="16.5" customHeight="1" thickBot="1" thickTop="1">
      <c r="B16" s="531"/>
      <c r="C16" s="532"/>
      <c r="D16" s="532"/>
      <c r="E16" s="532"/>
      <c r="F16" s="554" t="s">
        <v>54</v>
      </c>
      <c r="G16" s="555">
        <f>'LI-0102'!E16</f>
        <v>51.392</v>
      </c>
      <c r="H16" s="556"/>
      <c r="I16" s="532"/>
      <c r="J16" s="557"/>
      <c r="K16" s="558" t="s">
        <v>55</v>
      </c>
      <c r="L16" s="559">
        <f>30</f>
        <v>30</v>
      </c>
      <c r="M16" s="532"/>
      <c r="N16" s="532"/>
      <c r="O16" s="532"/>
      <c r="P16" s="532"/>
      <c r="Q16" s="532"/>
      <c r="R16" s="560" t="s">
        <v>148</v>
      </c>
      <c r="S16" s="561"/>
      <c r="T16" s="562"/>
      <c r="U16" s="511"/>
      <c r="V16" s="563"/>
      <c r="X16" s="511"/>
      <c r="Y16" s="511"/>
      <c r="Z16" s="511"/>
      <c r="AA16" s="511"/>
      <c r="AB16" s="511"/>
      <c r="AC16" s="511"/>
      <c r="AD16" s="511"/>
      <c r="AG16" s="564" t="s">
        <v>149</v>
      </c>
      <c r="AH16" s="565"/>
      <c r="AI16" s="566"/>
      <c r="AJ16" s="567"/>
      <c r="AK16" s="567"/>
      <c r="AL16" s="568"/>
    </row>
    <row r="17" spans="2:38" s="512" customFormat="1" ht="16.5" customHeight="1" thickBot="1" thickTop="1">
      <c r="B17" s="531"/>
      <c r="C17" s="532"/>
      <c r="D17" s="532"/>
      <c r="E17" s="532"/>
      <c r="F17" s="532"/>
      <c r="G17" s="569"/>
      <c r="H17" s="532"/>
      <c r="I17" s="532"/>
      <c r="J17" s="532"/>
      <c r="K17" s="532"/>
      <c r="L17" s="533"/>
      <c r="M17" s="532"/>
      <c r="N17" s="570"/>
      <c r="O17" s="532"/>
      <c r="P17" s="532"/>
      <c r="Q17" s="532"/>
      <c r="R17" s="571" t="s">
        <v>150</v>
      </c>
      <c r="S17" s="572"/>
      <c r="T17" s="573"/>
      <c r="U17" s="533"/>
      <c r="V17" s="532"/>
      <c r="W17" s="532"/>
      <c r="X17" s="533"/>
      <c r="Y17" s="533"/>
      <c r="Z17" s="533"/>
      <c r="AA17" s="533"/>
      <c r="AB17" s="533"/>
      <c r="AC17" s="533"/>
      <c r="AD17" s="533"/>
      <c r="AE17" s="532"/>
      <c r="AF17" s="532"/>
      <c r="AG17" s="574" t="s">
        <v>151</v>
      </c>
      <c r="AH17" s="575"/>
      <c r="AI17" s="576"/>
      <c r="AJ17" s="532"/>
      <c r="AK17" s="532"/>
      <c r="AL17" s="534"/>
    </row>
    <row r="18" spans="2:38" s="512" customFormat="1" ht="40.5" customHeight="1" thickBot="1" thickTop="1">
      <c r="B18" s="531"/>
      <c r="C18" s="532"/>
      <c r="D18" s="577" t="s">
        <v>152</v>
      </c>
      <c r="E18" s="578" t="s">
        <v>56</v>
      </c>
      <c r="F18" s="579" t="s">
        <v>2</v>
      </c>
      <c r="G18" s="580" t="s">
        <v>57</v>
      </c>
      <c r="H18" s="581" t="s">
        <v>58</v>
      </c>
      <c r="I18" s="582" t="s">
        <v>59</v>
      </c>
      <c r="J18" s="579" t="s">
        <v>60</v>
      </c>
      <c r="K18" s="583" t="s">
        <v>61</v>
      </c>
      <c r="L18" s="584" t="s">
        <v>98</v>
      </c>
      <c r="M18" s="585" t="s">
        <v>86</v>
      </c>
      <c r="N18" s="586" t="s">
        <v>64</v>
      </c>
      <c r="O18" s="581" t="s">
        <v>153</v>
      </c>
      <c r="P18" s="583" t="s">
        <v>154</v>
      </c>
      <c r="Q18" s="579" t="s">
        <v>87</v>
      </c>
      <c r="R18" s="587" t="s">
        <v>155</v>
      </c>
      <c r="S18" s="588"/>
      <c r="T18" s="589"/>
      <c r="U18" s="590" t="s">
        <v>156</v>
      </c>
      <c r="V18" s="591" t="s">
        <v>72</v>
      </c>
      <c r="W18" s="591" t="s">
        <v>157</v>
      </c>
      <c r="X18" s="590" t="s">
        <v>158</v>
      </c>
      <c r="Y18" s="590" t="s">
        <v>159</v>
      </c>
      <c r="Z18" s="590" t="s">
        <v>160</v>
      </c>
      <c r="AA18" s="590" t="s">
        <v>161</v>
      </c>
      <c r="AB18" s="590" t="s">
        <v>162</v>
      </c>
      <c r="AC18" s="590" t="s">
        <v>163</v>
      </c>
      <c r="AD18" s="592" t="s">
        <v>164</v>
      </c>
      <c r="AE18" s="592" t="s">
        <v>165</v>
      </c>
      <c r="AF18" s="592" t="s">
        <v>166</v>
      </c>
      <c r="AG18" s="587" t="s">
        <v>167</v>
      </c>
      <c r="AH18" s="588"/>
      <c r="AI18" s="589"/>
      <c r="AJ18" s="590" t="s">
        <v>168</v>
      </c>
      <c r="AK18" s="591" t="s">
        <v>73</v>
      </c>
      <c r="AL18" s="593"/>
    </row>
    <row r="19" spans="2:38" s="512" customFormat="1" ht="16.5" customHeight="1" hidden="1" thickTop="1">
      <c r="B19" s="531"/>
      <c r="C19" s="532"/>
      <c r="D19" s="532"/>
      <c r="E19" s="594"/>
      <c r="F19" s="595"/>
      <c r="G19" s="595"/>
      <c r="H19" s="594"/>
      <c r="I19" s="596"/>
      <c r="J19" s="594"/>
      <c r="K19" s="594"/>
      <c r="L19" s="597"/>
      <c r="M19" s="598"/>
      <c r="N19" s="594"/>
      <c r="O19" s="594"/>
      <c r="P19" s="594"/>
      <c r="Q19" s="594"/>
      <c r="R19" s="599"/>
      <c r="S19" s="600"/>
      <c r="T19" s="601"/>
      <c r="U19" s="602"/>
      <c r="V19" s="594"/>
      <c r="W19" s="603"/>
      <c r="X19" s="604"/>
      <c r="Y19" s="603"/>
      <c r="Z19" s="603"/>
      <c r="AA19" s="604"/>
      <c r="AB19" s="604"/>
      <c r="AC19" s="605"/>
      <c r="AD19" s="606"/>
      <c r="AE19" s="606"/>
      <c r="AF19" s="606"/>
      <c r="AG19" s="599"/>
      <c r="AH19" s="600"/>
      <c r="AI19" s="601"/>
      <c r="AJ19" s="604"/>
      <c r="AK19" s="603"/>
      <c r="AL19" s="534"/>
    </row>
    <row r="20" spans="2:38" s="512" customFormat="1" ht="16.5" customHeight="1" thickBot="1" thickTop="1">
      <c r="B20" s="531"/>
      <c r="C20" s="607"/>
      <c r="D20" s="608"/>
      <c r="E20" s="609"/>
      <c r="F20" s="610"/>
      <c r="G20" s="611"/>
      <c r="H20" s="610"/>
      <c r="I20" s="612"/>
      <c r="J20" s="613"/>
      <c r="K20" s="614"/>
      <c r="L20" s="615"/>
      <c r="M20" s="615"/>
      <c r="N20" s="616"/>
      <c r="O20" s="615"/>
      <c r="P20" s="615"/>
      <c r="Q20" s="615"/>
      <c r="R20" s="617"/>
      <c r="S20" s="617"/>
      <c r="T20" s="618"/>
      <c r="U20" s="619"/>
      <c r="V20" s="608"/>
      <c r="W20" s="620"/>
      <c r="X20" s="619"/>
      <c r="Y20" s="620"/>
      <c r="Z20" s="619"/>
      <c r="AA20" s="619"/>
      <c r="AB20" s="619"/>
      <c r="AC20" s="621"/>
      <c r="AD20" s="622"/>
      <c r="AE20" s="622"/>
      <c r="AF20" s="622"/>
      <c r="AG20" s="617"/>
      <c r="AH20" s="617"/>
      <c r="AI20" s="618"/>
      <c r="AJ20" s="619"/>
      <c r="AK20" s="623"/>
      <c r="AL20" s="534"/>
    </row>
    <row r="21" spans="2:38" s="511" customFormat="1" ht="16.5" customHeight="1" thickBot="1">
      <c r="B21" s="624"/>
      <c r="C21" s="767" t="s">
        <v>169</v>
      </c>
      <c r="D21" s="625">
        <v>1</v>
      </c>
      <c r="E21" s="626">
        <v>10</v>
      </c>
      <c r="F21" s="627" t="s">
        <v>103</v>
      </c>
      <c r="G21" s="628">
        <v>132</v>
      </c>
      <c r="H21" s="629">
        <v>102</v>
      </c>
      <c r="I21" s="630">
        <f aca="true" t="shared" si="0" ref="I21:I28">$G$16/100*(IF(H21&gt;25,H21,25))</f>
        <v>52.41984000000001</v>
      </c>
      <c r="J21" s="631">
        <v>36934.24652777778</v>
      </c>
      <c r="K21" s="632">
        <v>36934.9375</v>
      </c>
      <c r="L21" s="633">
        <f aca="true" t="shared" si="1" ref="L21:L28">IF(F21="","",(K21-J21)*24)</f>
        <v>16.583333333255723</v>
      </c>
      <c r="M21" s="634">
        <f aca="true" t="shared" si="2" ref="M21:M28">IF(F21="","",ROUND((K21-J21)*24*60,0))</f>
        <v>995</v>
      </c>
      <c r="N21" s="635" t="s">
        <v>126</v>
      </c>
      <c r="O21" s="636" t="str">
        <f aca="true" t="shared" si="3" ref="O21:O28">IF(F21="","","--")</f>
        <v>--</v>
      </c>
      <c r="P21" s="637" t="str">
        <f aca="true" t="shared" si="4" ref="P21:P28">IF(F21="","","NO")</f>
        <v>NO</v>
      </c>
      <c r="Q21" s="637" t="str">
        <f aca="true" t="shared" si="5" ref="Q21:Q28">IF(F21="","",IF(OR(N21="P",N21="RP"),"--","NO"))</f>
        <v>NO</v>
      </c>
      <c r="R21" s="638">
        <f aca="true" t="shared" si="6" ref="R21:R28">IF(N21="F",I21*$L$16,"--")</f>
        <v>1572.5952000000002</v>
      </c>
      <c r="S21" s="639">
        <f aca="true" t="shared" si="7" ref="S21:S28">IF(AND(AD21&gt;10,N21="F"),I21*$L$16*IF(AD21&gt;180,3,ROUND((AD21)/60,2)),"--")</f>
        <v>4717.785600000001</v>
      </c>
      <c r="T21" s="640">
        <f aca="true" t="shared" si="8" ref="T21:T28">IF(AND(AD21&gt;180,N21="F"),(ROUND(AD21/60,2)-3)*I21*$L$16*0.1,"--")</f>
        <v>10473.484032</v>
      </c>
      <c r="U21" s="641">
        <f aca="true" t="shared" si="9" ref="U21:U28">IF(F21="","",SUM(R21:T21)*IF(V21="SI",1,2))</f>
        <v>16763.864832</v>
      </c>
      <c r="V21" s="642" t="str">
        <f aca="true" t="shared" si="10" ref="V21:V28">IF(F21="","","SI")</f>
        <v>SI</v>
      </c>
      <c r="W21" s="643">
        <v>1</v>
      </c>
      <c r="X21" s="644">
        <f>IF(F21="","",IF(W21&lt;=10,48,72))</f>
        <v>48</v>
      </c>
      <c r="Y21" s="645">
        <v>0</v>
      </c>
      <c r="Z21" s="646">
        <f>IF(F21="","",0.9)</f>
        <v>0.9</v>
      </c>
      <c r="AA21" s="641">
        <f>IF(F21="","",X21+Y21)</f>
        <v>48</v>
      </c>
      <c r="AB21" s="641">
        <f>IF(F21="","",Z21*24*W21)</f>
        <v>21.6</v>
      </c>
      <c r="AC21" s="647">
        <f aca="true" t="shared" si="11" ref="AC21:AC28">IF(F21="","",AB21+AA21)</f>
        <v>69.6</v>
      </c>
      <c r="AD21" s="648">
        <f aca="true" t="shared" si="12" ref="AD21:AD28">AC21*60</f>
        <v>4176</v>
      </c>
      <c r="AE21" s="649">
        <f aca="true" t="shared" si="13" ref="AE21:AE28">LOG(U21)/LOG(AB21)</f>
        <v>3.165620499617383</v>
      </c>
      <c r="AF21" s="649">
        <f aca="true" t="shared" si="14" ref="AF21:AF28">1/(2*W21)</f>
        <v>0.5</v>
      </c>
      <c r="AG21" s="639">
        <f aca="true" t="shared" si="15" ref="AG21:AG29">IF(N21="F",I21*$L$16,"--")</f>
        <v>1572.5952000000002</v>
      </c>
      <c r="AH21" s="639">
        <f aca="true" t="shared" si="16" ref="AH21:AH29">IF(AND(M21&gt;10,N21="F"),I21*$L$16*IF(M21&gt;180,3,ROUND((M21)/60,2)),"--")</f>
        <v>4717.785600000001</v>
      </c>
      <c r="AI21" s="640">
        <f aca="true" t="shared" si="17" ref="AI21:AI29">IF(AND(M21&gt;180,N21="F"),(ROUND(M21/60,2)-3)*I21*$L$16*0.1,"--")</f>
        <v>2135.5842816</v>
      </c>
      <c r="AJ21" s="641">
        <f aca="true" t="shared" si="18" ref="AJ21:AJ28">IF(F21="","",SUM(AG21:AI21)*IF(V21="SI",1,2))</f>
        <v>8425.965081600001</v>
      </c>
      <c r="AK21" s="650">
        <f aca="true" t="shared" si="19" ref="AK21:AK28">IF(F21=""," ",IF(L21&lt;=AA21,0,(IF(L21&gt;AC21,AJ21,(L21-AA21)^AE21*1/(1-AF21*(L21-AC21))))))</f>
        <v>0</v>
      </c>
      <c r="AL21" s="651"/>
    </row>
    <row r="22" spans="2:38" s="511" customFormat="1" ht="16.5" customHeight="1" thickBot="1">
      <c r="B22" s="624"/>
      <c r="C22" s="768"/>
      <c r="D22" s="652">
        <v>2</v>
      </c>
      <c r="E22" s="653"/>
      <c r="F22" s="654"/>
      <c r="G22" s="655"/>
      <c r="H22" s="656"/>
      <c r="I22" s="630">
        <f t="shared" si="0"/>
        <v>12.848</v>
      </c>
      <c r="J22" s="657"/>
      <c r="K22" s="658"/>
      <c r="L22" s="659">
        <f t="shared" si="1"/>
      </c>
      <c r="M22" s="660">
        <f t="shared" si="2"/>
      </c>
      <c r="N22" s="661"/>
      <c r="O22" s="662">
        <f t="shared" si="3"/>
      </c>
      <c r="P22" s="663">
        <f t="shared" si="4"/>
      </c>
      <c r="Q22" s="663">
        <f t="shared" si="5"/>
      </c>
      <c r="R22" s="664" t="str">
        <f t="shared" si="6"/>
        <v>--</v>
      </c>
      <c r="S22" s="665" t="e">
        <f t="shared" si="7"/>
        <v>#VALUE!</v>
      </c>
      <c r="T22" s="666" t="e">
        <f t="shared" si="8"/>
        <v>#VALUE!</v>
      </c>
      <c r="U22" s="667">
        <f t="shared" si="9"/>
      </c>
      <c r="V22" s="668">
        <f t="shared" si="10"/>
      </c>
      <c r="W22" s="669"/>
      <c r="X22" s="670">
        <f>IF(F22="","",IF(L21&lt;=AC21,0,IF(W22&lt;=10,48,72)))</f>
      </c>
      <c r="Y22" s="671"/>
      <c r="Z22" s="672">
        <f>IF(F22="","",IF(L21&lt;=AC21,1,0.9))</f>
      </c>
      <c r="AA22" s="667">
        <f>IF(F22="","",IF(L21&lt;=AC21,L21+Y22,X22+Y22))</f>
      </c>
      <c r="AB22" s="667">
        <f>IF(F22="","",IF(L21&lt;=AC21,Z22*W22*24,Z22*W22*24))</f>
      </c>
      <c r="AC22" s="673">
        <f t="shared" si="11"/>
      </c>
      <c r="AD22" s="674" t="e">
        <f t="shared" si="12"/>
        <v>#VALUE!</v>
      </c>
      <c r="AE22" s="675" t="e">
        <f t="shared" si="13"/>
        <v>#VALUE!</v>
      </c>
      <c r="AF22" s="675" t="e">
        <f t="shared" si="14"/>
        <v>#DIV/0!</v>
      </c>
      <c r="AG22" s="676" t="str">
        <f t="shared" si="15"/>
        <v>--</v>
      </c>
      <c r="AH22" s="676" t="str">
        <f t="shared" si="16"/>
        <v>--</v>
      </c>
      <c r="AI22" s="677" t="str">
        <f t="shared" si="17"/>
        <v>--</v>
      </c>
      <c r="AJ22" s="667">
        <f t="shared" si="18"/>
      </c>
      <c r="AK22" s="678" t="str">
        <f t="shared" si="19"/>
        <v> </v>
      </c>
      <c r="AL22" s="651"/>
    </row>
    <row r="23" spans="2:38" s="511" customFormat="1" ht="16.5" customHeight="1" thickBot="1">
      <c r="B23" s="624"/>
      <c r="C23" s="768"/>
      <c r="D23" s="652">
        <v>3</v>
      </c>
      <c r="E23" s="653"/>
      <c r="F23" s="679"/>
      <c r="G23" s="680"/>
      <c r="H23" s="681"/>
      <c r="I23" s="630">
        <f t="shared" si="0"/>
        <v>12.848</v>
      </c>
      <c r="J23" s="682"/>
      <c r="K23" s="682"/>
      <c r="L23" s="659">
        <f t="shared" si="1"/>
      </c>
      <c r="M23" s="660">
        <f t="shared" si="2"/>
      </c>
      <c r="N23" s="683"/>
      <c r="O23" s="662">
        <f t="shared" si="3"/>
      </c>
      <c r="P23" s="663">
        <f t="shared" si="4"/>
      </c>
      <c r="Q23" s="663">
        <f t="shared" si="5"/>
      </c>
      <c r="R23" s="664" t="str">
        <f t="shared" si="6"/>
        <v>--</v>
      </c>
      <c r="S23" s="665" t="e">
        <f t="shared" si="7"/>
        <v>#VALUE!</v>
      </c>
      <c r="T23" s="666" t="e">
        <f t="shared" si="8"/>
        <v>#VALUE!</v>
      </c>
      <c r="U23" s="684">
        <f t="shared" si="9"/>
      </c>
      <c r="V23" s="668">
        <f t="shared" si="10"/>
      </c>
      <c r="W23" s="685"/>
      <c r="X23" s="686">
        <f>IF(F23="","",IF(L22&lt;=AC22,0,IF(W23&lt;=10,48,72)))</f>
      </c>
      <c r="Y23" s="687"/>
      <c r="Z23" s="672">
        <f>IF(F23="","",IF(L22&lt;=AC22,1,0.9))</f>
      </c>
      <c r="AA23" s="684">
        <f>IF(F23="","",IF(L22&lt;=AC22,L22+Y23,X23+Y23))</f>
      </c>
      <c r="AB23" s="667">
        <f>IF(F23="","",IF(L22&lt;=AC22,Z23*W23*24,Z23*W23*24))</f>
      </c>
      <c r="AC23" s="684">
        <f t="shared" si="11"/>
      </c>
      <c r="AD23" s="688" t="e">
        <f t="shared" si="12"/>
        <v>#VALUE!</v>
      </c>
      <c r="AE23" s="689" t="e">
        <f t="shared" si="13"/>
        <v>#VALUE!</v>
      </c>
      <c r="AF23" s="689" t="e">
        <f t="shared" si="14"/>
        <v>#DIV/0!</v>
      </c>
      <c r="AG23" s="665" t="str">
        <f t="shared" si="15"/>
        <v>--</v>
      </c>
      <c r="AH23" s="665" t="str">
        <f t="shared" si="16"/>
        <v>--</v>
      </c>
      <c r="AI23" s="666" t="str">
        <f t="shared" si="17"/>
        <v>--</v>
      </c>
      <c r="AJ23" s="684">
        <f t="shared" si="18"/>
      </c>
      <c r="AK23" s="684" t="str">
        <f t="shared" si="19"/>
        <v> </v>
      </c>
      <c r="AL23" s="651"/>
    </row>
    <row r="24" spans="2:38" s="533" customFormat="1" ht="16.5" customHeight="1" thickBot="1">
      <c r="B24" s="624"/>
      <c r="C24" s="769"/>
      <c r="D24" s="690">
        <v>4</v>
      </c>
      <c r="E24" s="691"/>
      <c r="F24" s="692"/>
      <c r="G24" s="693"/>
      <c r="H24" s="694"/>
      <c r="I24" s="630">
        <f t="shared" si="0"/>
        <v>12.848</v>
      </c>
      <c r="J24" s="695"/>
      <c r="K24" s="695"/>
      <c r="L24" s="696">
        <f t="shared" si="1"/>
      </c>
      <c r="M24" s="697">
        <f t="shared" si="2"/>
      </c>
      <c r="N24" s="698"/>
      <c r="O24" s="699">
        <f t="shared" si="3"/>
      </c>
      <c r="P24" s="700">
        <f t="shared" si="4"/>
      </c>
      <c r="Q24" s="700">
        <f t="shared" si="5"/>
      </c>
      <c r="R24" s="701" t="str">
        <f t="shared" si="6"/>
        <v>--</v>
      </c>
      <c r="S24" s="617" t="e">
        <f t="shared" si="7"/>
        <v>#VALUE!</v>
      </c>
      <c r="T24" s="618" t="e">
        <f t="shared" si="8"/>
        <v>#VALUE!</v>
      </c>
      <c r="U24" s="702">
        <f t="shared" si="9"/>
      </c>
      <c r="V24" s="703">
        <f t="shared" si="10"/>
      </c>
      <c r="W24" s="704"/>
      <c r="X24" s="705">
        <f>IF(F24="","",IF(L23&lt;=AC23,0,IF(W24&lt;=10,48,72)))</f>
      </c>
      <c r="Y24" s="706"/>
      <c r="Z24" s="672">
        <f>IF(F24="","",IF(L23&lt;=AC23,1,0.9))</f>
      </c>
      <c r="AA24" s="702">
        <f>IF(F24="","",IF(L23&lt;=AC23,L23+Y24,X24+Y24))</f>
      </c>
      <c r="AB24" s="667">
        <f>IF(F24="","",IF(L23&lt;=AC23,Z24*W24*24,Z24*W24*24))</f>
      </c>
      <c r="AC24" s="702">
        <f t="shared" si="11"/>
      </c>
      <c r="AD24" s="707" t="e">
        <f t="shared" si="12"/>
        <v>#VALUE!</v>
      </c>
      <c r="AE24" s="708" t="e">
        <f t="shared" si="13"/>
        <v>#VALUE!</v>
      </c>
      <c r="AF24" s="708" t="e">
        <f t="shared" si="14"/>
        <v>#DIV/0!</v>
      </c>
      <c r="AG24" s="617" t="str">
        <f t="shared" si="15"/>
        <v>--</v>
      </c>
      <c r="AH24" s="617" t="str">
        <f t="shared" si="16"/>
        <v>--</v>
      </c>
      <c r="AI24" s="618" t="str">
        <f t="shared" si="17"/>
        <v>--</v>
      </c>
      <c r="AJ24" s="702">
        <f t="shared" si="18"/>
      </c>
      <c r="AK24" s="702" t="str">
        <f t="shared" si="19"/>
        <v> </v>
      </c>
      <c r="AL24" s="651"/>
    </row>
    <row r="25" spans="2:38" s="511" customFormat="1" ht="16.5" customHeight="1" thickBot="1">
      <c r="B25" s="624"/>
      <c r="C25" s="767" t="s">
        <v>170</v>
      </c>
      <c r="D25" s="625">
        <v>1</v>
      </c>
      <c r="E25" s="626"/>
      <c r="F25" s="709"/>
      <c r="G25" s="710"/>
      <c r="H25" s="711"/>
      <c r="I25" s="630">
        <f t="shared" si="0"/>
        <v>12.848</v>
      </c>
      <c r="J25" s="712"/>
      <c r="K25" s="713"/>
      <c r="L25" s="633">
        <f t="shared" si="1"/>
      </c>
      <c r="M25" s="634">
        <f t="shared" si="2"/>
      </c>
      <c r="N25" s="635"/>
      <c r="O25" s="636">
        <f t="shared" si="3"/>
      </c>
      <c r="P25" s="637">
        <f t="shared" si="4"/>
      </c>
      <c r="Q25" s="637">
        <f t="shared" si="5"/>
      </c>
      <c r="R25" s="714" t="str">
        <f t="shared" si="6"/>
        <v>--</v>
      </c>
      <c r="S25" s="715" t="e">
        <f t="shared" si="7"/>
        <v>#VALUE!</v>
      </c>
      <c r="T25" s="716" t="e">
        <f t="shared" si="8"/>
        <v>#VALUE!</v>
      </c>
      <c r="U25" s="641">
        <f t="shared" si="9"/>
      </c>
      <c r="V25" s="642">
        <f t="shared" si="10"/>
      </c>
      <c r="W25" s="643"/>
      <c r="X25" s="644">
        <f>IF(F25="","",IF(W25&lt;=10,48,72))</f>
      </c>
      <c r="Y25" s="645"/>
      <c r="Z25" s="646">
        <f>IF(F25="","",0.9)</f>
      </c>
      <c r="AA25" s="641">
        <f>IF(F25="","",X25+Y25)</f>
      </c>
      <c r="AB25" s="641">
        <f>IF(F25="","",Z25*24*W25)</f>
      </c>
      <c r="AC25" s="647">
        <f t="shared" si="11"/>
      </c>
      <c r="AD25" s="648" t="e">
        <f t="shared" si="12"/>
        <v>#VALUE!</v>
      </c>
      <c r="AE25" s="649" t="e">
        <f t="shared" si="13"/>
        <v>#VALUE!</v>
      </c>
      <c r="AF25" s="649" t="e">
        <f t="shared" si="14"/>
        <v>#DIV/0!</v>
      </c>
      <c r="AG25" s="715" t="str">
        <f t="shared" si="15"/>
        <v>--</v>
      </c>
      <c r="AH25" s="715" t="str">
        <f t="shared" si="16"/>
        <v>--</v>
      </c>
      <c r="AI25" s="716" t="str">
        <f t="shared" si="17"/>
        <v>--</v>
      </c>
      <c r="AJ25" s="641">
        <f t="shared" si="18"/>
      </c>
      <c r="AK25" s="650" t="str">
        <f t="shared" si="19"/>
        <v> </v>
      </c>
      <c r="AL25" s="651"/>
    </row>
    <row r="26" spans="2:38" s="511" customFormat="1" ht="16.5" customHeight="1" thickBot="1">
      <c r="B26" s="624"/>
      <c r="C26" s="768"/>
      <c r="D26" s="652">
        <v>2</v>
      </c>
      <c r="E26" s="653"/>
      <c r="F26" s="679"/>
      <c r="G26" s="680"/>
      <c r="H26" s="681"/>
      <c r="I26" s="630">
        <f t="shared" si="0"/>
        <v>12.848</v>
      </c>
      <c r="J26" s="657"/>
      <c r="K26" s="658"/>
      <c r="L26" s="659">
        <f t="shared" si="1"/>
      </c>
      <c r="M26" s="660">
        <f t="shared" si="2"/>
      </c>
      <c r="N26" s="661"/>
      <c r="O26" s="662">
        <f t="shared" si="3"/>
      </c>
      <c r="P26" s="663">
        <f t="shared" si="4"/>
      </c>
      <c r="Q26" s="663">
        <f t="shared" si="5"/>
      </c>
      <c r="R26" s="664" t="str">
        <f t="shared" si="6"/>
        <v>--</v>
      </c>
      <c r="S26" s="665" t="e">
        <f t="shared" si="7"/>
        <v>#VALUE!</v>
      </c>
      <c r="T26" s="666" t="e">
        <f t="shared" si="8"/>
        <v>#VALUE!</v>
      </c>
      <c r="U26" s="667">
        <f t="shared" si="9"/>
      </c>
      <c r="V26" s="668">
        <f t="shared" si="10"/>
      </c>
      <c r="W26" s="669"/>
      <c r="X26" s="670">
        <f>IF(F26="","",IF(L25&lt;=AC25,0,IF(W26&lt;=10,48,72)))</f>
      </c>
      <c r="Y26" s="671"/>
      <c r="Z26" s="672">
        <f>IF(F26="","",IF(L25&lt;=AC25,1,0.9))</f>
      </c>
      <c r="AA26" s="667">
        <f>IF(F26="","",IF(L25&lt;=AC25,L25+Y26,X26+Y26))</f>
      </c>
      <c r="AB26" s="667">
        <f>IF(F26="","",IF(L25&lt;=AC25,Z26*W26*24,Z26*W26*24))</f>
      </c>
      <c r="AC26" s="673">
        <f t="shared" si="11"/>
      </c>
      <c r="AD26" s="674" t="e">
        <f t="shared" si="12"/>
        <v>#VALUE!</v>
      </c>
      <c r="AE26" s="675" t="e">
        <f t="shared" si="13"/>
        <v>#VALUE!</v>
      </c>
      <c r="AF26" s="675" t="e">
        <f t="shared" si="14"/>
        <v>#DIV/0!</v>
      </c>
      <c r="AG26" s="676" t="str">
        <f t="shared" si="15"/>
        <v>--</v>
      </c>
      <c r="AH26" s="676" t="str">
        <f t="shared" si="16"/>
        <v>--</v>
      </c>
      <c r="AI26" s="677" t="str">
        <f t="shared" si="17"/>
        <v>--</v>
      </c>
      <c r="AJ26" s="667">
        <f t="shared" si="18"/>
      </c>
      <c r="AK26" s="678" t="str">
        <f t="shared" si="19"/>
        <v> </v>
      </c>
      <c r="AL26" s="651"/>
    </row>
    <row r="27" spans="2:38" s="511" customFormat="1" ht="16.5" customHeight="1" thickBot="1">
      <c r="B27" s="624"/>
      <c r="C27" s="768"/>
      <c r="D27" s="652">
        <v>3</v>
      </c>
      <c r="E27" s="653"/>
      <c r="F27" s="679"/>
      <c r="G27" s="680"/>
      <c r="H27" s="681"/>
      <c r="I27" s="630">
        <f t="shared" si="0"/>
        <v>12.848</v>
      </c>
      <c r="J27" s="682"/>
      <c r="K27" s="682"/>
      <c r="L27" s="659">
        <f t="shared" si="1"/>
      </c>
      <c r="M27" s="660">
        <f t="shared" si="2"/>
      </c>
      <c r="N27" s="683"/>
      <c r="O27" s="662">
        <f t="shared" si="3"/>
      </c>
      <c r="P27" s="663">
        <f t="shared" si="4"/>
      </c>
      <c r="Q27" s="663">
        <f t="shared" si="5"/>
      </c>
      <c r="R27" s="664" t="str">
        <f t="shared" si="6"/>
        <v>--</v>
      </c>
      <c r="S27" s="665" t="e">
        <f t="shared" si="7"/>
        <v>#VALUE!</v>
      </c>
      <c r="T27" s="666" t="e">
        <f t="shared" si="8"/>
        <v>#VALUE!</v>
      </c>
      <c r="U27" s="684">
        <f t="shared" si="9"/>
      </c>
      <c r="V27" s="668">
        <f t="shared" si="10"/>
      </c>
      <c r="W27" s="685"/>
      <c r="X27" s="686">
        <f>IF(F27="","",IF(L26&lt;=AC26,0,IF(W27&lt;=10,48,72)))</f>
      </c>
      <c r="Y27" s="687"/>
      <c r="Z27" s="672">
        <f>IF(F27="","",IF(L26&lt;=AC26,1,0.9))</f>
      </c>
      <c r="AA27" s="684">
        <f>IF(F27="","",IF(L26&lt;=AC26,L26+Y27,X27+Y27))</f>
      </c>
      <c r="AB27" s="667">
        <f>IF(F27="","",IF(L26&lt;=AC26,Z27*W27*24,Z27*W27*24))</f>
      </c>
      <c r="AC27" s="684">
        <f t="shared" si="11"/>
      </c>
      <c r="AD27" s="688" t="e">
        <f t="shared" si="12"/>
        <v>#VALUE!</v>
      </c>
      <c r="AE27" s="689" t="e">
        <f t="shared" si="13"/>
        <v>#VALUE!</v>
      </c>
      <c r="AF27" s="689" t="e">
        <f t="shared" si="14"/>
        <v>#DIV/0!</v>
      </c>
      <c r="AG27" s="665" t="str">
        <f t="shared" si="15"/>
        <v>--</v>
      </c>
      <c r="AH27" s="665" t="str">
        <f t="shared" si="16"/>
        <v>--</v>
      </c>
      <c r="AI27" s="666" t="str">
        <f t="shared" si="17"/>
        <v>--</v>
      </c>
      <c r="AJ27" s="684">
        <f t="shared" si="18"/>
      </c>
      <c r="AK27" s="684" t="str">
        <f t="shared" si="19"/>
        <v> </v>
      </c>
      <c r="AL27" s="651"/>
    </row>
    <row r="28" spans="2:38" s="533" customFormat="1" ht="16.5" customHeight="1" thickBot="1">
      <c r="B28" s="624"/>
      <c r="C28" s="769"/>
      <c r="D28" s="690">
        <v>4</v>
      </c>
      <c r="E28" s="691"/>
      <c r="F28" s="692"/>
      <c r="G28" s="693"/>
      <c r="H28" s="694"/>
      <c r="I28" s="630">
        <f t="shared" si="0"/>
        <v>12.848</v>
      </c>
      <c r="J28" s="695"/>
      <c r="K28" s="695"/>
      <c r="L28" s="696">
        <f t="shared" si="1"/>
      </c>
      <c r="M28" s="697">
        <f t="shared" si="2"/>
      </c>
      <c r="N28" s="698"/>
      <c r="O28" s="699">
        <f t="shared" si="3"/>
      </c>
      <c r="P28" s="700">
        <f t="shared" si="4"/>
      </c>
      <c r="Q28" s="700">
        <f t="shared" si="5"/>
      </c>
      <c r="R28" s="701" t="str">
        <f t="shared" si="6"/>
        <v>--</v>
      </c>
      <c r="S28" s="617" t="e">
        <f t="shared" si="7"/>
        <v>#VALUE!</v>
      </c>
      <c r="T28" s="618" t="e">
        <f t="shared" si="8"/>
        <v>#VALUE!</v>
      </c>
      <c r="U28" s="702">
        <f t="shared" si="9"/>
      </c>
      <c r="V28" s="703">
        <f t="shared" si="10"/>
      </c>
      <c r="W28" s="704"/>
      <c r="X28" s="705">
        <f>IF(F28="","",IF(L27&lt;=AC27,0,IF(W28&lt;=10,48,72)))</f>
      </c>
      <c r="Y28" s="706"/>
      <c r="Z28" s="717">
        <f>IF(F28="","",IF(L27&lt;=AC27,1,0.9))</f>
      </c>
      <c r="AA28" s="702">
        <f>IF(F28="","",IF(L27&lt;=AC27,L27+Y28,X28+Y28))</f>
      </c>
      <c r="AB28" s="718">
        <f>IF(F28="","",IF(L27&lt;=AC27,Z28*W28*24,Z28*W28*24))</f>
      </c>
      <c r="AC28" s="702">
        <f t="shared" si="11"/>
      </c>
      <c r="AD28" s="707" t="e">
        <f t="shared" si="12"/>
        <v>#VALUE!</v>
      </c>
      <c r="AE28" s="708" t="e">
        <f t="shared" si="13"/>
        <v>#VALUE!</v>
      </c>
      <c r="AF28" s="708" t="e">
        <f t="shared" si="14"/>
        <v>#DIV/0!</v>
      </c>
      <c r="AG28" s="617" t="str">
        <f t="shared" si="15"/>
        <v>--</v>
      </c>
      <c r="AH28" s="617" t="str">
        <f t="shared" si="16"/>
        <v>--</v>
      </c>
      <c r="AI28" s="618" t="str">
        <f t="shared" si="17"/>
        <v>--</v>
      </c>
      <c r="AJ28" s="702">
        <f t="shared" si="18"/>
      </c>
      <c r="AK28" s="702" t="str">
        <f t="shared" si="19"/>
        <v> </v>
      </c>
      <c r="AL28" s="651"/>
    </row>
    <row r="29" spans="1:39" s="511" customFormat="1" ht="16.5" customHeight="1" thickBot="1">
      <c r="A29" s="512"/>
      <c r="B29" s="531"/>
      <c r="C29" s="719"/>
      <c r="D29" s="720"/>
      <c r="E29" s="721"/>
      <c r="F29" s="722"/>
      <c r="G29" s="723"/>
      <c r="H29" s="722"/>
      <c r="I29" s="724"/>
      <c r="J29" s="725"/>
      <c r="K29" s="725"/>
      <c r="L29" s="726"/>
      <c r="M29" s="726"/>
      <c r="N29" s="725"/>
      <c r="O29" s="727"/>
      <c r="P29" s="726"/>
      <c r="Q29" s="726"/>
      <c r="R29" s="728"/>
      <c r="S29" s="729"/>
      <c r="T29" s="730"/>
      <c r="U29" s="731"/>
      <c r="V29" s="732"/>
      <c r="W29" s="733"/>
      <c r="X29" s="734"/>
      <c r="Y29" s="733"/>
      <c r="Z29" s="735"/>
      <c r="AA29" s="734"/>
      <c r="AB29" s="734"/>
      <c r="AC29" s="734"/>
      <c r="AD29" s="736"/>
      <c r="AE29" s="737"/>
      <c r="AF29" s="737"/>
      <c r="AG29" s="738" t="str">
        <f t="shared" si="15"/>
        <v>--</v>
      </c>
      <c r="AH29" s="738" t="str">
        <f t="shared" si="16"/>
        <v>--</v>
      </c>
      <c r="AI29" s="739" t="str">
        <f t="shared" si="17"/>
        <v>--</v>
      </c>
      <c r="AJ29" s="734"/>
      <c r="AK29" s="740"/>
      <c r="AL29" s="651"/>
      <c r="AM29" s="512"/>
    </row>
    <row r="30" spans="2:38" s="512" customFormat="1" ht="16.5" customHeight="1" thickBot="1" thickTop="1">
      <c r="B30" s="531"/>
      <c r="C30" s="532"/>
      <c r="D30" s="532"/>
      <c r="E30" s="741"/>
      <c r="F30" s="742"/>
      <c r="G30" s="743"/>
      <c r="H30" s="569"/>
      <c r="I30" s="744"/>
      <c r="J30" s="744"/>
      <c r="K30" s="744"/>
      <c r="L30" s="745"/>
      <c r="M30" s="744"/>
      <c r="N30" s="744"/>
      <c r="O30" s="746"/>
      <c r="P30" s="744"/>
      <c r="Q30" s="744"/>
      <c r="R30" s="747">
        <f>SUM(R19:R29)</f>
        <v>1572.5952000000002</v>
      </c>
      <c r="S30" s="747" t="e">
        <f>SUM(S19:S29)</f>
        <v>#VALUE!</v>
      </c>
      <c r="T30" s="747" t="e">
        <f>SUM(T19:T29)</f>
        <v>#VALUE!</v>
      </c>
      <c r="U30" s="748"/>
      <c r="V30" s="749"/>
      <c r="W30" s="748"/>
      <c r="X30" s="748"/>
      <c r="Y30" s="748"/>
      <c r="Z30" s="748"/>
      <c r="AA30" s="748"/>
      <c r="AB30" s="748"/>
      <c r="AC30" s="748"/>
      <c r="AD30" s="748"/>
      <c r="AE30" s="748"/>
      <c r="AF30" s="748"/>
      <c r="AG30" s="747">
        <f>SUM(AG19:AG29)</f>
        <v>1572.5952000000002</v>
      </c>
      <c r="AH30" s="747">
        <f>SUM(AH19:AH29)</f>
        <v>4717.785600000001</v>
      </c>
      <c r="AI30" s="747">
        <f>SUM(AI19:AI29)</f>
        <v>2135.5842816</v>
      </c>
      <c r="AJ30" s="748"/>
      <c r="AK30" s="750">
        <f>ROUND(SUM(AK19:AK29),2)</f>
        <v>0</v>
      </c>
      <c r="AL30" s="651"/>
    </row>
    <row r="31" spans="2:38" ht="13.5" thickTop="1">
      <c r="B31" s="752"/>
      <c r="C31" s="753"/>
      <c r="D31" s="753"/>
      <c r="E31" s="751" t="s">
        <v>171</v>
      </c>
      <c r="F31" s="754" t="s">
        <v>172</v>
      </c>
      <c r="AL31" s="757"/>
    </row>
    <row r="32" spans="2:38" ht="12.75">
      <c r="B32" s="752"/>
      <c r="C32" s="753"/>
      <c r="D32" s="753"/>
      <c r="E32" s="751" t="s">
        <v>173</v>
      </c>
      <c r="F32" s="754" t="s">
        <v>174</v>
      </c>
      <c r="AL32" s="757"/>
    </row>
    <row r="33" spans="2:38" ht="12.75">
      <c r="B33" s="752"/>
      <c r="C33" s="753"/>
      <c r="D33" s="753"/>
      <c r="E33" s="754" t="s">
        <v>175</v>
      </c>
      <c r="F33" s="754" t="s">
        <v>176</v>
      </c>
      <c r="AL33" s="757"/>
    </row>
    <row r="34" spans="2:38" s="512" customFormat="1" ht="16.5" customHeight="1" thickBot="1">
      <c r="B34" s="758"/>
      <c r="C34" s="759"/>
      <c r="D34" s="759"/>
      <c r="E34" s="759"/>
      <c r="F34" s="759"/>
      <c r="G34" s="759"/>
      <c r="H34" s="759"/>
      <c r="I34" s="759"/>
      <c r="J34" s="759"/>
      <c r="K34" s="759"/>
      <c r="L34" s="760"/>
      <c r="M34" s="759"/>
      <c r="N34" s="759"/>
      <c r="O34" s="759"/>
      <c r="P34" s="759"/>
      <c r="Q34" s="759"/>
      <c r="R34" s="759"/>
      <c r="S34" s="759"/>
      <c r="T34" s="759"/>
      <c r="U34" s="760"/>
      <c r="V34" s="759"/>
      <c r="W34" s="759"/>
      <c r="X34" s="760"/>
      <c r="Y34" s="760"/>
      <c r="Z34" s="760"/>
      <c r="AA34" s="760"/>
      <c r="AB34" s="760"/>
      <c r="AC34" s="760"/>
      <c r="AD34" s="760"/>
      <c r="AE34" s="759"/>
      <c r="AF34" s="759"/>
      <c r="AG34" s="759"/>
      <c r="AH34" s="759"/>
      <c r="AI34" s="759"/>
      <c r="AJ34" s="759"/>
      <c r="AK34" s="759"/>
      <c r="AL34" s="761"/>
    </row>
    <row r="35" spans="2:38" ht="16.5" customHeight="1" thickTop="1">
      <c r="B35" s="753"/>
      <c r="C35" s="753"/>
      <c r="D35" s="753"/>
      <c r="AL35" s="753"/>
    </row>
    <row r="36" spans="6:13" ht="15.75">
      <c r="F36" s="762"/>
      <c r="G36" s="762"/>
      <c r="H36" s="762"/>
      <c r="I36" s="762"/>
      <c r="J36" s="762"/>
      <c r="K36" s="762"/>
      <c r="L36" s="763"/>
      <c r="M36" s="762"/>
    </row>
    <row r="37" spans="6:13" ht="15.75">
      <c r="F37" s="762"/>
      <c r="G37" s="762"/>
      <c r="H37" s="762"/>
      <c r="I37" s="762"/>
      <c r="J37" s="762"/>
      <c r="K37" s="762"/>
      <c r="L37" s="763"/>
      <c r="M37" s="762"/>
    </row>
    <row r="38" spans="6:13" ht="15.75">
      <c r="F38" s="762"/>
      <c r="G38" s="762"/>
      <c r="H38" s="762"/>
      <c r="I38" s="762"/>
      <c r="J38" s="762"/>
      <c r="K38" s="762"/>
      <c r="L38" s="763"/>
      <c r="M38" s="762"/>
    </row>
    <row r="39" spans="6:13" ht="15.75">
      <c r="F39" s="762"/>
      <c r="G39" s="762"/>
      <c r="H39" s="762"/>
      <c r="I39" s="762"/>
      <c r="J39" s="762"/>
      <c r="K39" s="762"/>
      <c r="L39" s="763"/>
      <c r="M39" s="762"/>
    </row>
  </sheetData>
  <mergeCells count="2">
    <mergeCell ref="C21:C24"/>
    <mergeCell ref="C25:C2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8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9"/>
  <sheetViews>
    <sheetView zoomScale="75" zoomScaleNormal="75" workbookViewId="0" topLeftCell="A20">
      <selection activeCell="L45" sqref="L4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+'tot-0102'!B2</f>
        <v>ANEXO I a la Resolución ENRE N° 155 /2002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36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37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51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77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78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79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+'tot-0102'!B14</f>
        <v>Desde el 01 al 28 de febrero de 2001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80</v>
      </c>
      <c r="E18" s="188"/>
      <c r="F18" s="189"/>
      <c r="G18" s="190">
        <v>0.179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81</v>
      </c>
      <c r="E19" s="192"/>
      <c r="F19" s="192"/>
      <c r="G19" s="193">
        <f>30*'tot-0102'!B13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56</v>
      </c>
      <c r="D21" s="220" t="s">
        <v>82</v>
      </c>
      <c r="E21" s="219" t="s">
        <v>83</v>
      </c>
      <c r="F21" s="222" t="s">
        <v>84</v>
      </c>
      <c r="G21" s="223" t="s">
        <v>57</v>
      </c>
      <c r="H21" s="246" t="s">
        <v>59</v>
      </c>
      <c r="I21" s="219" t="s">
        <v>60</v>
      </c>
      <c r="J21" s="219" t="s">
        <v>61</v>
      </c>
      <c r="K21" s="220" t="s">
        <v>85</v>
      </c>
      <c r="L21" s="220" t="s">
        <v>86</v>
      </c>
      <c r="M21" s="157" t="s">
        <v>64</v>
      </c>
      <c r="N21" s="219" t="s">
        <v>87</v>
      </c>
      <c r="O21" s="220" t="s">
        <v>65</v>
      </c>
      <c r="P21" s="219" t="s">
        <v>88</v>
      </c>
      <c r="Q21" s="315" t="s">
        <v>89</v>
      </c>
      <c r="R21" s="320" t="s">
        <v>66</v>
      </c>
      <c r="S21" s="326" t="s">
        <v>67</v>
      </c>
      <c r="T21" s="272" t="s">
        <v>90</v>
      </c>
      <c r="U21" s="274"/>
      <c r="V21" s="340" t="s">
        <v>91</v>
      </c>
      <c r="W21" s="341"/>
      <c r="X21" s="351" t="s">
        <v>70</v>
      </c>
      <c r="Y21" s="357" t="s">
        <v>71</v>
      </c>
      <c r="Z21" s="223" t="s">
        <v>72</v>
      </c>
      <c r="AA21" s="223" t="s">
        <v>73</v>
      </c>
      <c r="AB21" s="63"/>
    </row>
    <row r="22" spans="1:28" s="9" customFormat="1" ht="15.75" hidden="1" thickTop="1">
      <c r="A22" s="161"/>
      <c r="B22" s="166"/>
      <c r="C22" s="30"/>
      <c r="D22" s="70"/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/>
      <c r="AB22" s="63"/>
    </row>
    <row r="23" spans="1:28" s="9" customFormat="1" ht="15.75" thickTop="1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35</v>
      </c>
      <c r="D24" s="8" t="s">
        <v>35</v>
      </c>
      <c r="E24" s="11" t="s">
        <v>19</v>
      </c>
      <c r="F24" s="37">
        <v>15</v>
      </c>
      <c r="G24" s="38" t="s">
        <v>18</v>
      </c>
      <c r="H24" s="248">
        <f aca="true" t="shared" si="0" ref="H24:H44">F24*$G$18</f>
        <v>2.685</v>
      </c>
      <c r="I24" s="40">
        <v>36923.03888888889</v>
      </c>
      <c r="J24" s="41">
        <v>36923.04305555556</v>
      </c>
      <c r="K24" s="42">
        <f aca="true" t="shared" si="1" ref="K24:K44">IF(D24="","",(J24-I24)*24)</f>
        <v>0.09999999997671694</v>
      </c>
      <c r="L24" s="43">
        <f aca="true" t="shared" si="2" ref="L24:L44">IF(D24="","",ROUND((J24-I24)*24*60,0))</f>
        <v>6</v>
      </c>
      <c r="M24" s="39" t="s">
        <v>131</v>
      </c>
      <c r="N24" s="39" t="str">
        <f aca="true" t="shared" si="3" ref="N24:N44">IF(D24="","",IF(OR(M24="P",M24="RP"),"--","NO"))</f>
        <v>NO</v>
      </c>
      <c r="O24" s="318">
        <v>40</v>
      </c>
      <c r="P24" s="39" t="s">
        <v>127</v>
      </c>
      <c r="Q24" s="319">
        <f aca="true" t="shared" si="4" ref="Q24:Q44">$G$19*IF(P24="SI",1,0.1)*IF(OR(M24="P",M24="RP"),0.1,1)</f>
        <v>30</v>
      </c>
      <c r="R24" s="323" t="str">
        <f aca="true" t="shared" si="5" ref="R24:R44">IF(M24="P",H24*Q24*ROUND(L24/60,2),"--")</f>
        <v>--</v>
      </c>
      <c r="S24" s="329" t="str">
        <f aca="true" t="shared" si="6" ref="S24:S44">IF(M24="RP",H24*Q24*O24/100*ROUND(L24/60,2),"--")</f>
        <v>--</v>
      </c>
      <c r="T24" s="275" t="str">
        <f aca="true" t="shared" si="7" ref="T24:T44">IF(AND(M24="F",N24="NO"),H24*Q24,"--")</f>
        <v>--</v>
      </c>
      <c r="U24" s="337" t="str">
        <f aca="true" t="shared" si="8" ref="U24:U44">IF(M24="F",H24*Q24*ROUND(L24/60,2),"--")</f>
        <v>--</v>
      </c>
      <c r="V24" s="346">
        <f aca="true" t="shared" si="9" ref="V24:V44">IF(AND(M24="R",N24="NO"),H24*Q24*O24/100,"--")</f>
        <v>32.22</v>
      </c>
      <c r="W24" s="347">
        <f aca="true" t="shared" si="10" ref="W24:W44">IF(M24="R",H24*Q24*ROUND(L24/60,2)*O24/100,"--")</f>
        <v>3.222</v>
      </c>
      <c r="X24" s="354" t="str">
        <f aca="true" t="shared" si="11" ref="X24:X44">IF(M24="RF",H24*Q24*ROUND(L24/60,2),"--")</f>
        <v>--</v>
      </c>
      <c r="Y24" s="360" t="str">
        <f aca="true" t="shared" si="12" ref="Y24:Y44">IF(M24="RR",H24*Q24*ROUND(L24/60,2)*O24/100,"--")</f>
        <v>--</v>
      </c>
      <c r="Z24" s="39" t="str">
        <f aca="true" t="shared" si="13" ref="Z24:Z44">IF(D24="","","SI")</f>
        <v>SI</v>
      </c>
      <c r="AA24" s="52">
        <f aca="true" t="shared" si="14" ref="AA24:AA44">IF(D24="","",SUM(R24:Y24)*IF(Z24="SI",1,2))</f>
        <v>35.442</v>
      </c>
      <c r="AB24" s="387"/>
    </row>
    <row r="25" spans="1:28" s="9" customFormat="1" ht="15">
      <c r="A25" s="161"/>
      <c r="B25" s="166"/>
      <c r="C25" s="30">
        <v>36</v>
      </c>
      <c r="D25" s="8" t="s">
        <v>32</v>
      </c>
      <c r="E25" s="11" t="s">
        <v>17</v>
      </c>
      <c r="F25" s="37">
        <v>30</v>
      </c>
      <c r="G25" s="38" t="s">
        <v>18</v>
      </c>
      <c r="H25" s="248">
        <f t="shared" si="0"/>
        <v>5.37</v>
      </c>
      <c r="I25" s="40">
        <v>36928.34722222222</v>
      </c>
      <c r="J25" s="41">
        <v>36928.677083333336</v>
      </c>
      <c r="K25" s="42">
        <f t="shared" si="1"/>
        <v>7.9166666668024845</v>
      </c>
      <c r="L25" s="43">
        <f t="shared" si="2"/>
        <v>475</v>
      </c>
      <c r="M25" s="39" t="s">
        <v>125</v>
      </c>
      <c r="N25" s="39" t="str">
        <f t="shared" si="3"/>
        <v>--</v>
      </c>
      <c r="O25" s="318" t="str">
        <f aca="true" t="shared" si="15" ref="O25:O44">IF(D25="","","--")</f>
        <v>--</v>
      </c>
      <c r="P25" s="39" t="s">
        <v>128</v>
      </c>
      <c r="Q25" s="319">
        <f t="shared" si="4"/>
        <v>0.30000000000000004</v>
      </c>
      <c r="R25" s="323">
        <f t="shared" si="5"/>
        <v>12.759120000000001</v>
      </c>
      <c r="S25" s="329" t="str">
        <f t="shared" si="6"/>
        <v>--</v>
      </c>
      <c r="T25" s="275" t="str">
        <f t="shared" si="7"/>
        <v>--</v>
      </c>
      <c r="U25" s="337" t="str">
        <f t="shared" si="8"/>
        <v>--</v>
      </c>
      <c r="V25" s="346" t="str">
        <f t="shared" si="9"/>
        <v>--</v>
      </c>
      <c r="W25" s="347" t="str">
        <f t="shared" si="10"/>
        <v>--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12.759120000000001</v>
      </c>
      <c r="AB25" s="387"/>
    </row>
    <row r="26" spans="1:28" s="9" customFormat="1" ht="15">
      <c r="A26" s="161"/>
      <c r="B26" s="166"/>
      <c r="C26" s="30">
        <v>37</v>
      </c>
      <c r="D26" s="8" t="s">
        <v>115</v>
      </c>
      <c r="E26" s="11" t="s">
        <v>17</v>
      </c>
      <c r="F26" s="37">
        <v>15</v>
      </c>
      <c r="G26" s="38" t="s">
        <v>18</v>
      </c>
      <c r="H26" s="248">
        <f t="shared" si="0"/>
        <v>2.685</v>
      </c>
      <c r="I26" s="40">
        <v>36928.39375</v>
      </c>
      <c r="J26" s="41">
        <v>36928.54652777778</v>
      </c>
      <c r="K26" s="42">
        <f t="shared" si="1"/>
        <v>3.666666666569654</v>
      </c>
      <c r="L26" s="43">
        <f t="shared" si="2"/>
        <v>220</v>
      </c>
      <c r="M26" s="39" t="s">
        <v>125</v>
      </c>
      <c r="N26" s="39" t="str">
        <f t="shared" si="3"/>
        <v>--</v>
      </c>
      <c r="O26" s="318" t="str">
        <f t="shared" si="15"/>
        <v>--</v>
      </c>
      <c r="P26" s="39" t="s">
        <v>128</v>
      </c>
      <c r="Q26" s="319">
        <f t="shared" si="4"/>
        <v>0.30000000000000004</v>
      </c>
      <c r="R26" s="323">
        <f t="shared" si="5"/>
        <v>2.9561850000000005</v>
      </c>
      <c r="S26" s="329" t="str">
        <f t="shared" si="6"/>
        <v>--</v>
      </c>
      <c r="T26" s="275" t="str">
        <f t="shared" si="7"/>
        <v>--</v>
      </c>
      <c r="U26" s="337" t="str">
        <f t="shared" si="8"/>
        <v>--</v>
      </c>
      <c r="V26" s="346" t="str">
        <f t="shared" si="9"/>
        <v>--</v>
      </c>
      <c r="W26" s="347" t="str">
        <f t="shared" si="10"/>
        <v>--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2.9561850000000005</v>
      </c>
      <c r="AB26" s="387"/>
    </row>
    <row r="27" spans="1:28" s="9" customFormat="1" ht="15">
      <c r="A27" s="161"/>
      <c r="B27" s="166"/>
      <c r="C27" s="30">
        <v>38</v>
      </c>
      <c r="D27" s="8" t="s">
        <v>32</v>
      </c>
      <c r="E27" s="11" t="s">
        <v>19</v>
      </c>
      <c r="F27" s="37">
        <v>15</v>
      </c>
      <c r="G27" s="38" t="s">
        <v>18</v>
      </c>
      <c r="H27" s="248">
        <f t="shared" si="0"/>
        <v>2.685</v>
      </c>
      <c r="I27" s="40">
        <v>36929.430555555555</v>
      </c>
      <c r="J27" s="41">
        <v>36929.728472222225</v>
      </c>
      <c r="K27" s="42">
        <f t="shared" si="1"/>
        <v>7.150000000081491</v>
      </c>
      <c r="L27" s="43">
        <f t="shared" si="2"/>
        <v>429</v>
      </c>
      <c r="M27" s="39" t="s">
        <v>132</v>
      </c>
      <c r="N27" s="39" t="str">
        <f t="shared" si="3"/>
        <v>--</v>
      </c>
      <c r="O27" s="318">
        <v>40</v>
      </c>
      <c r="P27" s="39" t="s">
        <v>128</v>
      </c>
      <c r="Q27" s="319">
        <f t="shared" si="4"/>
        <v>0.30000000000000004</v>
      </c>
      <c r="R27" s="323" t="str">
        <f t="shared" si="5"/>
        <v>--</v>
      </c>
      <c r="S27" s="329">
        <f t="shared" si="6"/>
        <v>2.3037300000000003</v>
      </c>
      <c r="T27" s="275" t="str">
        <f t="shared" si="7"/>
        <v>--</v>
      </c>
      <c r="U27" s="337" t="str">
        <f t="shared" si="8"/>
        <v>--</v>
      </c>
      <c r="V27" s="346" t="str">
        <f t="shared" si="9"/>
        <v>--</v>
      </c>
      <c r="W27" s="347" t="str">
        <f t="shared" si="10"/>
        <v>--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2.3037300000000003</v>
      </c>
      <c r="AB27" s="387"/>
    </row>
    <row r="28" spans="1:28" s="9" customFormat="1" ht="15">
      <c r="A28" s="161"/>
      <c r="B28" s="166"/>
      <c r="C28" s="30">
        <v>39</v>
      </c>
      <c r="D28" s="8" t="s">
        <v>129</v>
      </c>
      <c r="E28" s="11" t="s">
        <v>19</v>
      </c>
      <c r="F28" s="37">
        <v>30</v>
      </c>
      <c r="G28" s="38" t="s">
        <v>18</v>
      </c>
      <c r="H28" s="248">
        <f t="shared" si="0"/>
        <v>5.37</v>
      </c>
      <c r="I28" s="40">
        <v>36930.450694444444</v>
      </c>
      <c r="J28" s="41">
        <v>36930.538194444445</v>
      </c>
      <c r="K28" s="42">
        <f t="shared" si="1"/>
        <v>2.1000000000349246</v>
      </c>
      <c r="L28" s="43">
        <f t="shared" si="2"/>
        <v>126</v>
      </c>
      <c r="M28" s="39" t="s">
        <v>125</v>
      </c>
      <c r="N28" s="39" t="str">
        <f t="shared" si="3"/>
        <v>--</v>
      </c>
      <c r="O28" s="318" t="str">
        <f t="shared" si="15"/>
        <v>--</v>
      </c>
      <c r="P28" s="39" t="s">
        <v>128</v>
      </c>
      <c r="Q28" s="319">
        <f t="shared" si="4"/>
        <v>0.30000000000000004</v>
      </c>
      <c r="R28" s="323">
        <f t="shared" si="5"/>
        <v>3.3831000000000007</v>
      </c>
      <c r="S28" s="329" t="str">
        <f t="shared" si="6"/>
        <v>--</v>
      </c>
      <c r="T28" s="275" t="str">
        <f t="shared" si="7"/>
        <v>--</v>
      </c>
      <c r="U28" s="337" t="str">
        <f t="shared" si="8"/>
        <v>--</v>
      </c>
      <c r="V28" s="346" t="str">
        <f t="shared" si="9"/>
        <v>--</v>
      </c>
      <c r="W28" s="347" t="str">
        <f t="shared" si="10"/>
        <v>--</v>
      </c>
      <c r="X28" s="354" t="str">
        <f t="shared" si="11"/>
        <v>--</v>
      </c>
      <c r="Y28" s="360" t="str">
        <f t="shared" si="12"/>
        <v>--</v>
      </c>
      <c r="Z28" s="39" t="str">
        <f t="shared" si="13"/>
        <v>SI</v>
      </c>
      <c r="AA28" s="52">
        <f t="shared" si="14"/>
        <v>3.3831000000000007</v>
      </c>
      <c r="AB28" s="387"/>
    </row>
    <row r="29" spans="1:28" s="9" customFormat="1" ht="15">
      <c r="A29" s="161"/>
      <c r="B29" s="166"/>
      <c r="C29" s="30">
        <v>40</v>
      </c>
      <c r="D29" s="8" t="s">
        <v>35</v>
      </c>
      <c r="E29" s="11" t="s">
        <v>17</v>
      </c>
      <c r="F29" s="37">
        <v>15</v>
      </c>
      <c r="G29" s="38" t="s">
        <v>18</v>
      </c>
      <c r="H29" s="248">
        <f t="shared" si="0"/>
        <v>2.685</v>
      </c>
      <c r="I29" s="40">
        <v>36931.486805555556</v>
      </c>
      <c r="J29" s="41">
        <v>36931.59861111111</v>
      </c>
      <c r="K29" s="42">
        <f t="shared" si="1"/>
        <v>2.6833333333488554</v>
      </c>
      <c r="L29" s="43">
        <f t="shared" si="2"/>
        <v>161</v>
      </c>
      <c r="M29" s="39" t="s">
        <v>132</v>
      </c>
      <c r="N29" s="39" t="str">
        <f t="shared" si="3"/>
        <v>--</v>
      </c>
      <c r="O29" s="318">
        <v>40</v>
      </c>
      <c r="P29" s="39" t="s">
        <v>128</v>
      </c>
      <c r="Q29" s="319">
        <f t="shared" si="4"/>
        <v>0.30000000000000004</v>
      </c>
      <c r="R29" s="323" t="str">
        <f t="shared" si="5"/>
        <v>--</v>
      </c>
      <c r="S29" s="329">
        <f t="shared" si="6"/>
        <v>0.8634960000000002</v>
      </c>
      <c r="T29" s="275" t="str">
        <f t="shared" si="7"/>
        <v>--</v>
      </c>
      <c r="U29" s="337" t="str">
        <f t="shared" si="8"/>
        <v>--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0.8634960000000002</v>
      </c>
      <c r="AB29" s="387"/>
    </row>
    <row r="30" spans="1:28" s="9" customFormat="1" ht="15">
      <c r="A30" s="161"/>
      <c r="B30" s="166"/>
      <c r="C30" s="30">
        <v>41</v>
      </c>
      <c r="D30" s="8" t="s">
        <v>35</v>
      </c>
      <c r="E30" s="11" t="s">
        <v>19</v>
      </c>
      <c r="F30" s="37">
        <v>15</v>
      </c>
      <c r="G30" s="38" t="s">
        <v>18</v>
      </c>
      <c r="H30" s="248">
        <f t="shared" si="0"/>
        <v>2.685</v>
      </c>
      <c r="I30" s="40">
        <v>36931.486805555556</v>
      </c>
      <c r="J30" s="41">
        <v>36931.59861111111</v>
      </c>
      <c r="K30" s="42">
        <f t="shared" si="1"/>
        <v>2.6833333333488554</v>
      </c>
      <c r="L30" s="43">
        <f t="shared" si="2"/>
        <v>161</v>
      </c>
      <c r="M30" s="39" t="s">
        <v>125</v>
      </c>
      <c r="N30" s="39" t="str">
        <f t="shared" si="3"/>
        <v>--</v>
      </c>
      <c r="O30" s="318" t="str">
        <f t="shared" si="15"/>
        <v>--</v>
      </c>
      <c r="P30" s="39" t="s">
        <v>128</v>
      </c>
      <c r="Q30" s="319">
        <f>$G$19*IF(P30="SI",1,0.1)*IF(OR(M30="P",M30="RP"),0.1,1)</f>
        <v>0.30000000000000004</v>
      </c>
      <c r="R30" s="323">
        <f>IF(M30="P",H30*Q30*ROUND(L30/60,2),"--")</f>
        <v>2.1587400000000003</v>
      </c>
      <c r="S30" s="329" t="str">
        <f>IF(M30="RP",H30*Q30*O30/100*ROUND(L30/60,2),"--")</f>
        <v>--</v>
      </c>
      <c r="T30" s="275" t="str">
        <f>IF(AND(M30="F",N30="NO"),H30*Q30,"--")</f>
        <v>--</v>
      </c>
      <c r="U30" s="337" t="str">
        <f>IF(M30="F",H30*Q30*ROUND(L30/60,2),"--")</f>
        <v>--</v>
      </c>
      <c r="V30" s="346" t="str">
        <f>IF(AND(M30="R",N30="NO"),H30*Q30*O30/100,"--")</f>
        <v>--</v>
      </c>
      <c r="W30" s="347" t="str">
        <f>IF(M30="R",H30*Q30*ROUND(L30/60,2)*O30/100,"--")</f>
        <v>--</v>
      </c>
      <c r="X30" s="354" t="str">
        <f>IF(M30="RF",H30*Q30*ROUND(L30/60,2),"--")</f>
        <v>--</v>
      </c>
      <c r="Y30" s="360" t="str">
        <f>IF(M30="RR",H30*Q30*ROUND(L30/60,2)*O30/100,"--")</f>
        <v>--</v>
      </c>
      <c r="Z30" s="39" t="s">
        <v>127</v>
      </c>
      <c r="AA30" s="52">
        <f t="shared" si="14"/>
        <v>2.1587400000000003</v>
      </c>
      <c r="AB30" s="387"/>
    </row>
    <row r="31" spans="1:28" s="9" customFormat="1" ht="15">
      <c r="A31" s="161"/>
      <c r="B31" s="166"/>
      <c r="C31" s="30">
        <v>42</v>
      </c>
      <c r="D31" s="8" t="s">
        <v>107</v>
      </c>
      <c r="E31" s="11" t="s">
        <v>23</v>
      </c>
      <c r="F31" s="37">
        <v>15</v>
      </c>
      <c r="G31" s="38" t="s">
        <v>18</v>
      </c>
      <c r="H31" s="248">
        <f t="shared" si="0"/>
        <v>2.685</v>
      </c>
      <c r="I31" s="40">
        <v>36932.99236111111</v>
      </c>
      <c r="J31" s="41">
        <v>36933.28611111111</v>
      </c>
      <c r="K31" s="42">
        <f t="shared" si="1"/>
        <v>7.050000000104774</v>
      </c>
      <c r="L31" s="43">
        <f t="shared" si="2"/>
        <v>423</v>
      </c>
      <c r="M31" s="39" t="s">
        <v>126</v>
      </c>
      <c r="N31" s="39" t="str">
        <f t="shared" si="3"/>
        <v>NO</v>
      </c>
      <c r="O31" s="318" t="str">
        <f t="shared" si="15"/>
        <v>--</v>
      </c>
      <c r="P31" s="39" t="s">
        <v>127</v>
      </c>
      <c r="Q31" s="319">
        <f t="shared" si="4"/>
        <v>30</v>
      </c>
      <c r="R31" s="323" t="str">
        <f t="shared" si="5"/>
        <v>--</v>
      </c>
      <c r="S31" s="329" t="str">
        <f t="shared" si="6"/>
        <v>--</v>
      </c>
      <c r="T31" s="275">
        <f t="shared" si="7"/>
        <v>80.55</v>
      </c>
      <c r="U31" s="337">
        <f t="shared" si="8"/>
        <v>567.8774999999999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 t="str">
        <f t="shared" si="13"/>
        <v>SI</v>
      </c>
      <c r="AA31" s="52">
        <f t="shared" si="14"/>
        <v>648.4274999999999</v>
      </c>
      <c r="AB31" s="387"/>
    </row>
    <row r="32" spans="1:28" s="9" customFormat="1" ht="15">
      <c r="A32" s="161"/>
      <c r="B32" s="166"/>
      <c r="C32" s="30">
        <v>43</v>
      </c>
      <c r="D32" s="8" t="s">
        <v>34</v>
      </c>
      <c r="E32" s="11" t="s">
        <v>19</v>
      </c>
      <c r="F32" s="37">
        <v>30</v>
      </c>
      <c r="G32" s="38" t="s">
        <v>18</v>
      </c>
      <c r="H32" s="248">
        <f t="shared" si="0"/>
        <v>5.37</v>
      </c>
      <c r="I32" s="40">
        <v>36933.25347222222</v>
      </c>
      <c r="J32" s="41">
        <v>36933.416666666664</v>
      </c>
      <c r="K32" s="42">
        <f t="shared" si="1"/>
        <v>3.916666666686069</v>
      </c>
      <c r="L32" s="43">
        <f t="shared" si="2"/>
        <v>235</v>
      </c>
      <c r="M32" s="39" t="s">
        <v>132</v>
      </c>
      <c r="N32" s="39" t="str">
        <f t="shared" si="3"/>
        <v>--</v>
      </c>
      <c r="O32" s="318">
        <v>60</v>
      </c>
      <c r="P32" s="39" t="s">
        <v>128</v>
      </c>
      <c r="Q32" s="319">
        <f t="shared" si="4"/>
        <v>0.30000000000000004</v>
      </c>
      <c r="R32" s="323" t="str">
        <f t="shared" si="5"/>
        <v>--</v>
      </c>
      <c r="S32" s="329">
        <f t="shared" si="6"/>
        <v>3.7890720000000004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 t="str">
        <f t="shared" si="13"/>
        <v>SI</v>
      </c>
      <c r="AA32" s="52">
        <f t="shared" si="14"/>
        <v>3.7890720000000004</v>
      </c>
      <c r="AB32" s="387"/>
    </row>
    <row r="33" spans="1:28" s="9" customFormat="1" ht="15">
      <c r="A33" s="161"/>
      <c r="B33" s="166"/>
      <c r="C33" s="30">
        <v>44</v>
      </c>
      <c r="D33" s="8" t="s">
        <v>107</v>
      </c>
      <c r="E33" s="11" t="s">
        <v>23</v>
      </c>
      <c r="F33" s="37">
        <v>15</v>
      </c>
      <c r="G33" s="38" t="s">
        <v>18</v>
      </c>
      <c r="H33" s="248">
        <f t="shared" si="0"/>
        <v>2.685</v>
      </c>
      <c r="I33" s="40">
        <v>36933.97638888889</v>
      </c>
      <c r="J33" s="41">
        <v>36933.993055555555</v>
      </c>
      <c r="K33" s="42">
        <f t="shared" si="1"/>
        <v>0.39999999990686774</v>
      </c>
      <c r="L33" s="43">
        <f t="shared" si="2"/>
        <v>24</v>
      </c>
      <c r="M33" s="39" t="s">
        <v>126</v>
      </c>
      <c r="N33" s="39" t="str">
        <f t="shared" si="3"/>
        <v>NO</v>
      </c>
      <c r="O33" s="318" t="str">
        <f t="shared" si="15"/>
        <v>--</v>
      </c>
      <c r="P33" s="39" t="s">
        <v>127</v>
      </c>
      <c r="Q33" s="319">
        <f t="shared" si="4"/>
        <v>30</v>
      </c>
      <c r="R33" s="323" t="str">
        <f t="shared" si="5"/>
        <v>--</v>
      </c>
      <c r="S33" s="329" t="str">
        <f t="shared" si="6"/>
        <v>--</v>
      </c>
      <c r="T33" s="275">
        <f t="shared" si="7"/>
        <v>80.55</v>
      </c>
      <c r="U33" s="337">
        <f t="shared" si="8"/>
        <v>32.22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 t="str">
        <f t="shared" si="13"/>
        <v>SI</v>
      </c>
      <c r="AA33" s="52">
        <f t="shared" si="14"/>
        <v>112.77</v>
      </c>
      <c r="AB33" s="387"/>
    </row>
    <row r="34" spans="1:28" s="9" customFormat="1" ht="15">
      <c r="A34" s="161"/>
      <c r="B34" s="166"/>
      <c r="C34" s="30">
        <v>45</v>
      </c>
      <c r="D34" s="8" t="s">
        <v>26</v>
      </c>
      <c r="E34" s="11" t="s">
        <v>19</v>
      </c>
      <c r="F34" s="37">
        <v>3.3</v>
      </c>
      <c r="G34" s="38" t="s">
        <v>27</v>
      </c>
      <c r="H34" s="248">
        <f t="shared" si="0"/>
        <v>0.5906999999999999</v>
      </c>
      <c r="I34" s="40">
        <v>36936.36666666667</v>
      </c>
      <c r="J34" s="41">
        <v>36936.76180555556</v>
      </c>
      <c r="K34" s="42">
        <f t="shared" si="1"/>
        <v>9.483333333337214</v>
      </c>
      <c r="L34" s="43">
        <f t="shared" si="2"/>
        <v>569</v>
      </c>
      <c r="M34" s="39" t="s">
        <v>125</v>
      </c>
      <c r="N34" s="39" t="str">
        <f t="shared" si="3"/>
        <v>--</v>
      </c>
      <c r="O34" s="318" t="str">
        <f t="shared" si="15"/>
        <v>--</v>
      </c>
      <c r="P34" s="39" t="s">
        <v>128</v>
      </c>
      <c r="Q34" s="319">
        <f t="shared" si="4"/>
        <v>0.30000000000000004</v>
      </c>
      <c r="R34" s="323">
        <f t="shared" si="5"/>
        <v>1.6799508</v>
      </c>
      <c r="S34" s="329" t="str">
        <f t="shared" si="6"/>
        <v>--</v>
      </c>
      <c r="T34" s="275" t="str">
        <f t="shared" si="7"/>
        <v>--</v>
      </c>
      <c r="U34" s="337" t="str">
        <f t="shared" si="8"/>
        <v>--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 t="str">
        <f t="shared" si="13"/>
        <v>SI</v>
      </c>
      <c r="AA34" s="52">
        <f t="shared" si="14"/>
        <v>1.6799508</v>
      </c>
      <c r="AB34" s="387"/>
    </row>
    <row r="35" spans="1:28" s="9" customFormat="1" ht="15">
      <c r="A35" s="161"/>
      <c r="B35" s="166"/>
      <c r="C35" s="30">
        <v>46</v>
      </c>
      <c r="D35" s="8" t="s">
        <v>26</v>
      </c>
      <c r="E35" s="11" t="s">
        <v>17</v>
      </c>
      <c r="F35" s="37">
        <v>4</v>
      </c>
      <c r="G35" s="38" t="s">
        <v>25</v>
      </c>
      <c r="H35" s="248">
        <f t="shared" si="0"/>
        <v>0.716</v>
      </c>
      <c r="I35" s="40">
        <v>36936.42152777778</v>
      </c>
      <c r="J35" s="41">
        <v>36936.822222222225</v>
      </c>
      <c r="K35" s="42">
        <f t="shared" si="1"/>
        <v>9.616666666755918</v>
      </c>
      <c r="L35" s="43">
        <f t="shared" si="2"/>
        <v>577</v>
      </c>
      <c r="M35" s="39" t="s">
        <v>125</v>
      </c>
      <c r="N35" s="39" t="str">
        <f t="shared" si="3"/>
        <v>--</v>
      </c>
      <c r="O35" s="318" t="str">
        <f t="shared" si="15"/>
        <v>--</v>
      </c>
      <c r="P35" s="39" t="s">
        <v>128</v>
      </c>
      <c r="Q35" s="319">
        <f t="shared" si="4"/>
        <v>0.30000000000000004</v>
      </c>
      <c r="R35" s="323">
        <f t="shared" si="5"/>
        <v>2.066376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 t="str">
        <f t="shared" si="9"/>
        <v>--</v>
      </c>
      <c r="W35" s="347" t="str">
        <f t="shared" si="10"/>
        <v>--</v>
      </c>
      <c r="X35" s="354" t="str">
        <f t="shared" si="11"/>
        <v>--</v>
      </c>
      <c r="Y35" s="360" t="str">
        <f t="shared" si="12"/>
        <v>--</v>
      </c>
      <c r="Z35" s="39" t="str">
        <f t="shared" si="13"/>
        <v>SI</v>
      </c>
      <c r="AA35" s="52">
        <f t="shared" si="14"/>
        <v>2.066376</v>
      </c>
      <c r="AB35" s="387"/>
    </row>
    <row r="36" spans="1:28" s="9" customFormat="1" ht="15">
      <c r="A36" s="161"/>
      <c r="B36" s="166"/>
      <c r="C36" s="30">
        <v>47</v>
      </c>
      <c r="D36" s="8" t="s">
        <v>32</v>
      </c>
      <c r="E36" s="11" t="s">
        <v>19</v>
      </c>
      <c r="F36" s="37">
        <v>15</v>
      </c>
      <c r="G36" s="38" t="s">
        <v>18</v>
      </c>
      <c r="H36" s="248">
        <f t="shared" si="0"/>
        <v>2.685</v>
      </c>
      <c r="I36" s="40">
        <v>36937.044444444444</v>
      </c>
      <c r="J36" s="41">
        <v>36937.049305555556</v>
      </c>
      <c r="K36" s="42">
        <f t="shared" si="1"/>
        <v>0.11666666669771075</v>
      </c>
      <c r="L36" s="43">
        <f t="shared" si="2"/>
        <v>7</v>
      </c>
      <c r="M36" s="39" t="s">
        <v>131</v>
      </c>
      <c r="N36" s="39" t="str">
        <f t="shared" si="3"/>
        <v>NO</v>
      </c>
      <c r="O36" s="318">
        <v>40</v>
      </c>
      <c r="P36" s="39" t="s">
        <v>127</v>
      </c>
      <c r="Q36" s="319">
        <f t="shared" si="4"/>
        <v>30</v>
      </c>
      <c r="R36" s="323" t="str">
        <f t="shared" si="5"/>
        <v>--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>
        <f t="shared" si="9"/>
        <v>32.22</v>
      </c>
      <c r="W36" s="347">
        <f t="shared" si="10"/>
        <v>3.866399999999999</v>
      </c>
      <c r="X36" s="354" t="str">
        <f t="shared" si="11"/>
        <v>--</v>
      </c>
      <c r="Y36" s="360" t="str">
        <f t="shared" si="12"/>
        <v>--</v>
      </c>
      <c r="Z36" s="39" t="str">
        <f t="shared" si="13"/>
        <v>SI</v>
      </c>
      <c r="AA36" s="52">
        <f t="shared" si="14"/>
        <v>36.0864</v>
      </c>
      <c r="AB36" s="387"/>
    </row>
    <row r="37" spans="1:28" s="9" customFormat="1" ht="15">
      <c r="A37" s="161"/>
      <c r="B37" s="166"/>
      <c r="C37" s="30">
        <v>48</v>
      </c>
      <c r="D37" s="8" t="s">
        <v>26</v>
      </c>
      <c r="E37" s="11" t="s">
        <v>17</v>
      </c>
      <c r="F37" s="37">
        <v>4</v>
      </c>
      <c r="G37" s="38" t="s">
        <v>25</v>
      </c>
      <c r="H37" s="248">
        <f t="shared" si="0"/>
        <v>0.716</v>
      </c>
      <c r="I37" s="40">
        <v>36937.39444444444</v>
      </c>
      <c r="J37" s="41">
        <v>36937.57847222222</v>
      </c>
      <c r="K37" s="42">
        <f t="shared" si="1"/>
        <v>4.416666666744277</v>
      </c>
      <c r="L37" s="43">
        <f t="shared" si="2"/>
        <v>265</v>
      </c>
      <c r="M37" s="39" t="s">
        <v>125</v>
      </c>
      <c r="N37" s="39" t="str">
        <f t="shared" si="3"/>
        <v>--</v>
      </c>
      <c r="O37" s="318" t="str">
        <f t="shared" si="15"/>
        <v>--</v>
      </c>
      <c r="P37" s="39" t="s">
        <v>128</v>
      </c>
      <c r="Q37" s="319">
        <f t="shared" si="4"/>
        <v>0.30000000000000004</v>
      </c>
      <c r="R37" s="323">
        <f t="shared" si="5"/>
        <v>0.949416</v>
      </c>
      <c r="S37" s="329" t="str">
        <f t="shared" si="6"/>
        <v>--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 t="str">
        <f t="shared" si="13"/>
        <v>SI</v>
      </c>
      <c r="AA37" s="52">
        <f t="shared" si="14"/>
        <v>0.949416</v>
      </c>
      <c r="AB37" s="387"/>
    </row>
    <row r="38" spans="1:28" s="9" customFormat="1" ht="15">
      <c r="A38" s="161"/>
      <c r="B38" s="166"/>
      <c r="C38" s="30">
        <v>49</v>
      </c>
      <c r="D38" s="8" t="s">
        <v>20</v>
      </c>
      <c r="E38" s="11" t="s">
        <v>17</v>
      </c>
      <c r="F38" s="37">
        <v>15</v>
      </c>
      <c r="G38" s="38" t="s">
        <v>18</v>
      </c>
      <c r="H38" s="248">
        <f t="shared" si="0"/>
        <v>2.685</v>
      </c>
      <c r="I38" s="41">
        <v>36937.58472222222</v>
      </c>
      <c r="J38" s="41">
        <v>36937.5875</v>
      </c>
      <c r="K38" s="42">
        <f t="shared" si="1"/>
        <v>0.06666666670935228</v>
      </c>
      <c r="L38" s="43">
        <f t="shared" si="2"/>
        <v>4</v>
      </c>
      <c r="M38" s="39" t="s">
        <v>131</v>
      </c>
      <c r="N38" s="39" t="str">
        <f t="shared" si="3"/>
        <v>NO</v>
      </c>
      <c r="O38" s="318">
        <v>60</v>
      </c>
      <c r="P38" s="39" t="s">
        <v>127</v>
      </c>
      <c r="Q38" s="319">
        <f t="shared" si="4"/>
        <v>30</v>
      </c>
      <c r="R38" s="323" t="str">
        <f t="shared" si="5"/>
        <v>--</v>
      </c>
      <c r="S38" s="329" t="str">
        <f t="shared" si="6"/>
        <v>--</v>
      </c>
      <c r="T38" s="275" t="str">
        <f t="shared" si="7"/>
        <v>--</v>
      </c>
      <c r="U38" s="337" t="str">
        <f t="shared" si="8"/>
        <v>--</v>
      </c>
      <c r="V38" s="346">
        <f t="shared" si="9"/>
        <v>48.33</v>
      </c>
      <c r="W38" s="347">
        <f t="shared" si="10"/>
        <v>3.3831000000000007</v>
      </c>
      <c r="X38" s="354" t="str">
        <f t="shared" si="11"/>
        <v>--</v>
      </c>
      <c r="Y38" s="360" t="str">
        <f t="shared" si="12"/>
        <v>--</v>
      </c>
      <c r="Z38" s="39" t="str">
        <f t="shared" si="13"/>
        <v>SI</v>
      </c>
      <c r="AA38" s="52">
        <f t="shared" si="14"/>
        <v>51.7131</v>
      </c>
      <c r="AB38" s="63"/>
    </row>
    <row r="39" spans="1:28" s="9" customFormat="1" ht="15">
      <c r="A39" s="161"/>
      <c r="B39" s="166"/>
      <c r="C39" s="30">
        <v>50</v>
      </c>
      <c r="D39" s="8" t="s">
        <v>24</v>
      </c>
      <c r="E39" s="11" t="s">
        <v>22</v>
      </c>
      <c r="F39" s="37">
        <v>30</v>
      </c>
      <c r="G39" s="38" t="s">
        <v>25</v>
      </c>
      <c r="H39" s="248">
        <f t="shared" si="0"/>
        <v>5.37</v>
      </c>
      <c r="I39" s="40">
        <v>36937.62152777778</v>
      </c>
      <c r="J39" s="41">
        <v>36937.62569444445</v>
      </c>
      <c r="K39" s="42">
        <f t="shared" si="1"/>
        <v>0.09999999997671694</v>
      </c>
      <c r="L39" s="43">
        <f t="shared" si="2"/>
        <v>6</v>
      </c>
      <c r="M39" s="39" t="s">
        <v>126</v>
      </c>
      <c r="N39" s="39" t="str">
        <f t="shared" si="3"/>
        <v>NO</v>
      </c>
      <c r="O39" s="318" t="str">
        <f t="shared" si="15"/>
        <v>--</v>
      </c>
      <c r="P39" s="39" t="s">
        <v>127</v>
      </c>
      <c r="Q39" s="319">
        <f t="shared" si="4"/>
        <v>30</v>
      </c>
      <c r="R39" s="323" t="str">
        <f t="shared" si="5"/>
        <v>--</v>
      </c>
      <c r="S39" s="329" t="str">
        <f t="shared" si="6"/>
        <v>--</v>
      </c>
      <c r="T39" s="275">
        <f t="shared" si="7"/>
        <v>161.1</v>
      </c>
      <c r="U39" s="337">
        <f t="shared" si="8"/>
        <v>16.11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 t="str">
        <f t="shared" si="13"/>
        <v>SI</v>
      </c>
      <c r="AA39" s="52">
        <f t="shared" si="14"/>
        <v>177.20999999999998</v>
      </c>
      <c r="AB39" s="63"/>
    </row>
    <row r="40" spans="1:28" s="9" customFormat="1" ht="15">
      <c r="A40" s="161"/>
      <c r="B40" s="166"/>
      <c r="C40" s="30">
        <v>51</v>
      </c>
      <c r="D40" s="8" t="s">
        <v>33</v>
      </c>
      <c r="E40" s="11" t="s">
        <v>23</v>
      </c>
      <c r="F40" s="37">
        <v>28</v>
      </c>
      <c r="G40" s="38" t="s">
        <v>18</v>
      </c>
      <c r="H40" s="248">
        <f t="shared" si="0"/>
        <v>5.012</v>
      </c>
      <c r="I40" s="40">
        <v>36937.90277777778</v>
      </c>
      <c r="J40" s="41">
        <v>36937.90416666667</v>
      </c>
      <c r="K40" s="42">
        <f t="shared" si="1"/>
        <v>0.03333333326736465</v>
      </c>
      <c r="L40" s="43">
        <f t="shared" si="2"/>
        <v>2</v>
      </c>
      <c r="M40" s="39" t="s">
        <v>131</v>
      </c>
      <c r="N40" s="39" t="str">
        <f t="shared" si="3"/>
        <v>NO</v>
      </c>
      <c r="O40" s="318">
        <v>40</v>
      </c>
      <c r="P40" s="39" t="s">
        <v>127</v>
      </c>
      <c r="Q40" s="319">
        <f t="shared" si="4"/>
        <v>30</v>
      </c>
      <c r="R40" s="323" t="str">
        <f t="shared" si="5"/>
        <v>--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>
        <f t="shared" si="9"/>
        <v>60.144</v>
      </c>
      <c r="W40" s="347">
        <f t="shared" si="10"/>
        <v>1.80432</v>
      </c>
      <c r="X40" s="354" t="str">
        <f t="shared" si="11"/>
        <v>--</v>
      </c>
      <c r="Y40" s="360" t="str">
        <f t="shared" si="12"/>
        <v>--</v>
      </c>
      <c r="Z40" s="39" t="str">
        <f t="shared" si="13"/>
        <v>SI</v>
      </c>
      <c r="AA40" s="52">
        <f t="shared" si="14"/>
        <v>61.948319999999995</v>
      </c>
      <c r="AB40" s="63"/>
    </row>
    <row r="41" spans="1:28" s="9" customFormat="1" ht="15">
      <c r="A41" s="161"/>
      <c r="B41" s="166"/>
      <c r="C41" s="30">
        <v>52</v>
      </c>
      <c r="D41" s="8" t="s">
        <v>31</v>
      </c>
      <c r="E41" s="11" t="s">
        <v>23</v>
      </c>
      <c r="F41" s="37">
        <v>15</v>
      </c>
      <c r="G41" s="38" t="s">
        <v>18</v>
      </c>
      <c r="H41" s="248">
        <f t="shared" si="0"/>
        <v>2.685</v>
      </c>
      <c r="I41" s="40">
        <v>36942.166666666664</v>
      </c>
      <c r="J41" s="41">
        <v>36942.525</v>
      </c>
      <c r="K41" s="42">
        <f t="shared" si="1"/>
        <v>8.600000000093132</v>
      </c>
      <c r="L41" s="43">
        <f t="shared" si="2"/>
        <v>516</v>
      </c>
      <c r="M41" s="39" t="s">
        <v>125</v>
      </c>
      <c r="N41" s="39" t="str">
        <f t="shared" si="3"/>
        <v>--</v>
      </c>
      <c r="O41" s="318" t="str">
        <f t="shared" si="15"/>
        <v>--</v>
      </c>
      <c r="P41" s="39" t="s">
        <v>128</v>
      </c>
      <c r="Q41" s="319">
        <f t="shared" si="4"/>
        <v>0.30000000000000004</v>
      </c>
      <c r="R41" s="323">
        <f t="shared" si="5"/>
        <v>6.927300000000001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 t="str">
        <f t="shared" si="9"/>
        <v>--</v>
      </c>
      <c r="W41" s="347" t="str">
        <f t="shared" si="10"/>
        <v>--</v>
      </c>
      <c r="X41" s="354" t="str">
        <f t="shared" si="11"/>
        <v>--</v>
      </c>
      <c r="Y41" s="360" t="str">
        <f t="shared" si="12"/>
        <v>--</v>
      </c>
      <c r="Z41" s="39" t="str">
        <f t="shared" si="13"/>
        <v>SI</v>
      </c>
      <c r="AA41" s="52">
        <f t="shared" si="14"/>
        <v>6.927300000000001</v>
      </c>
      <c r="AB41" s="63"/>
    </row>
    <row r="42" spans="1:28" s="9" customFormat="1" ht="15">
      <c r="A42" s="161"/>
      <c r="B42" s="166"/>
      <c r="C42" s="30">
        <v>53</v>
      </c>
      <c r="D42" s="8" t="s">
        <v>34</v>
      </c>
      <c r="E42" s="11" t="s">
        <v>19</v>
      </c>
      <c r="F42" s="37">
        <v>30</v>
      </c>
      <c r="G42" s="38" t="s">
        <v>18</v>
      </c>
      <c r="H42" s="248">
        <f t="shared" si="0"/>
        <v>5.37</v>
      </c>
      <c r="I42" s="40">
        <v>36942.35138888889</v>
      </c>
      <c r="J42" s="41">
        <v>36942.49236111111</v>
      </c>
      <c r="K42" s="42">
        <f t="shared" si="1"/>
        <v>3.383333333185874</v>
      </c>
      <c r="L42" s="43">
        <f t="shared" si="2"/>
        <v>203</v>
      </c>
      <c r="M42" s="39" t="s">
        <v>132</v>
      </c>
      <c r="N42" s="39" t="str">
        <f t="shared" si="3"/>
        <v>--</v>
      </c>
      <c r="O42" s="318">
        <v>40</v>
      </c>
      <c r="P42" s="39" t="s">
        <v>128</v>
      </c>
      <c r="Q42" s="319">
        <f t="shared" si="4"/>
        <v>0.30000000000000004</v>
      </c>
      <c r="R42" s="323" t="str">
        <f t="shared" si="5"/>
        <v>--</v>
      </c>
      <c r="S42" s="329">
        <f t="shared" si="6"/>
        <v>2.1780720000000002</v>
      </c>
      <c r="T42" s="275" t="str">
        <f t="shared" si="7"/>
        <v>--</v>
      </c>
      <c r="U42" s="337" t="str">
        <f t="shared" si="8"/>
        <v>--</v>
      </c>
      <c r="V42" s="346" t="str">
        <f t="shared" si="9"/>
        <v>--</v>
      </c>
      <c r="W42" s="347" t="str">
        <f t="shared" si="10"/>
        <v>--</v>
      </c>
      <c r="X42" s="354" t="str">
        <f t="shared" si="11"/>
        <v>--</v>
      </c>
      <c r="Y42" s="360" t="str">
        <f t="shared" si="12"/>
        <v>--</v>
      </c>
      <c r="Z42" s="39" t="str">
        <f t="shared" si="13"/>
        <v>SI</v>
      </c>
      <c r="AA42" s="52">
        <f t="shared" si="14"/>
        <v>2.1780720000000002</v>
      </c>
      <c r="AB42" s="63"/>
    </row>
    <row r="43" spans="1:28" s="9" customFormat="1" ht="15">
      <c r="A43" s="161"/>
      <c r="B43" s="166"/>
      <c r="C43" s="30">
        <v>54</v>
      </c>
      <c r="D43" s="8" t="s">
        <v>32</v>
      </c>
      <c r="E43" s="11" t="s">
        <v>17</v>
      </c>
      <c r="F43" s="37">
        <v>30</v>
      </c>
      <c r="G43" s="38" t="s">
        <v>18</v>
      </c>
      <c r="H43" s="248">
        <f t="shared" si="0"/>
        <v>5.37</v>
      </c>
      <c r="I43" s="40">
        <v>36943.43680555555</v>
      </c>
      <c r="J43" s="41">
        <v>36943.54861111111</v>
      </c>
      <c r="K43" s="42">
        <f t="shared" si="1"/>
        <v>2.6833333333488554</v>
      </c>
      <c r="L43" s="43">
        <f t="shared" si="2"/>
        <v>161</v>
      </c>
      <c r="M43" s="39" t="s">
        <v>125</v>
      </c>
      <c r="N43" s="39" t="str">
        <f t="shared" si="3"/>
        <v>--</v>
      </c>
      <c r="O43" s="318" t="str">
        <f t="shared" si="15"/>
        <v>--</v>
      </c>
      <c r="P43" s="39" t="s">
        <v>128</v>
      </c>
      <c r="Q43" s="319">
        <f t="shared" si="4"/>
        <v>0.30000000000000004</v>
      </c>
      <c r="R43" s="323">
        <f t="shared" si="5"/>
        <v>4.317480000000001</v>
      </c>
      <c r="S43" s="329" t="str">
        <f t="shared" si="6"/>
        <v>--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 t="str">
        <f t="shared" si="13"/>
        <v>SI</v>
      </c>
      <c r="AA43" s="52">
        <f t="shared" si="14"/>
        <v>4.317480000000001</v>
      </c>
      <c r="AB43" s="63"/>
    </row>
    <row r="44" spans="1:28" s="9" customFormat="1" ht="15">
      <c r="A44" s="161"/>
      <c r="B44" s="166"/>
      <c r="C44" s="30">
        <v>55</v>
      </c>
      <c r="D44" s="8" t="s">
        <v>32</v>
      </c>
      <c r="E44" s="11" t="s">
        <v>19</v>
      </c>
      <c r="F44" s="37">
        <v>15</v>
      </c>
      <c r="G44" s="38" t="s">
        <v>18</v>
      </c>
      <c r="H44" s="248">
        <f t="shared" si="0"/>
        <v>2.685</v>
      </c>
      <c r="I44" s="40">
        <v>36944.697222222225</v>
      </c>
      <c r="J44" s="41">
        <v>36944.748611111114</v>
      </c>
      <c r="K44" s="42">
        <f t="shared" si="1"/>
        <v>1.2333333333372138</v>
      </c>
      <c r="L44" s="43">
        <f t="shared" si="2"/>
        <v>74</v>
      </c>
      <c r="M44" s="39" t="s">
        <v>126</v>
      </c>
      <c r="N44" s="39" t="str">
        <f t="shared" si="3"/>
        <v>NO</v>
      </c>
      <c r="O44" s="318" t="str">
        <f t="shared" si="15"/>
        <v>--</v>
      </c>
      <c r="P44" s="39" t="s">
        <v>127</v>
      </c>
      <c r="Q44" s="319">
        <f t="shared" si="4"/>
        <v>30</v>
      </c>
      <c r="R44" s="323" t="str">
        <f t="shared" si="5"/>
        <v>--</v>
      </c>
      <c r="S44" s="329" t="str">
        <f t="shared" si="6"/>
        <v>--</v>
      </c>
      <c r="T44" s="275">
        <f t="shared" si="7"/>
        <v>80.55</v>
      </c>
      <c r="U44" s="337">
        <f t="shared" si="8"/>
        <v>99.0765</v>
      </c>
      <c r="V44" s="346" t="str">
        <f t="shared" si="9"/>
        <v>--</v>
      </c>
      <c r="W44" s="347" t="str">
        <f t="shared" si="10"/>
        <v>--</v>
      </c>
      <c r="X44" s="354" t="str">
        <f t="shared" si="11"/>
        <v>--</v>
      </c>
      <c r="Y44" s="360" t="str">
        <f t="shared" si="12"/>
        <v>--</v>
      </c>
      <c r="Z44" s="39" t="str">
        <f t="shared" si="13"/>
        <v>SI</v>
      </c>
      <c r="AA44" s="52">
        <f t="shared" si="14"/>
        <v>179.6265</v>
      </c>
      <c r="AB44" s="63"/>
    </row>
    <row r="45" spans="1:28" s="9" customFormat="1" ht="15.75" thickBot="1">
      <c r="A45" s="161"/>
      <c r="B45" s="166"/>
      <c r="C45" s="46"/>
      <c r="D45" s="46"/>
      <c r="E45" s="46"/>
      <c r="F45" s="46"/>
      <c r="G45" s="46"/>
      <c r="H45" s="252"/>
      <c r="I45" s="46"/>
      <c r="J45" s="46"/>
      <c r="K45" s="46"/>
      <c r="L45" s="46"/>
      <c r="M45" s="46"/>
      <c r="N45" s="46"/>
      <c r="O45" s="46"/>
      <c r="P45" s="46"/>
      <c r="Q45" s="314"/>
      <c r="R45" s="324"/>
      <c r="S45" s="330"/>
      <c r="T45" s="333"/>
      <c r="U45" s="334"/>
      <c r="V45" s="348"/>
      <c r="W45" s="349"/>
      <c r="X45" s="355"/>
      <c r="Y45" s="361"/>
      <c r="Z45" s="46"/>
      <c r="AA45" s="255"/>
      <c r="AB45" s="63"/>
    </row>
    <row r="46" spans="1:28" s="9" customFormat="1" ht="17.25" thickBot="1" thickTop="1">
      <c r="A46" s="161"/>
      <c r="B46" s="166"/>
      <c r="C46" s="234" t="s">
        <v>74</v>
      </c>
      <c r="D46" s="235" t="s">
        <v>75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25">
        <f aca="true" t="shared" si="16" ref="R46:Y46">SUM(R22:R45)</f>
        <v>37.197667800000005</v>
      </c>
      <c r="S46" s="331">
        <f t="shared" si="16"/>
        <v>9.13437</v>
      </c>
      <c r="T46" s="335">
        <f t="shared" si="16"/>
        <v>402.75</v>
      </c>
      <c r="U46" s="335">
        <f t="shared" si="16"/>
        <v>715.284</v>
      </c>
      <c r="V46" s="350">
        <f t="shared" si="16"/>
        <v>172.914</v>
      </c>
      <c r="W46" s="350">
        <f t="shared" si="16"/>
        <v>12.27582</v>
      </c>
      <c r="X46" s="356">
        <f t="shared" si="16"/>
        <v>0</v>
      </c>
      <c r="Y46" s="362">
        <f t="shared" si="16"/>
        <v>0</v>
      </c>
      <c r="Z46" s="256"/>
      <c r="AA46" s="175">
        <f>ROUND(SUM(AA22:AA45),2)</f>
        <v>1349.56</v>
      </c>
      <c r="AB46" s="63"/>
    </row>
    <row r="47" spans="1:28" s="9" customFormat="1" ht="13.5" thickTop="1">
      <c r="A47" s="161"/>
      <c r="B47" s="166"/>
      <c r="C47" s="236"/>
      <c r="D47" s="237" t="s">
        <v>76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/>
      <c r="AB47" s="63"/>
    </row>
    <row r="48" spans="1:28" s="9" customFormat="1" ht="13.5" thickBot="1">
      <c r="A48" s="161"/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8"/>
    </row>
    <row r="49" spans="1:28" ht="16.5" customHeight="1" thickTop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"/>
    </row>
    <row r="5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B48"/>
  <sheetViews>
    <sheetView zoomScale="75" zoomScaleNormal="75" workbookViewId="0" topLeftCell="A21">
      <selection activeCell="D32" sqref="D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+'tot-0102'!B2</f>
        <v>ANEXO I a la Resolución ENRE N° 155 /2002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36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37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51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77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78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79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+'tot-0102'!B14</f>
        <v>Desde el 01 al 28 de febrero de 2001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80</v>
      </c>
      <c r="E18" s="188"/>
      <c r="F18" s="189"/>
      <c r="G18" s="190">
        <v>0.179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81</v>
      </c>
      <c r="E19" s="192"/>
      <c r="F19" s="192"/>
      <c r="G19" s="193">
        <f>30*'tot-0102'!B13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56</v>
      </c>
      <c r="D21" s="220" t="s">
        <v>82</v>
      </c>
      <c r="E21" s="219" t="s">
        <v>83</v>
      </c>
      <c r="F21" s="222" t="s">
        <v>84</v>
      </c>
      <c r="G21" s="223" t="s">
        <v>57</v>
      </c>
      <c r="H21" s="246" t="s">
        <v>59</v>
      </c>
      <c r="I21" s="219" t="s">
        <v>60</v>
      </c>
      <c r="J21" s="219" t="s">
        <v>61</v>
      </c>
      <c r="K21" s="220" t="s">
        <v>85</v>
      </c>
      <c r="L21" s="220" t="s">
        <v>86</v>
      </c>
      <c r="M21" s="157" t="s">
        <v>64</v>
      </c>
      <c r="N21" s="219" t="s">
        <v>87</v>
      </c>
      <c r="O21" s="220" t="s">
        <v>65</v>
      </c>
      <c r="P21" s="219" t="s">
        <v>88</v>
      </c>
      <c r="Q21" s="315" t="s">
        <v>89</v>
      </c>
      <c r="R21" s="320" t="s">
        <v>66</v>
      </c>
      <c r="S21" s="326" t="s">
        <v>67</v>
      </c>
      <c r="T21" s="272" t="s">
        <v>90</v>
      </c>
      <c r="U21" s="274"/>
      <c r="V21" s="340" t="s">
        <v>91</v>
      </c>
      <c r="W21" s="341"/>
      <c r="X21" s="351" t="s">
        <v>70</v>
      </c>
      <c r="Y21" s="357" t="s">
        <v>71</v>
      </c>
      <c r="Z21" s="223" t="s">
        <v>72</v>
      </c>
      <c r="AA21" s="223" t="s">
        <v>73</v>
      </c>
      <c r="AB21" s="63"/>
    </row>
    <row r="22" spans="1:28" s="9" customFormat="1" ht="15.75" thickTop="1">
      <c r="A22" s="161"/>
      <c r="B22" s="166"/>
      <c r="C22" s="30"/>
      <c r="D22" s="36" t="s">
        <v>124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ROUND('TR-0102'!AA46,2)</f>
        <v>1349.56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56</v>
      </c>
      <c r="D24" s="8" t="s">
        <v>118</v>
      </c>
      <c r="E24" s="11" t="s">
        <v>19</v>
      </c>
      <c r="F24" s="37">
        <v>7.5</v>
      </c>
      <c r="G24" s="38" t="s">
        <v>18</v>
      </c>
      <c r="H24" s="248">
        <f aca="true" t="shared" si="0" ref="H24:H43">F24*$G$18</f>
        <v>1.3425</v>
      </c>
      <c r="I24" s="40">
        <v>36945.691666666666</v>
      </c>
      <c r="J24" s="41">
        <v>36945.73611111111</v>
      </c>
      <c r="K24" s="42">
        <f aca="true" t="shared" si="1" ref="K24:K43">IF(D24="","",(J24-I24)*24)</f>
        <v>1.0666666666511446</v>
      </c>
      <c r="L24" s="43">
        <f aca="true" t="shared" si="2" ref="L24:L43">IF(D24="","",ROUND((J24-I24)*24*60,0))</f>
        <v>64</v>
      </c>
      <c r="M24" s="39" t="s">
        <v>131</v>
      </c>
      <c r="N24" s="39" t="str">
        <f aca="true" t="shared" si="3" ref="N24:N43">IF(D24="","",IF(OR(M24="P",M24="RP"),"--","NO"))</f>
        <v>NO</v>
      </c>
      <c r="O24" s="318">
        <v>40</v>
      </c>
      <c r="P24" s="39" t="s">
        <v>127</v>
      </c>
      <c r="Q24" s="319">
        <f aca="true" t="shared" si="4" ref="Q24:Q43">$G$19*IF(P24="SI",1,0.1)*IF(OR(M24="P",M24="RP"),0.1,1)</f>
        <v>30</v>
      </c>
      <c r="R24" s="323" t="str">
        <f aca="true" t="shared" si="5" ref="R24:R43">IF(M24="P",H24*Q24*ROUND(L24/60,2),"--")</f>
        <v>--</v>
      </c>
      <c r="S24" s="329" t="str">
        <f aca="true" t="shared" si="6" ref="S24:S43">IF(M24="RP",H24*Q24*O24/100*ROUND(L24/60,2),"--")</f>
        <v>--</v>
      </c>
      <c r="T24" s="275" t="str">
        <f aca="true" t="shared" si="7" ref="T24:T43">IF(AND(M24="F",N24="NO"),H24*Q24,"--")</f>
        <v>--</v>
      </c>
      <c r="U24" s="337" t="str">
        <f aca="true" t="shared" si="8" ref="U24:U43">IF(M24="F",H24*Q24*ROUND(L24/60,2),"--")</f>
        <v>--</v>
      </c>
      <c r="V24" s="346">
        <f aca="true" t="shared" si="9" ref="V24:V43">IF(AND(M24="R",N24="NO"),H24*Q24*O24/100,"--")</f>
        <v>16.11</v>
      </c>
      <c r="W24" s="347">
        <f aca="true" t="shared" si="10" ref="W24:W43">IF(M24="R",H24*Q24*ROUND(L24/60,2)*O24/100,"--")</f>
        <v>17.2377</v>
      </c>
      <c r="X24" s="354" t="str">
        <f aca="true" t="shared" si="11" ref="X24:X43">IF(M24="RF",H24*Q24*ROUND(L24/60,2),"--")</f>
        <v>--</v>
      </c>
      <c r="Y24" s="360" t="str">
        <f aca="true" t="shared" si="12" ref="Y24:Y43">IF(M24="RR",H24*Q24*ROUND(L24/60,2)*O24/100,"--")</f>
        <v>--</v>
      </c>
      <c r="Z24" s="39" t="str">
        <f aca="true" t="shared" si="13" ref="Z24:Z43">IF(D24="","","SI")</f>
        <v>SI</v>
      </c>
      <c r="AA24" s="52">
        <f aca="true" t="shared" si="14" ref="AA24:AA43">IF(D24="","",SUM(R24:Y24)*IF(Z24="SI",1,2))</f>
        <v>33.3477</v>
      </c>
      <c r="AB24" s="387"/>
    </row>
    <row r="25" spans="1:28" s="9" customFormat="1" ht="15">
      <c r="A25" s="161"/>
      <c r="B25" s="166"/>
      <c r="C25" s="30">
        <v>57</v>
      </c>
      <c r="D25" s="8" t="s">
        <v>32</v>
      </c>
      <c r="E25" s="11" t="s">
        <v>19</v>
      </c>
      <c r="F25" s="37">
        <v>15</v>
      </c>
      <c r="G25" s="38" t="s">
        <v>18</v>
      </c>
      <c r="H25" s="248">
        <f t="shared" si="0"/>
        <v>2.685</v>
      </c>
      <c r="I25" s="40">
        <v>36945.79583333333</v>
      </c>
      <c r="J25" s="41">
        <v>36945.79791666667</v>
      </c>
      <c r="K25" s="42">
        <f t="shared" si="1"/>
        <v>0.05000000016298145</v>
      </c>
      <c r="L25" s="43">
        <f t="shared" si="2"/>
        <v>3</v>
      </c>
      <c r="M25" s="39" t="s">
        <v>131</v>
      </c>
      <c r="N25" s="39" t="str">
        <f t="shared" si="3"/>
        <v>NO</v>
      </c>
      <c r="O25" s="318">
        <v>40</v>
      </c>
      <c r="P25" s="39" t="s">
        <v>127</v>
      </c>
      <c r="Q25" s="319">
        <f t="shared" si="4"/>
        <v>30</v>
      </c>
      <c r="R25" s="323" t="str">
        <f t="shared" si="5"/>
        <v>--</v>
      </c>
      <c r="S25" s="329" t="str">
        <f t="shared" si="6"/>
        <v>--</v>
      </c>
      <c r="T25" s="275" t="str">
        <f t="shared" si="7"/>
        <v>--</v>
      </c>
      <c r="U25" s="337" t="str">
        <f t="shared" si="8"/>
        <v>--</v>
      </c>
      <c r="V25" s="346">
        <f t="shared" si="9"/>
        <v>32.22</v>
      </c>
      <c r="W25" s="347">
        <f t="shared" si="10"/>
        <v>1.611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33.830999999999996</v>
      </c>
      <c r="AB25" s="387"/>
    </row>
    <row r="26" spans="1:28" s="9" customFormat="1" ht="15">
      <c r="A26" s="161"/>
      <c r="B26" s="166"/>
      <c r="C26" s="30">
        <v>58</v>
      </c>
      <c r="D26" s="8" t="s">
        <v>32</v>
      </c>
      <c r="E26" s="11" t="s">
        <v>19</v>
      </c>
      <c r="F26" s="37">
        <v>15</v>
      </c>
      <c r="G26" s="38" t="s">
        <v>18</v>
      </c>
      <c r="H26" s="248">
        <f t="shared" si="0"/>
        <v>2.685</v>
      </c>
      <c r="I26" s="40">
        <v>36946.29305555556</v>
      </c>
      <c r="J26" s="41">
        <v>36946.62847222222</v>
      </c>
      <c r="K26" s="42">
        <f t="shared" si="1"/>
        <v>8.049999999871943</v>
      </c>
      <c r="L26" s="43">
        <f t="shared" si="2"/>
        <v>483</v>
      </c>
      <c r="M26" s="39" t="s">
        <v>125</v>
      </c>
      <c r="N26" s="39" t="str">
        <f t="shared" si="3"/>
        <v>--</v>
      </c>
      <c r="O26" s="318" t="str">
        <f aca="true" t="shared" si="15" ref="O26:O43">IF(D26="","","--")</f>
        <v>--</v>
      </c>
      <c r="P26" s="39" t="s">
        <v>128</v>
      </c>
      <c r="Q26" s="319">
        <f t="shared" si="4"/>
        <v>0.30000000000000004</v>
      </c>
      <c r="R26" s="323">
        <f t="shared" si="5"/>
        <v>6.484275000000001</v>
      </c>
      <c r="S26" s="329" t="str">
        <f t="shared" si="6"/>
        <v>--</v>
      </c>
      <c r="T26" s="275" t="str">
        <f t="shared" si="7"/>
        <v>--</v>
      </c>
      <c r="U26" s="337" t="str">
        <f t="shared" si="8"/>
        <v>--</v>
      </c>
      <c r="V26" s="346" t="str">
        <f t="shared" si="9"/>
        <v>--</v>
      </c>
      <c r="W26" s="347" t="str">
        <f t="shared" si="10"/>
        <v>--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6.484275000000001</v>
      </c>
      <c r="AB26" s="387"/>
    </row>
    <row r="27" spans="1:28" s="9" customFormat="1" ht="15">
      <c r="A27" s="161"/>
      <c r="B27" s="166"/>
      <c r="C27" s="30">
        <v>59</v>
      </c>
      <c r="D27" s="8" t="s">
        <v>28</v>
      </c>
      <c r="E27" s="11" t="s">
        <v>22</v>
      </c>
      <c r="F27" s="37">
        <v>24</v>
      </c>
      <c r="G27" s="38" t="s">
        <v>25</v>
      </c>
      <c r="H27" s="248">
        <f t="shared" si="0"/>
        <v>4.295999999999999</v>
      </c>
      <c r="I27" s="40">
        <v>36947.21944444445</v>
      </c>
      <c r="J27" s="41">
        <v>36947.240277777775</v>
      </c>
      <c r="K27" s="42">
        <f t="shared" si="1"/>
        <v>0.4999999998835847</v>
      </c>
      <c r="L27" s="43">
        <f t="shared" si="2"/>
        <v>30</v>
      </c>
      <c r="M27" s="39" t="s">
        <v>126</v>
      </c>
      <c r="N27" s="39" t="str">
        <f t="shared" si="3"/>
        <v>NO</v>
      </c>
      <c r="O27" s="318" t="str">
        <f t="shared" si="15"/>
        <v>--</v>
      </c>
      <c r="P27" s="39" t="s">
        <v>127</v>
      </c>
      <c r="Q27" s="319">
        <f t="shared" si="4"/>
        <v>30</v>
      </c>
      <c r="R27" s="323" t="str">
        <f t="shared" si="5"/>
        <v>--</v>
      </c>
      <c r="S27" s="329" t="str">
        <f t="shared" si="6"/>
        <v>--</v>
      </c>
      <c r="T27" s="275">
        <f t="shared" si="7"/>
        <v>128.88</v>
      </c>
      <c r="U27" s="337">
        <f t="shared" si="8"/>
        <v>64.44</v>
      </c>
      <c r="V27" s="346" t="str">
        <f t="shared" si="9"/>
        <v>--</v>
      </c>
      <c r="W27" s="347" t="str">
        <f t="shared" si="10"/>
        <v>--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193.32</v>
      </c>
      <c r="AB27" s="387"/>
    </row>
    <row r="28" spans="1:28" s="9" customFormat="1" ht="15">
      <c r="A28" s="161"/>
      <c r="B28" s="166"/>
      <c r="C28" s="30">
        <v>60</v>
      </c>
      <c r="D28" s="8" t="s">
        <v>105</v>
      </c>
      <c r="E28" s="11" t="s">
        <v>17</v>
      </c>
      <c r="F28" s="37">
        <v>15</v>
      </c>
      <c r="G28" s="38" t="s">
        <v>18</v>
      </c>
      <c r="H28" s="248">
        <f>F28*$G$18</f>
        <v>2.685</v>
      </c>
      <c r="I28" s="40">
        <v>36947.29513888889</v>
      </c>
      <c r="J28" s="41">
        <v>36947.67638888889</v>
      </c>
      <c r="K28" s="42">
        <f>IF(D28="","",(J28-I28)*24)</f>
        <v>9.149999999965075</v>
      </c>
      <c r="L28" s="43">
        <f>IF(D28="","",ROUND((J28-I28)*24*60,0))</f>
        <v>549</v>
      </c>
      <c r="M28" s="39" t="s">
        <v>125</v>
      </c>
      <c r="N28" s="39" t="str">
        <f>IF(D28="","",IF(OR(M28="P",M28="RP"),"--","NO"))</f>
        <v>--</v>
      </c>
      <c r="O28" s="318" t="str">
        <f>IF(D28="","","--")</f>
        <v>--</v>
      </c>
      <c r="P28" s="39" t="s">
        <v>127</v>
      </c>
      <c r="Q28" s="319">
        <f>$G$19*IF(P28="SI",1,0.1)*IF(OR(M28="P",M28="RP"),0.1,1)</f>
        <v>3</v>
      </c>
      <c r="R28" s="323">
        <f>IF(M28="P",H28*Q28*ROUND(L28/60,2),"--")</f>
        <v>73.70325</v>
      </c>
      <c r="S28" s="329" t="str">
        <f>IF(M28="RP",H28*Q28*O28/100*ROUND(L28/60,2),"--")</f>
        <v>--</v>
      </c>
      <c r="T28" s="275" t="str">
        <f>IF(AND(M28="F",N28="NO"),H28*Q28,"--")</f>
        <v>--</v>
      </c>
      <c r="U28" s="337" t="str">
        <f>IF(M28="F",H28*Q28*ROUND(L28/60,2),"--")</f>
        <v>--</v>
      </c>
      <c r="V28" s="346" t="str">
        <f>IF(AND(M28="R",N28="NO"),H28*Q28*O28/100,"--")</f>
        <v>--</v>
      </c>
      <c r="W28" s="347" t="str">
        <f>IF(M28="R",H28*Q28*ROUND(L28/60,2)*O28/100,"--")</f>
        <v>--</v>
      </c>
      <c r="X28" s="354" t="str">
        <f>IF(M28="RF",H28*Q28*ROUND(L28/60,2),"--")</f>
        <v>--</v>
      </c>
      <c r="Y28" s="360" t="str">
        <f>IF(M28="RR",H28*Q28*ROUND(L28/60,2)*O28/100,"--")</f>
        <v>--</v>
      </c>
      <c r="Z28" s="39" t="str">
        <f>IF(D28="","","SI")</f>
        <v>SI</v>
      </c>
      <c r="AA28" s="52">
        <f>IF(D28="","",SUM(R28:Y28)*IF(Z28="SI",1,2))</f>
        <v>73.70325</v>
      </c>
      <c r="AB28" s="387"/>
    </row>
    <row r="29" spans="1:28" s="9" customFormat="1" ht="15">
      <c r="A29" s="161"/>
      <c r="B29" s="166"/>
      <c r="C29" s="30">
        <v>60</v>
      </c>
      <c r="D29" s="8" t="s">
        <v>105</v>
      </c>
      <c r="E29" s="11" t="s">
        <v>19</v>
      </c>
      <c r="F29" s="37">
        <v>15</v>
      </c>
      <c r="G29" s="38" t="s">
        <v>18</v>
      </c>
      <c r="H29" s="248">
        <f t="shared" si="0"/>
        <v>2.685</v>
      </c>
      <c r="I29" s="40">
        <v>36947.29513888889</v>
      </c>
      <c r="J29" s="41">
        <v>36947.67638888889</v>
      </c>
      <c r="K29" s="42">
        <f t="shared" si="1"/>
        <v>9.149999999965075</v>
      </c>
      <c r="L29" s="43">
        <f t="shared" si="2"/>
        <v>549</v>
      </c>
      <c r="M29" s="39" t="s">
        <v>125</v>
      </c>
      <c r="N29" s="39" t="str">
        <f t="shared" si="3"/>
        <v>--</v>
      </c>
      <c r="O29" s="318" t="str">
        <f t="shared" si="15"/>
        <v>--</v>
      </c>
      <c r="P29" s="39" t="s">
        <v>127</v>
      </c>
      <c r="Q29" s="319">
        <f t="shared" si="4"/>
        <v>3</v>
      </c>
      <c r="R29" s="323">
        <f t="shared" si="5"/>
        <v>73.70325</v>
      </c>
      <c r="S29" s="329" t="str">
        <f t="shared" si="6"/>
        <v>--</v>
      </c>
      <c r="T29" s="275" t="str">
        <f t="shared" si="7"/>
        <v>--</v>
      </c>
      <c r="U29" s="337" t="str">
        <f t="shared" si="8"/>
        <v>--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73.70325</v>
      </c>
      <c r="AB29" s="387"/>
    </row>
    <row r="30" spans="1:28" s="9" customFormat="1" ht="15">
      <c r="A30" s="161"/>
      <c r="B30" s="166"/>
      <c r="C30" s="30">
        <v>61</v>
      </c>
      <c r="D30" s="8" t="s">
        <v>106</v>
      </c>
      <c r="E30" s="11" t="s">
        <v>23</v>
      </c>
      <c r="F30" s="37">
        <v>7.5</v>
      </c>
      <c r="G30" s="38" t="s">
        <v>18</v>
      </c>
      <c r="H30" s="248">
        <f t="shared" si="0"/>
        <v>1.3425</v>
      </c>
      <c r="I30" s="40">
        <v>36947.29513888889</v>
      </c>
      <c r="J30" s="41">
        <v>36947.67638888889</v>
      </c>
      <c r="K30" s="42">
        <f t="shared" si="1"/>
        <v>9.149999999965075</v>
      </c>
      <c r="L30" s="43">
        <f t="shared" si="2"/>
        <v>549</v>
      </c>
      <c r="M30" s="39" t="s">
        <v>125</v>
      </c>
      <c r="N30" s="39" t="str">
        <f t="shared" si="3"/>
        <v>--</v>
      </c>
      <c r="O30" s="318" t="str">
        <f t="shared" si="15"/>
        <v>--</v>
      </c>
      <c r="P30" s="39" t="s">
        <v>127</v>
      </c>
      <c r="Q30" s="319">
        <f t="shared" si="4"/>
        <v>3</v>
      </c>
      <c r="R30" s="323">
        <f t="shared" si="5"/>
        <v>36.851625</v>
      </c>
      <c r="S30" s="329" t="str">
        <f t="shared" si="6"/>
        <v>--</v>
      </c>
      <c r="T30" s="275" t="str">
        <f t="shared" si="7"/>
        <v>--</v>
      </c>
      <c r="U30" s="337" t="str">
        <f t="shared" si="8"/>
        <v>--</v>
      </c>
      <c r="V30" s="346" t="str">
        <f t="shared" si="9"/>
        <v>--</v>
      </c>
      <c r="W30" s="347" t="str">
        <f t="shared" si="10"/>
        <v>--</v>
      </c>
      <c r="X30" s="354" t="str">
        <f t="shared" si="11"/>
        <v>--</v>
      </c>
      <c r="Y30" s="360" t="str">
        <f t="shared" si="12"/>
        <v>--</v>
      </c>
      <c r="Z30" s="39" t="str">
        <f t="shared" si="13"/>
        <v>SI</v>
      </c>
      <c r="AA30" s="52">
        <f t="shared" si="14"/>
        <v>36.851625</v>
      </c>
      <c r="AB30" s="387"/>
    </row>
    <row r="31" spans="1:28" s="9" customFormat="1" ht="15">
      <c r="A31" s="161"/>
      <c r="B31" s="166"/>
      <c r="C31" s="30">
        <v>62</v>
      </c>
      <c r="D31" s="8" t="s">
        <v>118</v>
      </c>
      <c r="E31" s="11" t="s">
        <v>17</v>
      </c>
      <c r="F31" s="37">
        <v>7.5</v>
      </c>
      <c r="G31" s="38" t="s">
        <v>18</v>
      </c>
      <c r="H31" s="248">
        <f t="shared" si="0"/>
        <v>1.3425</v>
      </c>
      <c r="I31" s="40">
        <v>36947.29513888889</v>
      </c>
      <c r="J31" s="41">
        <v>36947.67638888889</v>
      </c>
      <c r="K31" s="42">
        <f t="shared" si="1"/>
        <v>9.149999999965075</v>
      </c>
      <c r="L31" s="43">
        <f t="shared" si="2"/>
        <v>549</v>
      </c>
      <c r="M31" s="39" t="s">
        <v>125</v>
      </c>
      <c r="N31" s="39" t="str">
        <f t="shared" si="3"/>
        <v>--</v>
      </c>
      <c r="O31" s="318" t="str">
        <f t="shared" si="15"/>
        <v>--</v>
      </c>
      <c r="P31" s="39" t="s">
        <v>127</v>
      </c>
      <c r="Q31" s="319">
        <f t="shared" si="4"/>
        <v>3</v>
      </c>
      <c r="R31" s="323">
        <f t="shared" si="5"/>
        <v>36.851625</v>
      </c>
      <c r="S31" s="329" t="str">
        <f t="shared" si="6"/>
        <v>--</v>
      </c>
      <c r="T31" s="275" t="str">
        <f t="shared" si="7"/>
        <v>--</v>
      </c>
      <c r="U31" s="337" t="str">
        <f t="shared" si="8"/>
        <v>--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 t="str">
        <f t="shared" si="13"/>
        <v>SI</v>
      </c>
      <c r="AA31" s="52">
        <f t="shared" si="14"/>
        <v>36.851625</v>
      </c>
      <c r="AB31" s="387"/>
    </row>
    <row r="32" spans="1:28" s="9" customFormat="1" ht="15">
      <c r="A32" s="161"/>
      <c r="B32" s="166"/>
      <c r="C32" s="30">
        <v>63</v>
      </c>
      <c r="D32" s="8" t="s">
        <v>118</v>
      </c>
      <c r="E32" s="11" t="s">
        <v>19</v>
      </c>
      <c r="F32" s="37">
        <v>7.5</v>
      </c>
      <c r="G32" s="38" t="s">
        <v>18</v>
      </c>
      <c r="H32" s="248">
        <f t="shared" si="0"/>
        <v>1.3425</v>
      </c>
      <c r="I32" s="40">
        <v>36947.29513888889</v>
      </c>
      <c r="J32" s="41">
        <v>36947.67638888889</v>
      </c>
      <c r="K32" s="42">
        <f t="shared" si="1"/>
        <v>9.149999999965075</v>
      </c>
      <c r="L32" s="43">
        <f t="shared" si="2"/>
        <v>549</v>
      </c>
      <c r="M32" s="39" t="s">
        <v>125</v>
      </c>
      <c r="N32" s="39" t="str">
        <f t="shared" si="3"/>
        <v>--</v>
      </c>
      <c r="O32" s="318" t="str">
        <f t="shared" si="15"/>
        <v>--</v>
      </c>
      <c r="P32" s="39" t="s">
        <v>127</v>
      </c>
      <c r="Q32" s="319">
        <f t="shared" si="4"/>
        <v>3</v>
      </c>
      <c r="R32" s="323">
        <f t="shared" si="5"/>
        <v>36.851625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 t="str">
        <f t="shared" si="13"/>
        <v>SI</v>
      </c>
      <c r="AA32" s="52">
        <f t="shared" si="14"/>
        <v>36.851625</v>
      </c>
      <c r="AB32" s="387"/>
    </row>
    <row r="33" spans="1:28" s="9" customFormat="1" ht="15">
      <c r="A33" s="161"/>
      <c r="B33" s="166"/>
      <c r="C33" s="30">
        <v>64</v>
      </c>
      <c r="D33" s="8" t="s">
        <v>30</v>
      </c>
      <c r="E33" s="11" t="s">
        <v>22</v>
      </c>
      <c r="F33" s="37">
        <v>30</v>
      </c>
      <c r="G33" s="38" t="s">
        <v>18</v>
      </c>
      <c r="H33" s="248">
        <f t="shared" si="0"/>
        <v>5.37</v>
      </c>
      <c r="I33" s="40">
        <v>36947.34375</v>
      </c>
      <c r="J33" s="41">
        <v>36947.39444444444</v>
      </c>
      <c r="K33" s="42">
        <f t="shared" si="1"/>
        <v>1.21666666661622</v>
      </c>
      <c r="L33" s="43">
        <f t="shared" si="2"/>
        <v>73</v>
      </c>
      <c r="M33" s="39" t="s">
        <v>132</v>
      </c>
      <c r="N33" s="39" t="str">
        <f t="shared" si="3"/>
        <v>--</v>
      </c>
      <c r="O33" s="318">
        <v>40</v>
      </c>
      <c r="P33" s="39" t="s">
        <v>128</v>
      </c>
      <c r="Q33" s="319">
        <f t="shared" si="4"/>
        <v>0.30000000000000004</v>
      </c>
      <c r="R33" s="323" t="str">
        <f t="shared" si="5"/>
        <v>--</v>
      </c>
      <c r="S33" s="329">
        <f t="shared" si="6"/>
        <v>0.7861680000000001</v>
      </c>
      <c r="T33" s="275" t="str">
        <f t="shared" si="7"/>
        <v>--</v>
      </c>
      <c r="U33" s="337" t="str">
        <f t="shared" si="8"/>
        <v>--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 t="str">
        <f t="shared" si="13"/>
        <v>SI</v>
      </c>
      <c r="AA33" s="52">
        <f t="shared" si="14"/>
        <v>0.7861680000000001</v>
      </c>
      <c r="AB33" s="387"/>
    </row>
    <row r="34" spans="1:28" s="9" customFormat="1" ht="15">
      <c r="A34" s="161"/>
      <c r="B34" s="166"/>
      <c r="C34" s="30">
        <v>65</v>
      </c>
      <c r="D34" s="8" t="s">
        <v>29</v>
      </c>
      <c r="E34" s="11" t="s">
        <v>19</v>
      </c>
      <c r="F34" s="37">
        <v>30</v>
      </c>
      <c r="G34" s="38" t="s">
        <v>18</v>
      </c>
      <c r="H34" s="248">
        <f t="shared" si="0"/>
        <v>5.37</v>
      </c>
      <c r="I34" s="40">
        <v>36949.14236111111</v>
      </c>
      <c r="J34" s="41">
        <v>36949.279861111114</v>
      </c>
      <c r="K34" s="42">
        <f t="shared" si="1"/>
        <v>3.300000000104774</v>
      </c>
      <c r="L34" s="43">
        <f t="shared" si="2"/>
        <v>198</v>
      </c>
      <c r="M34" s="39" t="s">
        <v>125</v>
      </c>
      <c r="N34" s="39" t="str">
        <f t="shared" si="3"/>
        <v>--</v>
      </c>
      <c r="O34" s="318" t="str">
        <f t="shared" si="15"/>
        <v>--</v>
      </c>
      <c r="P34" s="39" t="s">
        <v>128</v>
      </c>
      <c r="Q34" s="319">
        <f t="shared" si="4"/>
        <v>0.30000000000000004</v>
      </c>
      <c r="R34" s="323">
        <f t="shared" si="5"/>
        <v>5.3163</v>
      </c>
      <c r="S34" s="329" t="str">
        <f t="shared" si="6"/>
        <v>--</v>
      </c>
      <c r="T34" s="275" t="str">
        <f t="shared" si="7"/>
        <v>--</v>
      </c>
      <c r="U34" s="337" t="str">
        <f t="shared" si="8"/>
        <v>--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 t="str">
        <f t="shared" si="13"/>
        <v>SI</v>
      </c>
      <c r="AA34" s="52">
        <f t="shared" si="14"/>
        <v>5.3163</v>
      </c>
      <c r="AB34" s="387"/>
    </row>
    <row r="35" spans="1:28" s="9" customFormat="1" ht="15">
      <c r="A35" s="161"/>
      <c r="B35" s="166"/>
      <c r="C35" s="30">
        <v>66</v>
      </c>
      <c r="D35" s="8" t="s">
        <v>21</v>
      </c>
      <c r="E35" s="11" t="s">
        <v>17</v>
      </c>
      <c r="F35" s="37">
        <v>30</v>
      </c>
      <c r="G35" s="38" t="s">
        <v>18</v>
      </c>
      <c r="H35" s="248">
        <f t="shared" si="0"/>
        <v>5.37</v>
      </c>
      <c r="I35" s="40">
        <v>36950.08263888889</v>
      </c>
      <c r="J35" s="41">
        <v>36950.211805555555</v>
      </c>
      <c r="K35" s="42">
        <f t="shared" si="1"/>
        <v>3.099999999976717</v>
      </c>
      <c r="L35" s="43">
        <f t="shared" si="2"/>
        <v>186</v>
      </c>
      <c r="M35" s="39" t="s">
        <v>125</v>
      </c>
      <c r="N35" s="39" t="str">
        <f t="shared" si="3"/>
        <v>--</v>
      </c>
      <c r="O35" s="318" t="str">
        <f t="shared" si="15"/>
        <v>--</v>
      </c>
      <c r="P35" s="39" t="s">
        <v>128</v>
      </c>
      <c r="Q35" s="319">
        <f t="shared" si="4"/>
        <v>0.30000000000000004</v>
      </c>
      <c r="R35" s="323">
        <f t="shared" si="5"/>
        <v>4.9941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 t="str">
        <f t="shared" si="9"/>
        <v>--</v>
      </c>
      <c r="W35" s="347" t="str">
        <f t="shared" si="10"/>
        <v>--</v>
      </c>
      <c r="X35" s="354" t="str">
        <f t="shared" si="11"/>
        <v>--</v>
      </c>
      <c r="Y35" s="360" t="str">
        <f t="shared" si="12"/>
        <v>--</v>
      </c>
      <c r="Z35" s="39" t="str">
        <f t="shared" si="13"/>
        <v>SI</v>
      </c>
      <c r="AA35" s="52">
        <f t="shared" si="14"/>
        <v>4.9941</v>
      </c>
      <c r="AB35" s="387"/>
    </row>
    <row r="36" spans="1:28" s="9" customFormat="1" ht="15">
      <c r="A36" s="161"/>
      <c r="B36" s="166"/>
      <c r="C36" s="30"/>
      <c r="D36" s="8"/>
      <c r="E36" s="11"/>
      <c r="F36" s="37"/>
      <c r="G36" s="38"/>
      <c r="H36" s="248">
        <f t="shared" si="0"/>
        <v>0</v>
      </c>
      <c r="I36" s="40"/>
      <c r="J36" s="41"/>
      <c r="K36" s="42">
        <f t="shared" si="1"/>
      </c>
      <c r="L36" s="43">
        <f t="shared" si="2"/>
      </c>
      <c r="M36" s="39"/>
      <c r="N36" s="39">
        <f t="shared" si="3"/>
      </c>
      <c r="O36" s="318">
        <f t="shared" si="15"/>
      </c>
      <c r="P36" s="39"/>
      <c r="Q36" s="319">
        <f t="shared" si="4"/>
        <v>3</v>
      </c>
      <c r="R36" s="323" t="str">
        <f t="shared" si="5"/>
        <v>--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 t="str">
        <f t="shared" si="9"/>
        <v>--</v>
      </c>
      <c r="W36" s="347" t="str">
        <f t="shared" si="10"/>
        <v>--</v>
      </c>
      <c r="X36" s="354" t="str">
        <f t="shared" si="11"/>
        <v>--</v>
      </c>
      <c r="Y36" s="360" t="str">
        <f t="shared" si="12"/>
        <v>--</v>
      </c>
      <c r="Z36" s="39">
        <f t="shared" si="13"/>
      </c>
      <c r="AA36" s="52">
        <f t="shared" si="14"/>
      </c>
      <c r="AB36" s="387"/>
    </row>
    <row r="37" spans="1:28" s="9" customFormat="1" ht="15">
      <c r="A37" s="161"/>
      <c r="B37" s="166"/>
      <c r="C37" s="30"/>
      <c r="D37" s="8"/>
      <c r="E37" s="11"/>
      <c r="F37" s="37"/>
      <c r="G37" s="38"/>
      <c r="H37" s="248">
        <f t="shared" si="0"/>
        <v>0</v>
      </c>
      <c r="I37" s="41"/>
      <c r="J37" s="41"/>
      <c r="K37" s="42">
        <f t="shared" si="1"/>
      </c>
      <c r="L37" s="43">
        <f t="shared" si="2"/>
      </c>
      <c r="M37" s="39"/>
      <c r="N37" s="39">
        <f t="shared" si="3"/>
      </c>
      <c r="O37" s="318">
        <f t="shared" si="15"/>
      </c>
      <c r="P37" s="39"/>
      <c r="Q37" s="319">
        <f t="shared" si="4"/>
        <v>3</v>
      </c>
      <c r="R37" s="323" t="str">
        <f t="shared" si="5"/>
        <v>--</v>
      </c>
      <c r="S37" s="329" t="str">
        <f t="shared" si="6"/>
        <v>--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>
        <f t="shared" si="13"/>
      </c>
      <c r="AA37" s="52">
        <f t="shared" si="14"/>
      </c>
      <c r="AB37" s="63"/>
    </row>
    <row r="38" spans="1:28" s="9" customFormat="1" ht="15">
      <c r="A38" s="161"/>
      <c r="B38" s="166"/>
      <c r="C38" s="30"/>
      <c r="D38" s="8"/>
      <c r="E38" s="11"/>
      <c r="F38" s="37"/>
      <c r="G38" s="38"/>
      <c r="H38" s="248">
        <f t="shared" si="0"/>
        <v>0</v>
      </c>
      <c r="I38" s="40"/>
      <c r="J38" s="41"/>
      <c r="K38" s="42">
        <f t="shared" si="1"/>
      </c>
      <c r="L38" s="43">
        <f t="shared" si="2"/>
      </c>
      <c r="M38" s="39"/>
      <c r="N38" s="39">
        <f t="shared" si="3"/>
      </c>
      <c r="O38" s="318">
        <f t="shared" si="15"/>
      </c>
      <c r="P38" s="39"/>
      <c r="Q38" s="319">
        <f t="shared" si="4"/>
        <v>3</v>
      </c>
      <c r="R38" s="323" t="str">
        <f t="shared" si="5"/>
        <v>--</v>
      </c>
      <c r="S38" s="329" t="str">
        <f t="shared" si="6"/>
        <v>--</v>
      </c>
      <c r="T38" s="275" t="str">
        <f t="shared" si="7"/>
        <v>--</v>
      </c>
      <c r="U38" s="337" t="str">
        <f t="shared" si="8"/>
        <v>--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>
        <f t="shared" si="13"/>
      </c>
      <c r="AA38" s="52">
        <f t="shared" si="14"/>
      </c>
      <c r="AB38" s="63"/>
    </row>
    <row r="39" spans="1:28" s="9" customFormat="1" ht="15">
      <c r="A39" s="161"/>
      <c r="B39" s="166"/>
      <c r="C39" s="30"/>
      <c r="D39" s="8"/>
      <c r="E39" s="11"/>
      <c r="F39" s="37"/>
      <c r="G39" s="38"/>
      <c r="H39" s="248">
        <f t="shared" si="0"/>
        <v>0</v>
      </c>
      <c r="I39" s="40"/>
      <c r="J39" s="41"/>
      <c r="K39" s="42">
        <f t="shared" si="1"/>
      </c>
      <c r="L39" s="43">
        <f t="shared" si="2"/>
      </c>
      <c r="M39" s="39"/>
      <c r="N39" s="39">
        <f t="shared" si="3"/>
      </c>
      <c r="O39" s="318">
        <f t="shared" si="15"/>
      </c>
      <c r="P39" s="39"/>
      <c r="Q39" s="319">
        <f t="shared" si="4"/>
        <v>3</v>
      </c>
      <c r="R39" s="323" t="str">
        <f t="shared" si="5"/>
        <v>--</v>
      </c>
      <c r="S39" s="329" t="str">
        <f t="shared" si="6"/>
        <v>--</v>
      </c>
      <c r="T39" s="275" t="str">
        <f t="shared" si="7"/>
        <v>--</v>
      </c>
      <c r="U39" s="337" t="str">
        <f t="shared" si="8"/>
        <v>--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>
        <f t="shared" si="13"/>
      </c>
      <c r="AA39" s="52">
        <f t="shared" si="14"/>
      </c>
      <c r="AB39" s="63"/>
    </row>
    <row r="40" spans="1:28" s="9" customFormat="1" ht="15">
      <c r="A40" s="161"/>
      <c r="B40" s="166"/>
      <c r="C40" s="30"/>
      <c r="D40" s="8"/>
      <c r="E40" s="11"/>
      <c r="F40" s="37"/>
      <c r="G40" s="38"/>
      <c r="H40" s="248">
        <f t="shared" si="0"/>
        <v>0</v>
      </c>
      <c r="I40" s="40"/>
      <c r="J40" s="41"/>
      <c r="K40" s="42">
        <f t="shared" si="1"/>
      </c>
      <c r="L40" s="43">
        <f t="shared" si="2"/>
      </c>
      <c r="M40" s="39"/>
      <c r="N40" s="39">
        <f t="shared" si="3"/>
      </c>
      <c r="O40" s="318">
        <f t="shared" si="15"/>
      </c>
      <c r="P40" s="39"/>
      <c r="Q40" s="319">
        <f t="shared" si="4"/>
        <v>3</v>
      </c>
      <c r="R40" s="323" t="str">
        <f t="shared" si="5"/>
        <v>--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>
        <f t="shared" si="13"/>
      </c>
      <c r="AA40" s="52">
        <f t="shared" si="14"/>
      </c>
      <c r="AB40" s="63"/>
    </row>
    <row r="41" spans="1:28" s="9" customFormat="1" ht="15">
      <c r="A41" s="161"/>
      <c r="B41" s="166"/>
      <c r="C41" s="30"/>
      <c r="D41" s="8"/>
      <c r="E41" s="11"/>
      <c r="F41" s="37"/>
      <c r="G41" s="38"/>
      <c r="H41" s="248">
        <f t="shared" si="0"/>
        <v>0</v>
      </c>
      <c r="I41" s="40"/>
      <c r="J41" s="41"/>
      <c r="K41" s="42">
        <f t="shared" si="1"/>
      </c>
      <c r="L41" s="43">
        <f t="shared" si="2"/>
      </c>
      <c r="M41" s="39"/>
      <c r="N41" s="39">
        <f t="shared" si="3"/>
      </c>
      <c r="O41" s="318">
        <f t="shared" si="15"/>
      </c>
      <c r="P41" s="39"/>
      <c r="Q41" s="319">
        <f t="shared" si="4"/>
        <v>3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 t="str">
        <f t="shared" si="9"/>
        <v>--</v>
      </c>
      <c r="W41" s="347" t="str">
        <f t="shared" si="10"/>
        <v>--</v>
      </c>
      <c r="X41" s="354" t="str">
        <f t="shared" si="11"/>
        <v>--</v>
      </c>
      <c r="Y41" s="360" t="str">
        <f t="shared" si="12"/>
        <v>--</v>
      </c>
      <c r="Z41" s="39">
        <f t="shared" si="13"/>
      </c>
      <c r="AA41" s="52">
        <f t="shared" si="14"/>
      </c>
      <c r="AB41" s="63"/>
    </row>
    <row r="42" spans="1:28" s="9" customFormat="1" ht="15">
      <c r="A42" s="161"/>
      <c r="B42" s="166"/>
      <c r="C42" s="30"/>
      <c r="D42" s="8"/>
      <c r="E42" s="11"/>
      <c r="F42" s="37"/>
      <c r="G42" s="38"/>
      <c r="H42" s="248">
        <f t="shared" si="0"/>
        <v>0</v>
      </c>
      <c r="I42" s="40"/>
      <c r="J42" s="41"/>
      <c r="K42" s="42">
        <f t="shared" si="1"/>
      </c>
      <c r="L42" s="43">
        <f t="shared" si="2"/>
      </c>
      <c r="M42" s="39"/>
      <c r="N42" s="39">
        <f t="shared" si="3"/>
      </c>
      <c r="O42" s="318">
        <f t="shared" si="15"/>
      </c>
      <c r="P42" s="39"/>
      <c r="Q42" s="319">
        <f t="shared" si="4"/>
        <v>3</v>
      </c>
      <c r="R42" s="323" t="str">
        <f t="shared" si="5"/>
        <v>--</v>
      </c>
      <c r="S42" s="329" t="str">
        <f t="shared" si="6"/>
        <v>--</v>
      </c>
      <c r="T42" s="275" t="str">
        <f t="shared" si="7"/>
        <v>--</v>
      </c>
      <c r="U42" s="337" t="str">
        <f t="shared" si="8"/>
        <v>--</v>
      </c>
      <c r="V42" s="346" t="str">
        <f t="shared" si="9"/>
        <v>--</v>
      </c>
      <c r="W42" s="347" t="str">
        <f t="shared" si="10"/>
        <v>--</v>
      </c>
      <c r="X42" s="354" t="str">
        <f t="shared" si="11"/>
        <v>--</v>
      </c>
      <c r="Y42" s="360" t="str">
        <f t="shared" si="12"/>
        <v>--</v>
      </c>
      <c r="Z42" s="39">
        <f t="shared" si="13"/>
      </c>
      <c r="AA42" s="52">
        <f t="shared" si="14"/>
      </c>
      <c r="AB42" s="63"/>
    </row>
    <row r="43" spans="1:28" s="9" customFormat="1" ht="15">
      <c r="A43" s="161"/>
      <c r="B43" s="166"/>
      <c r="C43" s="30"/>
      <c r="D43" s="8"/>
      <c r="E43" s="11"/>
      <c r="F43" s="37"/>
      <c r="G43" s="38"/>
      <c r="H43" s="248">
        <f t="shared" si="0"/>
        <v>0</v>
      </c>
      <c r="I43" s="40"/>
      <c r="J43" s="41"/>
      <c r="K43" s="42">
        <f t="shared" si="1"/>
      </c>
      <c r="L43" s="43">
        <f t="shared" si="2"/>
      </c>
      <c r="M43" s="39"/>
      <c r="N43" s="39">
        <f t="shared" si="3"/>
      </c>
      <c r="O43" s="318">
        <f t="shared" si="15"/>
      </c>
      <c r="P43" s="39"/>
      <c r="Q43" s="319">
        <f t="shared" si="4"/>
        <v>3</v>
      </c>
      <c r="R43" s="323" t="str">
        <f t="shared" si="5"/>
        <v>--</v>
      </c>
      <c r="S43" s="329" t="str">
        <f t="shared" si="6"/>
        <v>--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>
        <f t="shared" si="13"/>
      </c>
      <c r="AA43" s="52">
        <f t="shared" si="14"/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74</v>
      </c>
      <c r="D45" s="235" t="s">
        <v>75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274.75605</v>
      </c>
      <c r="S45" s="331">
        <f t="shared" si="16"/>
        <v>0.7861680000000001</v>
      </c>
      <c r="T45" s="335">
        <f t="shared" si="16"/>
        <v>128.88</v>
      </c>
      <c r="U45" s="335">
        <f t="shared" si="16"/>
        <v>64.44</v>
      </c>
      <c r="V45" s="350">
        <f t="shared" si="16"/>
        <v>48.33</v>
      </c>
      <c r="W45" s="350">
        <f t="shared" si="16"/>
        <v>18.8487</v>
      </c>
      <c r="X45" s="356">
        <f t="shared" si="16"/>
        <v>0</v>
      </c>
      <c r="Y45" s="362">
        <f t="shared" si="16"/>
        <v>0</v>
      </c>
      <c r="Z45" s="256"/>
      <c r="AA45" s="401">
        <f>ROUND(SUM(AA22:AA44),2)</f>
        <v>1885.6</v>
      </c>
      <c r="AB45" s="63"/>
    </row>
    <row r="46" spans="1:28" s="9" customFormat="1" ht="13.5" thickTop="1">
      <c r="A46" s="161"/>
      <c r="B46" s="166"/>
      <c r="C46" s="236"/>
      <c r="D46" s="237" t="s">
        <v>76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U47"/>
  <sheetViews>
    <sheetView zoomScale="75" zoomScaleNormal="75" workbookViewId="0" topLeftCell="A22">
      <selection activeCell="J37" sqref="J3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90"/>
    </row>
    <row r="2" spans="2:21" s="72" customFormat="1" ht="26.25">
      <c r="B2" s="73" t="str">
        <f>+'tot-0102'!B2</f>
        <v>ANEXO I a la Resolución ENRE N° 155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36</v>
      </c>
      <c r="B4" s="226"/>
    </row>
    <row r="5" spans="1:2" s="79" customFormat="1" ht="11.25">
      <c r="A5" s="77" t="s">
        <v>37</v>
      </c>
      <c r="B5" s="226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92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93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7"/>
      <c r="E11" s="7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83" customFormat="1" ht="20.25">
      <c r="B12" s="139"/>
      <c r="C12" s="84"/>
      <c r="D12" s="33" t="s">
        <v>94</v>
      </c>
      <c r="E12" s="33"/>
      <c r="F12" s="84"/>
      <c r="G12" s="33"/>
      <c r="H12" s="33"/>
      <c r="I12" s="33"/>
      <c r="J12" s="33"/>
      <c r="K12" s="33"/>
      <c r="N12" s="84"/>
      <c r="O12" s="84"/>
      <c r="P12" s="84"/>
      <c r="Q12" s="84"/>
      <c r="R12" s="84"/>
      <c r="S12" s="84"/>
      <c r="T12" s="84"/>
      <c r="U12" s="140"/>
    </row>
    <row r="13" spans="2:21" s="9" customFormat="1" ht="16.5" customHeight="1">
      <c r="B13" s="105"/>
      <c r="C13" s="7"/>
      <c r="D13" s="137"/>
      <c r="E13" s="135"/>
      <c r="F13" s="7"/>
      <c r="G13" s="135"/>
      <c r="H13" s="135"/>
      <c r="I13" s="135"/>
      <c r="J13" s="135"/>
      <c r="K13" s="135"/>
      <c r="N13" s="7"/>
      <c r="O13" s="7"/>
      <c r="P13" s="7"/>
      <c r="Q13" s="7"/>
      <c r="R13" s="7"/>
      <c r="S13" s="7"/>
      <c r="T13" s="7"/>
      <c r="U13" s="10"/>
    </row>
    <row r="14" spans="2:21" s="90" customFormat="1" ht="19.5">
      <c r="B14" s="91" t="str">
        <f>+'tot-0102'!B14</f>
        <v>Desde el 01 al 28 de febrero de 2001</v>
      </c>
      <c r="C14" s="95"/>
      <c r="D14" s="95"/>
      <c r="E14" s="95"/>
      <c r="F14" s="95"/>
      <c r="G14" s="95"/>
      <c r="H14" s="208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2:21" s="9" customFormat="1" ht="16.5" customHeight="1" thickBot="1">
      <c r="B15" s="105"/>
      <c r="C15" s="7"/>
      <c r="G15" s="129"/>
      <c r="I15" s="7"/>
      <c r="J15" s="7"/>
      <c r="K15" s="7"/>
      <c r="L15" s="129"/>
      <c r="M15" s="129"/>
      <c r="N15" s="12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5"/>
      <c r="C16" s="7"/>
      <c r="D16" s="209" t="s">
        <v>95</v>
      </c>
      <c r="E16" s="210">
        <v>2.39</v>
      </c>
      <c r="F16" s="211">
        <f>50*'tot-0102'!B13</f>
        <v>50</v>
      </c>
      <c r="H16" s="242" t="str">
        <f>IF(F16=50," ",IF(F16=100,"  Coeficiente duplicado por tasa de falla &gt;4 Sal. x año/100 km.","REVISAR COEFICIENTE"))</f>
        <v> </v>
      </c>
      <c r="Q16" s="7"/>
      <c r="R16" s="7"/>
      <c r="S16" s="7"/>
      <c r="T16" s="203"/>
      <c r="U16" s="10"/>
    </row>
    <row r="17" spans="2:21" s="9" customFormat="1" ht="16.5" customHeight="1" thickBot="1" thickTop="1">
      <c r="B17" s="105"/>
      <c r="C17" s="7"/>
      <c r="D17" s="212" t="s">
        <v>96</v>
      </c>
      <c r="E17" s="213">
        <v>1.792</v>
      </c>
      <c r="F17" s="214">
        <f>25*'tot-0102'!B13</f>
        <v>25</v>
      </c>
      <c r="H17" s="242" t="str">
        <f>IF(F17=25," ",IF(F17=50,"  Coeficiente duplicado por tasa de falla &gt;4 Sal. x año/100 km.","REVISAR COEFICIENTE"))</f>
        <v> </v>
      </c>
      <c r="I17" s="130"/>
      <c r="J17" s="130"/>
      <c r="K17" s="7"/>
      <c r="N17" s="204"/>
      <c r="O17" s="205"/>
      <c r="P17" s="123"/>
      <c r="Q17" s="7"/>
      <c r="R17" s="7"/>
      <c r="S17" s="7"/>
      <c r="T17" s="203"/>
      <c r="U17" s="10"/>
    </row>
    <row r="18" spans="2:21" s="9" customFormat="1" ht="16.5" customHeight="1" thickBot="1" thickTop="1">
      <c r="B18" s="105"/>
      <c r="C18" s="7"/>
      <c r="D18" s="215" t="s">
        <v>97</v>
      </c>
      <c r="E18" s="213">
        <v>1.792</v>
      </c>
      <c r="F18" s="216">
        <f>20*'tot-0102'!B13</f>
        <v>20</v>
      </c>
      <c r="H18" s="242" t="str">
        <f>IF(F18=20," ",IF(F18=40,"  Coeficiente duplicado por tasa de falla &gt;4 Sal. x año/100 km.","REVISAR COEFICIENTE"))</f>
        <v> </v>
      </c>
      <c r="I18" s="130"/>
      <c r="J18" s="130"/>
      <c r="K18" s="7"/>
      <c r="L18" s="397"/>
      <c r="M18" s="397"/>
      <c r="N18" s="395"/>
      <c r="O18" s="396"/>
      <c r="P18" s="397"/>
      <c r="Q18" s="398"/>
      <c r="R18" s="398"/>
      <c r="S18" s="399"/>
      <c r="T18" s="203"/>
      <c r="U18" s="10"/>
    </row>
    <row r="19" spans="2:21" s="9" customFormat="1" ht="16.5" customHeight="1" thickBot="1" thickTop="1">
      <c r="B19" s="105"/>
      <c r="C19" s="7"/>
      <c r="D19" s="206"/>
      <c r="E19" s="207"/>
      <c r="F19" s="123"/>
      <c r="G19" s="7"/>
      <c r="H19" s="123"/>
      <c r="I19" s="130"/>
      <c r="J19" s="130"/>
      <c r="K19" s="7"/>
      <c r="L19" s="7"/>
      <c r="M19" s="7"/>
      <c r="N19" s="204"/>
      <c r="O19" s="205"/>
      <c r="P19" s="123"/>
      <c r="Q19" s="7"/>
      <c r="R19" s="7"/>
      <c r="S19" s="7"/>
      <c r="T19" s="203"/>
      <c r="U19" s="10"/>
    </row>
    <row r="20" spans="2:21" s="9" customFormat="1" ht="33.75" customHeight="1" thickBot="1" thickTop="1">
      <c r="B20" s="105"/>
      <c r="C20" s="225" t="s">
        <v>56</v>
      </c>
      <c r="D20" s="220" t="s">
        <v>82</v>
      </c>
      <c r="E20" s="227" t="s">
        <v>83</v>
      </c>
      <c r="F20" s="228" t="s">
        <v>57</v>
      </c>
      <c r="G20" s="246" t="s">
        <v>59</v>
      </c>
      <c r="H20" s="219" t="s">
        <v>60</v>
      </c>
      <c r="I20" s="227" t="s">
        <v>61</v>
      </c>
      <c r="J20" s="229" t="s">
        <v>98</v>
      </c>
      <c r="K20" s="229" t="s">
        <v>86</v>
      </c>
      <c r="L20" s="159" t="s">
        <v>64</v>
      </c>
      <c r="M20" s="224" t="s">
        <v>87</v>
      </c>
      <c r="N20" s="363" t="s">
        <v>99</v>
      </c>
      <c r="O20" s="367" t="s">
        <v>66</v>
      </c>
      <c r="P20" s="373" t="s">
        <v>90</v>
      </c>
      <c r="Q20" s="374"/>
      <c r="R20" s="300" t="s">
        <v>70</v>
      </c>
      <c r="S20" s="223" t="s">
        <v>72</v>
      </c>
      <c r="T20" s="223" t="s">
        <v>73</v>
      </c>
      <c r="U20" s="63"/>
    </row>
    <row r="21" spans="2:21" s="9" customFormat="1" ht="16.5" customHeight="1" hidden="1" thickTop="1">
      <c r="B21" s="105"/>
      <c r="C21" s="32"/>
      <c r="D21" s="64"/>
      <c r="E21" s="48"/>
      <c r="F21" s="12"/>
      <c r="G21" s="253"/>
      <c r="H21" s="49"/>
      <c r="I21" s="50"/>
      <c r="J21" s="51"/>
      <c r="K21" s="43"/>
      <c r="L21" s="44"/>
      <c r="M21" s="44"/>
      <c r="N21" s="370"/>
      <c r="O21" s="371"/>
      <c r="P21" s="375"/>
      <c r="Q21" s="378"/>
      <c r="R21" s="381"/>
      <c r="S21" s="372"/>
      <c r="T21" s="71"/>
      <c r="U21" s="63"/>
    </row>
    <row r="22" spans="2:21" s="9" customFormat="1" ht="16.5" customHeight="1" thickTop="1">
      <c r="B22" s="105"/>
      <c r="C22" s="32"/>
      <c r="D22" s="48"/>
      <c r="E22" s="48"/>
      <c r="F22" s="12"/>
      <c r="G22" s="253"/>
      <c r="H22" s="49"/>
      <c r="I22" s="50"/>
      <c r="J22" s="51"/>
      <c r="K22" s="43"/>
      <c r="L22" s="44"/>
      <c r="M22" s="44"/>
      <c r="N22" s="364"/>
      <c r="O22" s="368"/>
      <c r="P22" s="376"/>
      <c r="Q22" s="379"/>
      <c r="R22" s="382"/>
      <c r="S22" s="39"/>
      <c r="T22" s="217"/>
      <c r="U22" s="63"/>
    </row>
    <row r="23" spans="2:21" s="9" customFormat="1" ht="16.5" customHeight="1">
      <c r="B23" s="105"/>
      <c r="C23" s="32">
        <v>67</v>
      </c>
      <c r="D23" s="48" t="s">
        <v>105</v>
      </c>
      <c r="E23" s="48" t="s">
        <v>108</v>
      </c>
      <c r="F23" s="12">
        <v>13.2</v>
      </c>
      <c r="G23" s="253">
        <f aca="true" t="shared" si="0" ref="G23:G42">IF(OR(F23=132,F23=66),$E$16,IF(F23=33,$E$17,$E$18))</f>
        <v>1.792</v>
      </c>
      <c r="H23" s="49">
        <v>36947.29513888889</v>
      </c>
      <c r="I23" s="50">
        <v>36947.67638888889</v>
      </c>
      <c r="J23" s="51">
        <f aca="true" t="shared" si="1" ref="J23:J42">IF(D23="","",(I23-H23)*24)</f>
        <v>9.149999999965075</v>
      </c>
      <c r="K23" s="43">
        <f aca="true" t="shared" si="2" ref="K23:K42">IF(D23="","",ROUND((I23-H23)*24*60,0))</f>
        <v>549</v>
      </c>
      <c r="L23" s="44" t="s">
        <v>125</v>
      </c>
      <c r="M23" s="44" t="str">
        <f aca="true" t="shared" si="3" ref="M23:M42">IF(D23="","",IF(OR(L23="P",L23="RP"),"--","NO"))</f>
        <v>--</v>
      </c>
      <c r="N23" s="364">
        <f aca="true" t="shared" si="4" ref="N23:N42">IF(F23&gt;33,$F$16,IF(F23=33,$F$17,$F$18))</f>
        <v>20</v>
      </c>
      <c r="O23" s="368">
        <f aca="true" t="shared" si="5" ref="O23:O42">IF(L23="P",G23*N23*ROUND(K23/60,2)*0.1,"--")</f>
        <v>32.793600000000005</v>
      </c>
      <c r="P23" s="376" t="str">
        <f aca="true" t="shared" si="6" ref="P23:P42">IF(AND(L23="F",M23="NO"),G23*N23,"--")</f>
        <v>--</v>
      </c>
      <c r="Q23" s="379" t="str">
        <f aca="true" t="shared" si="7" ref="Q23:Q42">IF(L23="F",G23*N23*ROUND(K23/60,2),"--")</f>
        <v>--</v>
      </c>
      <c r="R23" s="382" t="str">
        <f aca="true" t="shared" si="8" ref="R23:R42">IF(L23="RF",G23*N23*ROUND(K23/60,2),"--")</f>
        <v>--</v>
      </c>
      <c r="S23" s="39" t="str">
        <f aca="true" t="shared" si="9" ref="S23:S42">IF(D23="","","SI")</f>
        <v>SI</v>
      </c>
      <c r="T23" s="53">
        <f aca="true" t="shared" si="10" ref="T23:T42">IF(D23="","",SUM(O23:R23)*IF(S23="SI",1,2)*IF(F23="500/220",0,1))</f>
        <v>32.793600000000005</v>
      </c>
      <c r="U23" s="387"/>
    </row>
    <row r="24" spans="2:21" s="9" customFormat="1" ht="16.5" customHeight="1">
      <c r="B24" s="105"/>
      <c r="C24" s="32">
        <v>68</v>
      </c>
      <c r="D24" s="48" t="s">
        <v>105</v>
      </c>
      <c r="E24" s="48" t="s">
        <v>109</v>
      </c>
      <c r="F24" s="12">
        <v>13.2</v>
      </c>
      <c r="G24" s="253">
        <f t="shared" si="0"/>
        <v>1.792</v>
      </c>
      <c r="H24" s="49">
        <v>36947.29513888889</v>
      </c>
      <c r="I24" s="50">
        <v>36947.336805555555</v>
      </c>
      <c r="J24" s="51">
        <f t="shared" si="1"/>
        <v>0.9999999999417923</v>
      </c>
      <c r="K24" s="43">
        <f t="shared" si="2"/>
        <v>60</v>
      </c>
      <c r="L24" s="44" t="s">
        <v>125</v>
      </c>
      <c r="M24" s="44" t="str">
        <f t="shared" si="3"/>
        <v>--</v>
      </c>
      <c r="N24" s="364">
        <f t="shared" si="4"/>
        <v>20</v>
      </c>
      <c r="O24" s="368">
        <f t="shared" si="5"/>
        <v>3.5840000000000005</v>
      </c>
      <c r="P24" s="376" t="str">
        <f t="shared" si="6"/>
        <v>--</v>
      </c>
      <c r="Q24" s="379" t="str">
        <f t="shared" si="7"/>
        <v>--</v>
      </c>
      <c r="R24" s="382" t="str">
        <f t="shared" si="8"/>
        <v>--</v>
      </c>
      <c r="S24" s="39" t="str">
        <f t="shared" si="9"/>
        <v>SI</v>
      </c>
      <c r="T24" s="53">
        <f t="shared" si="10"/>
        <v>3.5840000000000005</v>
      </c>
      <c r="U24" s="387"/>
    </row>
    <row r="25" spans="2:21" s="9" customFormat="1" ht="16.5" customHeight="1">
      <c r="B25" s="105"/>
      <c r="C25" s="32">
        <v>69</v>
      </c>
      <c r="D25" s="48" t="s">
        <v>105</v>
      </c>
      <c r="E25" s="48" t="s">
        <v>110</v>
      </c>
      <c r="F25" s="12">
        <v>13.2</v>
      </c>
      <c r="G25" s="253">
        <f t="shared" si="0"/>
        <v>1.792</v>
      </c>
      <c r="H25" s="49">
        <v>36947.29513888889</v>
      </c>
      <c r="I25" s="50">
        <v>36947.67638888889</v>
      </c>
      <c r="J25" s="51">
        <f t="shared" si="1"/>
        <v>9.149999999965075</v>
      </c>
      <c r="K25" s="43">
        <f t="shared" si="2"/>
        <v>549</v>
      </c>
      <c r="L25" s="44" t="s">
        <v>125</v>
      </c>
      <c r="M25" s="44" t="str">
        <f t="shared" si="3"/>
        <v>--</v>
      </c>
      <c r="N25" s="364">
        <f t="shared" si="4"/>
        <v>20</v>
      </c>
      <c r="O25" s="368">
        <f t="shared" si="5"/>
        <v>32.793600000000005</v>
      </c>
      <c r="P25" s="376" t="str">
        <f t="shared" si="6"/>
        <v>--</v>
      </c>
      <c r="Q25" s="379" t="str">
        <f t="shared" si="7"/>
        <v>--</v>
      </c>
      <c r="R25" s="382" t="str">
        <f t="shared" si="8"/>
        <v>--</v>
      </c>
      <c r="S25" s="39" t="str">
        <f t="shared" si="9"/>
        <v>SI</v>
      </c>
      <c r="T25" s="53">
        <f t="shared" si="10"/>
        <v>32.793600000000005</v>
      </c>
      <c r="U25" s="387"/>
    </row>
    <row r="26" spans="2:21" s="9" customFormat="1" ht="16.5" customHeight="1">
      <c r="B26" s="105"/>
      <c r="C26" s="32">
        <v>70</v>
      </c>
      <c r="D26" s="48" t="s">
        <v>106</v>
      </c>
      <c r="E26" s="48" t="s">
        <v>111</v>
      </c>
      <c r="F26" s="12">
        <v>13.2</v>
      </c>
      <c r="G26" s="253">
        <f t="shared" si="0"/>
        <v>1.792</v>
      </c>
      <c r="H26" s="49">
        <v>36947.29513888889</v>
      </c>
      <c r="I26" s="50">
        <v>36947.3125</v>
      </c>
      <c r="J26" s="51">
        <f t="shared" si="1"/>
        <v>0.41666666662786156</v>
      </c>
      <c r="K26" s="43">
        <f t="shared" si="2"/>
        <v>25</v>
      </c>
      <c r="L26" s="44" t="s">
        <v>125</v>
      </c>
      <c r="M26" s="44" t="str">
        <f t="shared" si="3"/>
        <v>--</v>
      </c>
      <c r="N26" s="364">
        <f t="shared" si="4"/>
        <v>20</v>
      </c>
      <c r="O26" s="368">
        <f t="shared" si="5"/>
        <v>1.5052800000000002</v>
      </c>
      <c r="P26" s="376" t="str">
        <f t="shared" si="6"/>
        <v>--</v>
      </c>
      <c r="Q26" s="379" t="str">
        <f t="shared" si="7"/>
        <v>--</v>
      </c>
      <c r="R26" s="382" t="str">
        <f t="shared" si="8"/>
        <v>--</v>
      </c>
      <c r="S26" s="39" t="str">
        <f t="shared" si="9"/>
        <v>SI</v>
      </c>
      <c r="T26" s="53">
        <f t="shared" si="10"/>
        <v>1.5052800000000002</v>
      </c>
      <c r="U26" s="63"/>
    </row>
    <row r="27" spans="2:21" s="9" customFormat="1" ht="16.5" customHeight="1">
      <c r="B27" s="105"/>
      <c r="C27" s="32">
        <v>71</v>
      </c>
      <c r="D27" s="48" t="s">
        <v>106</v>
      </c>
      <c r="E27" s="48" t="s">
        <v>112</v>
      </c>
      <c r="F27" s="12">
        <v>13.2</v>
      </c>
      <c r="G27" s="253">
        <f t="shared" si="0"/>
        <v>1.792</v>
      </c>
      <c r="H27" s="49">
        <v>36947.29513888889</v>
      </c>
      <c r="I27" s="50">
        <v>36947.3125</v>
      </c>
      <c r="J27" s="51">
        <f t="shared" si="1"/>
        <v>0.41666666662786156</v>
      </c>
      <c r="K27" s="43">
        <f t="shared" si="2"/>
        <v>25</v>
      </c>
      <c r="L27" s="44" t="s">
        <v>125</v>
      </c>
      <c r="M27" s="44" t="str">
        <f t="shared" si="3"/>
        <v>--</v>
      </c>
      <c r="N27" s="364">
        <f t="shared" si="4"/>
        <v>20</v>
      </c>
      <c r="O27" s="368">
        <f t="shared" si="5"/>
        <v>1.5052800000000002</v>
      </c>
      <c r="P27" s="376" t="str">
        <f t="shared" si="6"/>
        <v>--</v>
      </c>
      <c r="Q27" s="379" t="str">
        <f t="shared" si="7"/>
        <v>--</v>
      </c>
      <c r="R27" s="382" t="str">
        <f t="shared" si="8"/>
        <v>--</v>
      </c>
      <c r="S27" s="39" t="str">
        <f t="shared" si="9"/>
        <v>SI</v>
      </c>
      <c r="T27" s="53">
        <f t="shared" si="10"/>
        <v>1.5052800000000002</v>
      </c>
      <c r="U27" s="63"/>
    </row>
    <row r="28" spans="2:21" s="9" customFormat="1" ht="16.5" customHeight="1">
      <c r="B28" s="105"/>
      <c r="C28" s="32">
        <v>72</v>
      </c>
      <c r="D28" s="48" t="s">
        <v>106</v>
      </c>
      <c r="E28" s="48" t="s">
        <v>113</v>
      </c>
      <c r="F28" s="12">
        <v>13.2</v>
      </c>
      <c r="G28" s="253">
        <f t="shared" si="0"/>
        <v>1.792</v>
      </c>
      <c r="H28" s="49">
        <v>36947.29513888889</v>
      </c>
      <c r="I28" s="50">
        <v>36947.3125</v>
      </c>
      <c r="J28" s="51">
        <f t="shared" si="1"/>
        <v>0.41666666662786156</v>
      </c>
      <c r="K28" s="43">
        <f t="shared" si="2"/>
        <v>25</v>
      </c>
      <c r="L28" s="44" t="s">
        <v>125</v>
      </c>
      <c r="M28" s="44" t="str">
        <f t="shared" si="3"/>
        <v>--</v>
      </c>
      <c r="N28" s="364">
        <f t="shared" si="4"/>
        <v>20</v>
      </c>
      <c r="O28" s="368">
        <f t="shared" si="5"/>
        <v>1.5052800000000002</v>
      </c>
      <c r="P28" s="376" t="str">
        <f t="shared" si="6"/>
        <v>--</v>
      </c>
      <c r="Q28" s="379" t="str">
        <f t="shared" si="7"/>
        <v>--</v>
      </c>
      <c r="R28" s="382" t="str">
        <f t="shared" si="8"/>
        <v>--</v>
      </c>
      <c r="S28" s="39" t="str">
        <f t="shared" si="9"/>
        <v>SI</v>
      </c>
      <c r="T28" s="53">
        <f t="shared" si="10"/>
        <v>1.5052800000000002</v>
      </c>
      <c r="U28" s="63"/>
    </row>
    <row r="29" spans="2:21" s="9" customFormat="1" ht="16.5" customHeight="1">
      <c r="B29" s="105"/>
      <c r="C29" s="32">
        <v>73</v>
      </c>
      <c r="D29" s="48" t="s">
        <v>106</v>
      </c>
      <c r="E29" s="48" t="s">
        <v>116</v>
      </c>
      <c r="F29" s="12">
        <v>13.2</v>
      </c>
      <c r="G29" s="253">
        <f t="shared" si="0"/>
        <v>1.792</v>
      </c>
      <c r="H29" s="49">
        <v>36947.29513888889</v>
      </c>
      <c r="I29" s="50">
        <v>36947.3125</v>
      </c>
      <c r="J29" s="51">
        <f t="shared" si="1"/>
        <v>0.41666666662786156</v>
      </c>
      <c r="K29" s="43">
        <f t="shared" si="2"/>
        <v>25</v>
      </c>
      <c r="L29" s="44" t="s">
        <v>125</v>
      </c>
      <c r="M29" s="44" t="str">
        <f t="shared" si="3"/>
        <v>--</v>
      </c>
      <c r="N29" s="364">
        <f t="shared" si="4"/>
        <v>20</v>
      </c>
      <c r="O29" s="368">
        <f t="shared" si="5"/>
        <v>1.5052800000000002</v>
      </c>
      <c r="P29" s="376" t="str">
        <f t="shared" si="6"/>
        <v>--</v>
      </c>
      <c r="Q29" s="379" t="str">
        <f t="shared" si="7"/>
        <v>--</v>
      </c>
      <c r="R29" s="382" t="str">
        <f t="shared" si="8"/>
        <v>--</v>
      </c>
      <c r="S29" s="39" t="str">
        <f t="shared" si="9"/>
        <v>SI</v>
      </c>
      <c r="T29" s="53">
        <f t="shared" si="10"/>
        <v>1.5052800000000002</v>
      </c>
      <c r="U29" s="63"/>
    </row>
    <row r="30" spans="2:21" s="9" customFormat="1" ht="16.5" customHeight="1">
      <c r="B30" s="105"/>
      <c r="C30" s="32">
        <v>74</v>
      </c>
      <c r="D30" s="48" t="s">
        <v>106</v>
      </c>
      <c r="E30" s="48" t="s">
        <v>117</v>
      </c>
      <c r="F30" s="12">
        <v>33</v>
      </c>
      <c r="G30" s="253">
        <f t="shared" si="0"/>
        <v>1.792</v>
      </c>
      <c r="H30" s="49">
        <v>36947.29513888889</v>
      </c>
      <c r="I30" s="50">
        <v>36947.67638888889</v>
      </c>
      <c r="J30" s="51">
        <f t="shared" si="1"/>
        <v>9.149999999965075</v>
      </c>
      <c r="K30" s="43">
        <f t="shared" si="2"/>
        <v>549</v>
      </c>
      <c r="L30" s="44" t="s">
        <v>125</v>
      </c>
      <c r="M30" s="44" t="str">
        <f t="shared" si="3"/>
        <v>--</v>
      </c>
      <c r="N30" s="364">
        <f t="shared" si="4"/>
        <v>25</v>
      </c>
      <c r="O30" s="368">
        <f t="shared" si="5"/>
        <v>40.99200000000001</v>
      </c>
      <c r="P30" s="376" t="str">
        <f t="shared" si="6"/>
        <v>--</v>
      </c>
      <c r="Q30" s="379" t="str">
        <f t="shared" si="7"/>
        <v>--</v>
      </c>
      <c r="R30" s="382" t="str">
        <f t="shared" si="8"/>
        <v>--</v>
      </c>
      <c r="S30" s="39" t="str">
        <f t="shared" si="9"/>
        <v>SI</v>
      </c>
      <c r="T30" s="53">
        <f t="shared" si="10"/>
        <v>40.99200000000001</v>
      </c>
      <c r="U30" s="63"/>
    </row>
    <row r="31" spans="2:21" s="9" customFormat="1" ht="16.5" customHeight="1">
      <c r="B31" s="105"/>
      <c r="C31" s="32">
        <v>75</v>
      </c>
      <c r="D31" s="48" t="s">
        <v>118</v>
      </c>
      <c r="E31" s="48" t="s">
        <v>120</v>
      </c>
      <c r="F31" s="12">
        <v>13.2</v>
      </c>
      <c r="G31" s="253">
        <f t="shared" si="0"/>
        <v>1.792</v>
      </c>
      <c r="H31" s="49">
        <v>36947.29513888889</v>
      </c>
      <c r="I31" s="50">
        <v>36947.3125</v>
      </c>
      <c r="J31" s="51">
        <f t="shared" si="1"/>
        <v>0.41666666662786156</v>
      </c>
      <c r="K31" s="43">
        <f t="shared" si="2"/>
        <v>25</v>
      </c>
      <c r="L31" s="44" t="s">
        <v>125</v>
      </c>
      <c r="M31" s="44" t="str">
        <f t="shared" si="3"/>
        <v>--</v>
      </c>
      <c r="N31" s="364">
        <f t="shared" si="4"/>
        <v>20</v>
      </c>
      <c r="O31" s="368">
        <f t="shared" si="5"/>
        <v>1.5052800000000002</v>
      </c>
      <c r="P31" s="376" t="str">
        <f t="shared" si="6"/>
        <v>--</v>
      </c>
      <c r="Q31" s="379" t="str">
        <f t="shared" si="7"/>
        <v>--</v>
      </c>
      <c r="R31" s="382" t="str">
        <f t="shared" si="8"/>
        <v>--</v>
      </c>
      <c r="S31" s="39" t="str">
        <f t="shared" si="9"/>
        <v>SI</v>
      </c>
      <c r="T31" s="53">
        <f t="shared" si="10"/>
        <v>1.5052800000000002</v>
      </c>
      <c r="U31" s="63"/>
    </row>
    <row r="32" spans="2:21" s="9" customFormat="1" ht="16.5" customHeight="1">
      <c r="B32" s="105"/>
      <c r="C32" s="32">
        <v>76</v>
      </c>
      <c r="D32" s="48" t="s">
        <v>118</v>
      </c>
      <c r="E32" s="48" t="s">
        <v>121</v>
      </c>
      <c r="F32" s="12">
        <v>13.2</v>
      </c>
      <c r="G32" s="253">
        <f t="shared" si="0"/>
        <v>1.792</v>
      </c>
      <c r="H32" s="49">
        <v>36947.29513888889</v>
      </c>
      <c r="I32" s="50">
        <v>36947.3125</v>
      </c>
      <c r="J32" s="51">
        <f t="shared" si="1"/>
        <v>0.41666666662786156</v>
      </c>
      <c r="K32" s="43">
        <f t="shared" si="2"/>
        <v>25</v>
      </c>
      <c r="L32" s="44" t="s">
        <v>125</v>
      </c>
      <c r="M32" s="44" t="str">
        <f t="shared" si="3"/>
        <v>--</v>
      </c>
      <c r="N32" s="364">
        <f t="shared" si="4"/>
        <v>20</v>
      </c>
      <c r="O32" s="368">
        <f t="shared" si="5"/>
        <v>1.5052800000000002</v>
      </c>
      <c r="P32" s="376" t="str">
        <f t="shared" si="6"/>
        <v>--</v>
      </c>
      <c r="Q32" s="379" t="str">
        <f t="shared" si="7"/>
        <v>--</v>
      </c>
      <c r="R32" s="382" t="str">
        <f t="shared" si="8"/>
        <v>--</v>
      </c>
      <c r="S32" s="39" t="str">
        <f t="shared" si="9"/>
        <v>SI</v>
      </c>
      <c r="T32" s="53">
        <f t="shared" si="10"/>
        <v>1.5052800000000002</v>
      </c>
      <c r="U32" s="63"/>
    </row>
    <row r="33" spans="2:21" s="9" customFormat="1" ht="16.5" customHeight="1">
      <c r="B33" s="105"/>
      <c r="C33" s="32">
        <v>77</v>
      </c>
      <c r="D33" s="48" t="s">
        <v>118</v>
      </c>
      <c r="E33" s="48" t="s">
        <v>122</v>
      </c>
      <c r="F33" s="12">
        <v>13.2</v>
      </c>
      <c r="G33" s="253">
        <f t="shared" si="0"/>
        <v>1.792</v>
      </c>
      <c r="H33" s="49">
        <v>36947.29513888889</v>
      </c>
      <c r="I33" s="50">
        <v>36947.3125</v>
      </c>
      <c r="J33" s="51">
        <f t="shared" si="1"/>
        <v>0.41666666662786156</v>
      </c>
      <c r="K33" s="43">
        <f t="shared" si="2"/>
        <v>25</v>
      </c>
      <c r="L33" s="44" t="s">
        <v>125</v>
      </c>
      <c r="M33" s="44" t="str">
        <f t="shared" si="3"/>
        <v>--</v>
      </c>
      <c r="N33" s="364">
        <f t="shared" si="4"/>
        <v>20</v>
      </c>
      <c r="O33" s="368">
        <f t="shared" si="5"/>
        <v>1.5052800000000002</v>
      </c>
      <c r="P33" s="376" t="str">
        <f t="shared" si="6"/>
        <v>--</v>
      </c>
      <c r="Q33" s="379" t="str">
        <f t="shared" si="7"/>
        <v>--</v>
      </c>
      <c r="R33" s="382" t="str">
        <f t="shared" si="8"/>
        <v>--</v>
      </c>
      <c r="S33" s="39" t="str">
        <f t="shared" si="9"/>
        <v>SI</v>
      </c>
      <c r="T33" s="53">
        <f t="shared" si="10"/>
        <v>1.5052800000000002</v>
      </c>
      <c r="U33" s="63"/>
    </row>
    <row r="34" spans="2:21" s="9" customFormat="1" ht="16.5" customHeight="1">
      <c r="B34" s="105"/>
      <c r="C34" s="32">
        <v>78</v>
      </c>
      <c r="D34" s="48" t="s">
        <v>118</v>
      </c>
      <c r="E34" s="48" t="s">
        <v>119</v>
      </c>
      <c r="F34" s="12">
        <v>33</v>
      </c>
      <c r="G34" s="253">
        <f t="shared" si="0"/>
        <v>1.792</v>
      </c>
      <c r="H34" s="49">
        <v>36947.29513888889</v>
      </c>
      <c r="I34" s="50">
        <v>36947.67638888889</v>
      </c>
      <c r="J34" s="51">
        <f t="shared" si="1"/>
        <v>9.149999999965075</v>
      </c>
      <c r="K34" s="43">
        <f t="shared" si="2"/>
        <v>549</v>
      </c>
      <c r="L34" s="44" t="s">
        <v>125</v>
      </c>
      <c r="M34" s="44" t="str">
        <f t="shared" si="3"/>
        <v>--</v>
      </c>
      <c r="N34" s="364">
        <f t="shared" si="4"/>
        <v>25</v>
      </c>
      <c r="O34" s="368">
        <f t="shared" si="5"/>
        <v>40.99200000000001</v>
      </c>
      <c r="P34" s="376" t="str">
        <f t="shared" si="6"/>
        <v>--</v>
      </c>
      <c r="Q34" s="379" t="str">
        <f t="shared" si="7"/>
        <v>--</v>
      </c>
      <c r="R34" s="382" t="str">
        <f t="shared" si="8"/>
        <v>--</v>
      </c>
      <c r="S34" s="39" t="str">
        <f t="shared" si="9"/>
        <v>SI</v>
      </c>
      <c r="T34" s="53">
        <f t="shared" si="10"/>
        <v>40.99200000000001</v>
      </c>
      <c r="U34" s="63"/>
    </row>
    <row r="35" spans="2:21" s="9" customFormat="1" ht="16.5" customHeight="1">
      <c r="B35" s="105"/>
      <c r="C35" s="32"/>
      <c r="D35" s="48"/>
      <c r="E35" s="48"/>
      <c r="F35" s="12"/>
      <c r="G35" s="253">
        <f t="shared" si="0"/>
        <v>1.792</v>
      </c>
      <c r="H35" s="49"/>
      <c r="I35" s="50"/>
      <c r="J35" s="51">
        <f t="shared" si="1"/>
      </c>
      <c r="K35" s="43">
        <f t="shared" si="2"/>
      </c>
      <c r="L35" s="44"/>
      <c r="M35" s="44">
        <f t="shared" si="3"/>
      </c>
      <c r="N35" s="364">
        <f t="shared" si="4"/>
        <v>20</v>
      </c>
      <c r="O35" s="368" t="str">
        <f t="shared" si="5"/>
        <v>--</v>
      </c>
      <c r="P35" s="376" t="str">
        <f t="shared" si="6"/>
        <v>--</v>
      </c>
      <c r="Q35" s="379" t="str">
        <f t="shared" si="7"/>
        <v>--</v>
      </c>
      <c r="R35" s="382" t="str">
        <f t="shared" si="8"/>
        <v>--</v>
      </c>
      <c r="S35" s="39">
        <f t="shared" si="9"/>
      </c>
      <c r="T35" s="53">
        <f t="shared" si="10"/>
      </c>
      <c r="U35" s="63"/>
    </row>
    <row r="36" spans="2:21" s="9" customFormat="1" ht="16.5" customHeight="1">
      <c r="B36" s="105"/>
      <c r="C36" s="32"/>
      <c r="D36" s="48"/>
      <c r="E36" s="48"/>
      <c r="F36" s="12"/>
      <c r="G36" s="253">
        <f t="shared" si="0"/>
        <v>1.792</v>
      </c>
      <c r="H36" s="49"/>
      <c r="I36" s="50"/>
      <c r="J36" s="51">
        <f t="shared" si="1"/>
      </c>
      <c r="K36" s="43">
        <f t="shared" si="2"/>
      </c>
      <c r="L36" s="44"/>
      <c r="M36" s="44">
        <f t="shared" si="3"/>
      </c>
      <c r="N36" s="364">
        <f t="shared" si="4"/>
        <v>20</v>
      </c>
      <c r="O36" s="368" t="str">
        <f t="shared" si="5"/>
        <v>--</v>
      </c>
      <c r="P36" s="376" t="str">
        <f t="shared" si="6"/>
        <v>--</v>
      </c>
      <c r="Q36" s="379" t="str">
        <f t="shared" si="7"/>
        <v>--</v>
      </c>
      <c r="R36" s="382" t="str">
        <f t="shared" si="8"/>
        <v>--</v>
      </c>
      <c r="S36" s="39">
        <f t="shared" si="9"/>
      </c>
      <c r="T36" s="53">
        <f t="shared" si="10"/>
      </c>
      <c r="U36" s="63"/>
    </row>
    <row r="37" spans="2:21" s="9" customFormat="1" ht="16.5" customHeight="1">
      <c r="B37" s="105"/>
      <c r="C37" s="32"/>
      <c r="D37" s="48"/>
      <c r="E37" s="48"/>
      <c r="F37" s="12"/>
      <c r="G37" s="253">
        <f t="shared" si="0"/>
        <v>1.792</v>
      </c>
      <c r="H37" s="49"/>
      <c r="I37" s="50"/>
      <c r="J37" s="51">
        <f t="shared" si="1"/>
      </c>
      <c r="K37" s="43">
        <f t="shared" si="2"/>
      </c>
      <c r="L37" s="44"/>
      <c r="M37" s="44">
        <f t="shared" si="3"/>
      </c>
      <c r="N37" s="364">
        <f t="shared" si="4"/>
        <v>20</v>
      </c>
      <c r="O37" s="368" t="str">
        <f t="shared" si="5"/>
        <v>--</v>
      </c>
      <c r="P37" s="376" t="str">
        <f t="shared" si="6"/>
        <v>--</v>
      </c>
      <c r="Q37" s="379" t="str">
        <f t="shared" si="7"/>
        <v>--</v>
      </c>
      <c r="R37" s="382" t="str">
        <f t="shared" si="8"/>
        <v>--</v>
      </c>
      <c r="S37" s="39">
        <f t="shared" si="9"/>
      </c>
      <c r="T37" s="53">
        <f t="shared" si="10"/>
      </c>
      <c r="U37" s="63"/>
    </row>
    <row r="38" spans="2:21" s="9" customFormat="1" ht="16.5" customHeight="1">
      <c r="B38" s="105"/>
      <c r="C38" s="32"/>
      <c r="D38" s="48"/>
      <c r="E38" s="48"/>
      <c r="F38" s="12"/>
      <c r="G38" s="253">
        <f t="shared" si="0"/>
        <v>1.792</v>
      </c>
      <c r="H38" s="49"/>
      <c r="I38" s="50"/>
      <c r="J38" s="51">
        <f t="shared" si="1"/>
      </c>
      <c r="K38" s="43">
        <f t="shared" si="2"/>
      </c>
      <c r="L38" s="44"/>
      <c r="M38" s="44">
        <f t="shared" si="3"/>
      </c>
      <c r="N38" s="364">
        <f t="shared" si="4"/>
        <v>20</v>
      </c>
      <c r="O38" s="368" t="str">
        <f t="shared" si="5"/>
        <v>--</v>
      </c>
      <c r="P38" s="376" t="str">
        <f t="shared" si="6"/>
        <v>--</v>
      </c>
      <c r="Q38" s="379" t="str">
        <f t="shared" si="7"/>
        <v>--</v>
      </c>
      <c r="R38" s="382" t="str">
        <f t="shared" si="8"/>
        <v>--</v>
      </c>
      <c r="S38" s="39">
        <f t="shared" si="9"/>
      </c>
      <c r="T38" s="53">
        <f t="shared" si="10"/>
      </c>
      <c r="U38" s="63"/>
    </row>
    <row r="39" spans="2:21" s="9" customFormat="1" ht="16.5" customHeight="1">
      <c r="B39" s="105"/>
      <c r="C39" s="32"/>
      <c r="D39" s="48"/>
      <c r="E39" s="48"/>
      <c r="F39" s="12"/>
      <c r="G39" s="253">
        <f t="shared" si="0"/>
        <v>1.792</v>
      </c>
      <c r="H39" s="49"/>
      <c r="I39" s="50"/>
      <c r="J39" s="51">
        <f t="shared" si="1"/>
      </c>
      <c r="K39" s="43">
        <f t="shared" si="2"/>
      </c>
      <c r="L39" s="44"/>
      <c r="M39" s="44">
        <f t="shared" si="3"/>
      </c>
      <c r="N39" s="364">
        <f t="shared" si="4"/>
        <v>20</v>
      </c>
      <c r="O39" s="368" t="str">
        <f t="shared" si="5"/>
        <v>--</v>
      </c>
      <c r="P39" s="376" t="str">
        <f t="shared" si="6"/>
        <v>--</v>
      </c>
      <c r="Q39" s="379" t="str">
        <f t="shared" si="7"/>
        <v>--</v>
      </c>
      <c r="R39" s="382" t="str">
        <f t="shared" si="8"/>
        <v>--</v>
      </c>
      <c r="S39" s="39">
        <f t="shared" si="9"/>
      </c>
      <c r="T39" s="53">
        <f t="shared" si="10"/>
      </c>
      <c r="U39" s="63"/>
    </row>
    <row r="40" spans="2:21" s="9" customFormat="1" ht="16.5" customHeight="1">
      <c r="B40" s="105"/>
      <c r="C40" s="32"/>
      <c r="D40" s="48"/>
      <c r="E40" s="48"/>
      <c r="F40" s="12"/>
      <c r="G40" s="253">
        <f t="shared" si="0"/>
        <v>1.792</v>
      </c>
      <c r="H40" s="49"/>
      <c r="I40" s="50"/>
      <c r="J40" s="51">
        <f t="shared" si="1"/>
      </c>
      <c r="K40" s="43">
        <f t="shared" si="2"/>
      </c>
      <c r="L40" s="44"/>
      <c r="M40" s="44">
        <f t="shared" si="3"/>
      </c>
      <c r="N40" s="364">
        <f t="shared" si="4"/>
        <v>20</v>
      </c>
      <c r="O40" s="368" t="str">
        <f t="shared" si="5"/>
        <v>--</v>
      </c>
      <c r="P40" s="376" t="str">
        <f t="shared" si="6"/>
        <v>--</v>
      </c>
      <c r="Q40" s="379" t="str">
        <f t="shared" si="7"/>
        <v>--</v>
      </c>
      <c r="R40" s="382" t="str">
        <f t="shared" si="8"/>
        <v>--</v>
      </c>
      <c r="S40" s="39">
        <f t="shared" si="9"/>
      </c>
      <c r="T40" s="53">
        <f t="shared" si="10"/>
      </c>
      <c r="U40" s="63"/>
    </row>
    <row r="41" spans="2:21" s="9" customFormat="1" ht="16.5" customHeight="1">
      <c r="B41" s="105"/>
      <c r="C41" s="32"/>
      <c r="D41" s="48"/>
      <c r="E41" s="48"/>
      <c r="F41" s="12"/>
      <c r="G41" s="253">
        <f t="shared" si="0"/>
        <v>1.792</v>
      </c>
      <c r="H41" s="49"/>
      <c r="I41" s="50"/>
      <c r="J41" s="51">
        <f t="shared" si="1"/>
      </c>
      <c r="K41" s="43">
        <f t="shared" si="2"/>
      </c>
      <c r="L41" s="44"/>
      <c r="M41" s="44">
        <f t="shared" si="3"/>
      </c>
      <c r="N41" s="364">
        <f t="shared" si="4"/>
        <v>20</v>
      </c>
      <c r="O41" s="368" t="str">
        <f t="shared" si="5"/>
        <v>--</v>
      </c>
      <c r="P41" s="376" t="str">
        <f t="shared" si="6"/>
        <v>--</v>
      </c>
      <c r="Q41" s="379" t="str">
        <f t="shared" si="7"/>
        <v>--</v>
      </c>
      <c r="R41" s="382" t="str">
        <f t="shared" si="8"/>
        <v>--</v>
      </c>
      <c r="S41" s="39">
        <f t="shared" si="9"/>
      </c>
      <c r="T41" s="53">
        <f t="shared" si="10"/>
      </c>
      <c r="U41" s="63"/>
    </row>
    <row r="42" spans="2:21" s="9" customFormat="1" ht="16.5" customHeight="1">
      <c r="B42" s="105"/>
      <c r="C42" s="32"/>
      <c r="D42" s="48"/>
      <c r="E42" s="48"/>
      <c r="F42" s="12"/>
      <c r="G42" s="253">
        <f t="shared" si="0"/>
        <v>1.792</v>
      </c>
      <c r="H42" s="49"/>
      <c r="I42" s="50"/>
      <c r="J42" s="51">
        <f t="shared" si="1"/>
      </c>
      <c r="K42" s="43">
        <f t="shared" si="2"/>
      </c>
      <c r="L42" s="44"/>
      <c r="M42" s="44">
        <f t="shared" si="3"/>
      </c>
      <c r="N42" s="364">
        <f t="shared" si="4"/>
        <v>20</v>
      </c>
      <c r="O42" s="368" t="str">
        <f t="shared" si="5"/>
        <v>--</v>
      </c>
      <c r="P42" s="376" t="str">
        <f t="shared" si="6"/>
        <v>--</v>
      </c>
      <c r="Q42" s="379" t="str">
        <f t="shared" si="7"/>
        <v>--</v>
      </c>
      <c r="R42" s="382" t="str">
        <f t="shared" si="8"/>
        <v>--</v>
      </c>
      <c r="S42" s="39">
        <f t="shared" si="9"/>
      </c>
      <c r="T42" s="53">
        <f t="shared" si="10"/>
      </c>
      <c r="U42" s="63"/>
    </row>
    <row r="43" spans="2:21" s="9" customFormat="1" ht="16.5" customHeight="1" thickBot="1">
      <c r="B43" s="105"/>
      <c r="C43" s="65"/>
      <c r="D43" s="66"/>
      <c r="E43" s="66"/>
      <c r="F43" s="67"/>
      <c r="G43" s="254"/>
      <c r="H43" s="68"/>
      <c r="I43" s="68"/>
      <c r="J43" s="68"/>
      <c r="K43" s="68"/>
      <c r="L43" s="69"/>
      <c r="M43" s="69"/>
      <c r="N43" s="365"/>
      <c r="O43" s="369"/>
      <c r="P43" s="377"/>
      <c r="Q43" s="380"/>
      <c r="R43" s="383"/>
      <c r="S43" s="366"/>
      <c r="T43" s="218"/>
      <c r="U43" s="63"/>
    </row>
    <row r="44" spans="2:21" s="9" customFormat="1" ht="16.5" customHeight="1" thickBot="1" thickTop="1">
      <c r="B44" s="105"/>
      <c r="C44" s="234" t="s">
        <v>74</v>
      </c>
      <c r="D44" s="235" t="s">
        <v>75</v>
      </c>
      <c r="O44" s="384">
        <f>SUM(O21:O43)</f>
        <v>161.69216000000003</v>
      </c>
      <c r="P44" s="385">
        <f>SUM(P21:P43)</f>
        <v>0</v>
      </c>
      <c r="Q44" s="385">
        <f>SUM(Q21:Q43)</f>
        <v>0</v>
      </c>
      <c r="R44" s="312">
        <f>SUM(R21:R43)</f>
        <v>0</v>
      </c>
      <c r="T44" s="400">
        <f>ROUND(SUM(T21:T43),2)</f>
        <v>161.69</v>
      </c>
      <c r="U44" s="63"/>
    </row>
    <row r="45" spans="2:21" s="240" customFormat="1" ht="9.75" thickTop="1">
      <c r="B45" s="239"/>
      <c r="C45" s="236"/>
      <c r="D45" s="237" t="s">
        <v>76</v>
      </c>
      <c r="T45" s="244"/>
      <c r="U45" s="243"/>
    </row>
    <row r="46" spans="2:21" s="9" customFormat="1" ht="16.5" customHeight="1" thickBo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78"/>
    </row>
    <row r="47" spans="1:21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22"/>
  <sheetViews>
    <sheetView zoomScale="75" zoomScaleNormal="75" workbookViewId="0" topLeftCell="F79">
      <selection activeCell="N98" sqref="N98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7.140625" style="0" customWidth="1"/>
    <col min="7" max="18" width="7.7109375" style="0" customWidth="1"/>
    <col min="19" max="19" width="11.57421875" style="0" customWidth="1"/>
    <col min="20" max="20" width="8.7109375" style="0" customWidth="1"/>
  </cols>
  <sheetData>
    <row r="1" ht="40.5" customHeight="1">
      <c r="T1" s="402"/>
    </row>
    <row r="2" spans="2:20" s="403" customFormat="1" ht="27.75">
      <c r="B2" s="404" t="str">
        <f>'tot-0102'!B2</f>
        <v>ANEXO I a la Resolución ENRE N° 155 /2002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3" ht="12.75" customHeight="1">
      <c r="A3" s="770" t="s">
        <v>36</v>
      </c>
      <c r="B3" s="770"/>
      <c r="C3" s="770"/>
    </row>
    <row r="4" spans="1:4" ht="12.75" customHeight="1">
      <c r="A4" s="770" t="s">
        <v>37</v>
      </c>
      <c r="B4" s="770"/>
      <c r="C4" s="770"/>
      <c r="D4" s="406"/>
    </row>
    <row r="5" spans="1:4" ht="12" customHeight="1">
      <c r="A5" s="407"/>
      <c r="D5" s="406"/>
    </row>
    <row r="6" spans="1:20" ht="26.25">
      <c r="A6" s="407"/>
      <c r="B6" s="408" t="s">
        <v>133</v>
      </c>
      <c r="C6" s="409"/>
      <c r="D6" s="406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</row>
    <row r="7" spans="1:4" ht="18.75" customHeight="1">
      <c r="A7" s="407"/>
      <c r="D7" s="406"/>
    </row>
    <row r="8" spans="1:20" ht="26.25">
      <c r="A8" s="407"/>
      <c r="B8" s="410" t="s">
        <v>1</v>
      </c>
      <c r="C8" s="409"/>
      <c r="D8" s="406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</row>
    <row r="9" spans="1:4" ht="18.75" customHeight="1">
      <c r="A9" s="407"/>
      <c r="D9" s="406"/>
    </row>
    <row r="10" spans="1:20" ht="26.25">
      <c r="A10" s="407"/>
      <c r="B10" s="410" t="s">
        <v>134</v>
      </c>
      <c r="C10" s="409"/>
      <c r="D10" s="406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ht="18.75" customHeight="1" thickBot="1"/>
    <row r="12" spans="2:20" ht="18.75" customHeight="1" thickTop="1">
      <c r="B12" s="411"/>
      <c r="C12" s="412"/>
      <c r="D12" s="413"/>
      <c r="E12" s="413"/>
      <c r="F12" s="413"/>
      <c r="G12" s="413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4"/>
    </row>
    <row r="13" spans="2:20" ht="19.5">
      <c r="B13" s="91" t="s">
        <v>144</v>
      </c>
      <c r="C13" s="409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7"/>
    </row>
    <row r="14" spans="2:20" ht="18.75" customHeight="1" thickBot="1">
      <c r="B14" s="418"/>
      <c r="C14" s="419"/>
      <c r="D14" s="420"/>
      <c r="E14" s="420"/>
      <c r="F14" s="421"/>
      <c r="G14" s="4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2"/>
    </row>
    <row r="15" spans="1:20" s="431" customFormat="1" ht="34.5" customHeight="1" thickBot="1" thickTop="1">
      <c r="A15" s="423"/>
      <c r="B15" s="424"/>
      <c r="C15" s="425"/>
      <c r="D15" s="426" t="s">
        <v>2</v>
      </c>
      <c r="E15" s="427" t="s">
        <v>57</v>
      </c>
      <c r="F15" s="428" t="s">
        <v>58</v>
      </c>
      <c r="G15" s="429">
        <f>IF('[1]Tasa de Falla'!BW15=0,"",'[1]Tasa de Falla'!BW15)</f>
        <v>36557</v>
      </c>
      <c r="H15" s="429">
        <f>IF('[1]Tasa de Falla'!BX15=0,"",'[1]Tasa de Falla'!BX15)</f>
        <v>36586</v>
      </c>
      <c r="I15" s="429">
        <f>IF('[1]Tasa de Falla'!BY15=0,"",'[1]Tasa de Falla'!BY15)</f>
        <v>36617</v>
      </c>
      <c r="J15" s="429">
        <f>IF('[1]Tasa de Falla'!BZ15=0,"",'[1]Tasa de Falla'!BZ15)</f>
        <v>36647</v>
      </c>
      <c r="K15" s="429">
        <f>IF('[1]Tasa de Falla'!CA15=0,"",'[1]Tasa de Falla'!CA15)</f>
        <v>36678</v>
      </c>
      <c r="L15" s="429">
        <f>IF('[1]Tasa de Falla'!CB15=0,"",'[1]Tasa de Falla'!CB15)</f>
        <v>36708</v>
      </c>
      <c r="M15" s="429">
        <f>IF('[1]Tasa de Falla'!CC15=0,"",'[1]Tasa de Falla'!CC15)</f>
        <v>36739</v>
      </c>
      <c r="N15" s="429">
        <f>IF('[1]Tasa de Falla'!CD15=0,"",'[1]Tasa de Falla'!CD15)</f>
        <v>36770</v>
      </c>
      <c r="O15" s="429">
        <f>IF('[1]Tasa de Falla'!CE15=0,"",'[1]Tasa de Falla'!CE15)</f>
        <v>36800</v>
      </c>
      <c r="P15" s="429">
        <f>IF('[1]Tasa de Falla'!CF15=0,"",'[1]Tasa de Falla'!CF15)</f>
        <v>36831</v>
      </c>
      <c r="Q15" s="429">
        <f>IF('[1]Tasa de Falla'!CG15=0,"",'[1]Tasa de Falla'!CG15)</f>
        <v>36861</v>
      </c>
      <c r="R15" s="429">
        <f>IF('[1]Tasa de Falla'!CH15=0,"",'[1]Tasa de Falla'!CH15)</f>
        <v>36892</v>
      </c>
      <c r="S15" s="429">
        <f>IF('[1]Tasa de Falla'!CI15=0,"",'[1]Tasa de Falla'!CI15)</f>
        <v>36923</v>
      </c>
      <c r="T15" s="430"/>
    </row>
    <row r="16" spans="2:20" s="432" customFormat="1" ht="19.5" customHeight="1" thickTop="1">
      <c r="B16" s="433"/>
      <c r="C16" s="434"/>
      <c r="D16" s="435"/>
      <c r="E16" s="435"/>
      <c r="F16" s="436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8"/>
      <c r="T16" s="439"/>
    </row>
    <row r="17" spans="2:20" s="432" customFormat="1" ht="19.5" customHeight="1">
      <c r="B17" s="433"/>
      <c r="C17" s="440">
        <f>'[1]Tasa de Falla'!C17</f>
        <v>1</v>
      </c>
      <c r="D17" s="441" t="str">
        <f>'[1]Tasa de Falla'!D17</f>
        <v>AGUA BLANCA - VILLA QUINTEROS</v>
      </c>
      <c r="E17" s="441">
        <f>'[1]Tasa de Falla'!E17</f>
        <v>132</v>
      </c>
      <c r="F17" s="442">
        <f>'[1]Tasa de Falla'!F17</f>
        <v>23.8</v>
      </c>
      <c r="G17" s="443">
        <f>IF('[1]Tasa de Falla'!BW17=0,"",'[1]Tasa de Falla'!BW17)</f>
      </c>
      <c r="H17" s="443">
        <f>IF('[1]Tasa de Falla'!BX17=0,"",'[1]Tasa de Falla'!BX17)</f>
      </c>
      <c r="I17" s="443">
        <f>IF('[1]Tasa de Falla'!BY17=0,"",'[1]Tasa de Falla'!BY17)</f>
      </c>
      <c r="J17" s="443">
        <f>IF('[1]Tasa de Falla'!BZ17=0,"",'[1]Tasa de Falla'!BZ17)</f>
      </c>
      <c r="K17" s="443">
        <f>IF('[1]Tasa de Falla'!CA17=0,"",'[1]Tasa de Falla'!CA17)</f>
        <v>1</v>
      </c>
      <c r="L17" s="443">
        <f>IF('[1]Tasa de Falla'!CB17=0,"",'[1]Tasa de Falla'!CB17)</f>
      </c>
      <c r="M17" s="443">
        <f>IF('[1]Tasa de Falla'!CC17=0,"",'[1]Tasa de Falla'!CC17)</f>
      </c>
      <c r="N17" s="443">
        <f>IF('[1]Tasa de Falla'!CD17=0,"",'[1]Tasa de Falla'!CD17)</f>
      </c>
      <c r="O17" s="443">
        <f>IF('[1]Tasa de Falla'!CE17=0,"",'[1]Tasa de Falla'!CE17)</f>
      </c>
      <c r="P17" s="443">
        <f>IF('[1]Tasa de Falla'!CF17=0,"",'[1]Tasa de Falla'!CF17)</f>
        <v>1</v>
      </c>
      <c r="Q17" s="443">
        <f>IF('[1]Tasa de Falla'!CG17=0,"",'[1]Tasa de Falla'!CG17)</f>
      </c>
      <c r="R17" s="443">
        <f>IF('[1]Tasa de Falla'!CH17=0,"",'[1]Tasa de Falla'!CH17)</f>
      </c>
      <c r="S17" s="444"/>
      <c r="T17" s="445"/>
    </row>
    <row r="18" spans="2:20" s="432" customFormat="1" ht="19.5" customHeight="1">
      <c r="B18" s="433"/>
      <c r="C18" s="446">
        <f>'[1]Tasa de Falla'!C18</f>
        <v>2</v>
      </c>
      <c r="D18" s="447" t="str">
        <f>'[1]Tasa de Falla'!D18</f>
        <v>AGUILARES - ESCABA</v>
      </c>
      <c r="E18" s="447">
        <f>'[1]Tasa de Falla'!E18</f>
        <v>132</v>
      </c>
      <c r="F18" s="448">
        <f>'[1]Tasa de Falla'!F18</f>
        <v>27.6</v>
      </c>
      <c r="G18" s="449">
        <f>IF('[1]Tasa de Falla'!BW18=0,"",'[1]Tasa de Falla'!BW18)</f>
      </c>
      <c r="H18" s="449">
        <f>IF('[1]Tasa de Falla'!BX18=0,"",'[1]Tasa de Falla'!BX18)</f>
      </c>
      <c r="I18" s="449">
        <f>IF('[1]Tasa de Falla'!BY18=0,"",'[1]Tasa de Falla'!BY18)</f>
      </c>
      <c r="J18" s="449">
        <f>IF('[1]Tasa de Falla'!BZ18=0,"",'[1]Tasa de Falla'!BZ18)</f>
      </c>
      <c r="K18" s="449">
        <f>IF('[1]Tasa de Falla'!CA18=0,"",'[1]Tasa de Falla'!CA18)</f>
      </c>
      <c r="L18" s="449">
        <f>IF('[1]Tasa de Falla'!CB18=0,"",'[1]Tasa de Falla'!CB18)</f>
      </c>
      <c r="M18" s="449">
        <f>IF('[1]Tasa de Falla'!CC18=0,"",'[1]Tasa de Falla'!CC18)</f>
      </c>
      <c r="N18" s="449">
        <f>IF('[1]Tasa de Falla'!CD18=0,"",'[1]Tasa de Falla'!CD18)</f>
      </c>
      <c r="O18" s="449">
        <f>IF('[1]Tasa de Falla'!CE18=0,"",'[1]Tasa de Falla'!CE18)</f>
      </c>
      <c r="P18" s="449">
        <f>IF('[1]Tasa de Falla'!CF18=0,"",'[1]Tasa de Falla'!CF18)</f>
      </c>
      <c r="Q18" s="449">
        <f>IF('[1]Tasa de Falla'!CG18=0,"",'[1]Tasa de Falla'!CG18)</f>
      </c>
      <c r="R18" s="449">
        <f>IF('[1]Tasa de Falla'!CH18=0,"",'[1]Tasa de Falla'!CH18)</f>
      </c>
      <c r="S18" s="444"/>
      <c r="T18" s="445"/>
    </row>
    <row r="19" spans="2:20" s="432" customFormat="1" ht="19.5" customHeight="1">
      <c r="B19" s="433"/>
      <c r="C19" s="440">
        <f>'[1]Tasa de Falla'!C19</f>
        <v>3</v>
      </c>
      <c r="D19" s="441" t="str">
        <f>'[1]Tasa de Falla'!D19</f>
        <v>CABRA CORRAL - SALTA SUR</v>
      </c>
      <c r="E19" s="441">
        <f>'[1]Tasa de Falla'!E19</f>
        <v>132</v>
      </c>
      <c r="F19" s="442">
        <f>'[1]Tasa de Falla'!F19</f>
        <v>62</v>
      </c>
      <c r="G19" s="450" t="str">
        <f>IF('[1]Tasa de Falla'!BW19=0,"",'[1]Tasa de Falla'!BW19)</f>
        <v>XXXX</v>
      </c>
      <c r="H19" s="450" t="str">
        <f>IF('[1]Tasa de Falla'!BX19=0,"",'[1]Tasa de Falla'!BX19)</f>
        <v>XXXX</v>
      </c>
      <c r="I19" s="450" t="str">
        <f>IF('[1]Tasa de Falla'!BY19=0,"",'[1]Tasa de Falla'!BY19)</f>
        <v>XXXX</v>
      </c>
      <c r="J19" s="450" t="str">
        <f>IF('[1]Tasa de Falla'!BZ19=0,"",'[1]Tasa de Falla'!BZ19)</f>
        <v>XXXX</v>
      </c>
      <c r="K19" s="450" t="str">
        <f>IF('[1]Tasa de Falla'!CA19=0,"",'[1]Tasa de Falla'!CA19)</f>
        <v>XXXX</v>
      </c>
      <c r="L19" s="450" t="str">
        <f>IF('[1]Tasa de Falla'!CB19=0,"",'[1]Tasa de Falla'!CB19)</f>
        <v>XXXX</v>
      </c>
      <c r="M19" s="450" t="str">
        <f>IF('[1]Tasa de Falla'!CC19=0,"",'[1]Tasa de Falla'!CC19)</f>
        <v>XXXX</v>
      </c>
      <c r="N19" s="450" t="str">
        <f>IF('[1]Tasa de Falla'!CD19=0,"",'[1]Tasa de Falla'!CD19)</f>
        <v>XXXX</v>
      </c>
      <c r="O19" s="450" t="str">
        <f>IF('[1]Tasa de Falla'!CE19=0,"",'[1]Tasa de Falla'!CE19)</f>
        <v>XXXX</v>
      </c>
      <c r="P19" s="450" t="str">
        <f>IF('[1]Tasa de Falla'!CF19=0,"",'[1]Tasa de Falla'!CF19)</f>
        <v>XXXX</v>
      </c>
      <c r="Q19" s="450" t="str">
        <f>IF('[1]Tasa de Falla'!CG19=0,"",'[1]Tasa de Falla'!CG19)</f>
        <v>XXXX</v>
      </c>
      <c r="R19" s="450" t="str">
        <f>IF('[1]Tasa de Falla'!CH19=0,"",'[1]Tasa de Falla'!CH19)</f>
        <v>XXXX</v>
      </c>
      <c r="S19" s="444"/>
      <c r="T19" s="445"/>
    </row>
    <row r="20" spans="2:20" s="432" customFormat="1" ht="19.5" customHeight="1">
      <c r="B20" s="433"/>
      <c r="C20" s="446">
        <f>'[1]Tasa de Falla'!C20</f>
        <v>4</v>
      </c>
      <c r="D20" s="447" t="str">
        <f>'[1]Tasa de Falla'!D20</f>
        <v>CEVIL POZO - TUCUMAN NORTE</v>
      </c>
      <c r="E20" s="447">
        <f>'[1]Tasa de Falla'!E20</f>
        <v>132</v>
      </c>
      <c r="F20" s="448">
        <f>'[1]Tasa de Falla'!F20</f>
        <v>14.5</v>
      </c>
      <c r="G20" s="449">
        <f>IF('[1]Tasa de Falla'!BW20=0,"",'[1]Tasa de Falla'!BW20)</f>
      </c>
      <c r="H20" s="449">
        <f>IF('[1]Tasa de Falla'!BX20=0,"",'[1]Tasa de Falla'!BX20)</f>
      </c>
      <c r="I20" s="449">
        <f>IF('[1]Tasa de Falla'!BY20=0,"",'[1]Tasa de Falla'!BY20)</f>
      </c>
      <c r="J20" s="449">
        <f>IF('[1]Tasa de Falla'!BZ20=0,"",'[1]Tasa de Falla'!BZ20)</f>
      </c>
      <c r="K20" s="449">
        <f>IF('[1]Tasa de Falla'!CA20=0,"",'[1]Tasa de Falla'!CA20)</f>
      </c>
      <c r="L20" s="449">
        <f>IF('[1]Tasa de Falla'!CB20=0,"",'[1]Tasa de Falla'!CB20)</f>
      </c>
      <c r="M20" s="449">
        <f>IF('[1]Tasa de Falla'!CC20=0,"",'[1]Tasa de Falla'!CC20)</f>
      </c>
      <c r="N20" s="449">
        <f>IF('[1]Tasa de Falla'!CD20=0,"",'[1]Tasa de Falla'!CD20)</f>
      </c>
      <c r="O20" s="449">
        <f>IF('[1]Tasa de Falla'!CE20=0,"",'[1]Tasa de Falla'!CE20)</f>
      </c>
      <c r="P20" s="449">
        <f>IF('[1]Tasa de Falla'!CF20=0,"",'[1]Tasa de Falla'!CF20)</f>
      </c>
      <c r="Q20" s="449">
        <f>IF('[1]Tasa de Falla'!CG20=0,"",'[1]Tasa de Falla'!CG20)</f>
      </c>
      <c r="R20" s="449">
        <f>IF('[1]Tasa de Falla'!CH20=0,"",'[1]Tasa de Falla'!CH20)</f>
      </c>
      <c r="S20" s="444"/>
      <c r="T20" s="445"/>
    </row>
    <row r="21" spans="2:20" s="432" customFormat="1" ht="19.5" customHeight="1">
      <c r="B21" s="433"/>
      <c r="C21" s="440">
        <f>'[1]Tasa de Falla'!C21</f>
        <v>5</v>
      </c>
      <c r="D21" s="441" t="str">
        <f>'[1]Tasa de Falla'!D21</f>
        <v>CAMPO SANTO - MINETTI</v>
      </c>
      <c r="E21" s="441">
        <f>'[1]Tasa de Falla'!E21</f>
        <v>132</v>
      </c>
      <c r="F21" s="442">
        <f>'[1]Tasa de Falla'!F21</f>
        <v>29.9</v>
      </c>
      <c r="G21" s="450">
        <f>IF('[1]Tasa de Falla'!BW21=0,"",'[1]Tasa de Falla'!BW21)</f>
      </c>
      <c r="H21" s="450">
        <f>IF('[1]Tasa de Falla'!BX21=0,"",'[1]Tasa de Falla'!BX21)</f>
      </c>
      <c r="I21" s="450">
        <f>IF('[1]Tasa de Falla'!BY21=0,"",'[1]Tasa de Falla'!BY21)</f>
      </c>
      <c r="J21" s="450">
        <f>IF('[1]Tasa de Falla'!BZ21=0,"",'[1]Tasa de Falla'!BZ21)</f>
      </c>
      <c r="K21" s="450">
        <f>IF('[1]Tasa de Falla'!CA21=0,"",'[1]Tasa de Falla'!CA21)</f>
      </c>
      <c r="L21" s="450">
        <f>IF('[1]Tasa de Falla'!CB21=0,"",'[1]Tasa de Falla'!CB21)</f>
      </c>
      <c r="M21" s="450">
        <f>IF('[1]Tasa de Falla'!CC21=0,"",'[1]Tasa de Falla'!CC21)</f>
      </c>
      <c r="N21" s="450">
        <f>IF('[1]Tasa de Falla'!CD21=0,"",'[1]Tasa de Falla'!CD21)</f>
      </c>
      <c r="O21" s="450">
        <f>IF('[1]Tasa de Falla'!CE21=0,"",'[1]Tasa de Falla'!CE21)</f>
      </c>
      <c r="P21" s="450">
        <f>IF('[1]Tasa de Falla'!CF21=0,"",'[1]Tasa de Falla'!CF21)</f>
      </c>
      <c r="Q21" s="450">
        <f>IF('[1]Tasa de Falla'!CG21=0,"",'[1]Tasa de Falla'!CG21)</f>
      </c>
      <c r="R21" s="450">
        <f>IF('[1]Tasa de Falla'!CH21=0,"",'[1]Tasa de Falla'!CH21)</f>
      </c>
      <c r="S21" s="444"/>
      <c r="T21" s="445"/>
    </row>
    <row r="22" spans="2:20" s="432" customFormat="1" ht="19.5" customHeight="1">
      <c r="B22" s="433"/>
      <c r="C22" s="446">
        <f>'[1]Tasa de Falla'!C22</f>
        <v>6</v>
      </c>
      <c r="D22" s="447" t="str">
        <f>'[1]Tasa de Falla'!D22</f>
        <v>ESCABA - HUACRA</v>
      </c>
      <c r="E22" s="447">
        <f>'[1]Tasa de Falla'!E22</f>
        <v>132</v>
      </c>
      <c r="F22" s="448">
        <f>'[1]Tasa de Falla'!F22</f>
        <v>49.9</v>
      </c>
      <c r="G22" s="449" t="str">
        <f>IF('[1]Tasa de Falla'!BW22=0,"",'[1]Tasa de Falla'!BW22)</f>
        <v>XXXX</v>
      </c>
      <c r="H22" s="449" t="str">
        <f>IF('[1]Tasa de Falla'!BX22=0,"",'[1]Tasa de Falla'!BX22)</f>
        <v>XXXX</v>
      </c>
      <c r="I22" s="449" t="str">
        <f>IF('[1]Tasa de Falla'!BY22=0,"",'[1]Tasa de Falla'!BY22)</f>
        <v>XXXX</v>
      </c>
      <c r="J22" s="449" t="str">
        <f>IF('[1]Tasa de Falla'!BZ22=0,"",'[1]Tasa de Falla'!BZ22)</f>
        <v>XXXX</v>
      </c>
      <c r="K22" s="449" t="str">
        <f>IF('[1]Tasa de Falla'!CA22=0,"",'[1]Tasa de Falla'!CA22)</f>
        <v>XXXX</v>
      </c>
      <c r="L22" s="449" t="str">
        <f>IF('[1]Tasa de Falla'!CB22=0,"",'[1]Tasa de Falla'!CB22)</f>
        <v>XXXX</v>
      </c>
      <c r="M22" s="449" t="str">
        <f>IF('[1]Tasa de Falla'!CC22=0,"",'[1]Tasa de Falla'!CC22)</f>
        <v>XXXX</v>
      </c>
      <c r="N22" s="449" t="str">
        <f>IF('[1]Tasa de Falla'!CD22=0,"",'[1]Tasa de Falla'!CD22)</f>
        <v>XXXX</v>
      </c>
      <c r="O22" s="449" t="str">
        <f>IF('[1]Tasa de Falla'!CE22=0,"",'[1]Tasa de Falla'!CE22)</f>
        <v>XXXX</v>
      </c>
      <c r="P22" s="449" t="str">
        <f>IF('[1]Tasa de Falla'!CF22=0,"",'[1]Tasa de Falla'!CF22)</f>
        <v>XXXX</v>
      </c>
      <c r="Q22" s="449" t="str">
        <f>IF('[1]Tasa de Falla'!CG22=0,"",'[1]Tasa de Falla'!CG22)</f>
        <v>XXXX</v>
      </c>
      <c r="R22" s="449" t="str">
        <f>IF('[1]Tasa de Falla'!CH22=0,"",'[1]Tasa de Falla'!CH22)</f>
        <v>XXXX</v>
      </c>
      <c r="S22" s="444"/>
      <c r="T22" s="445"/>
    </row>
    <row r="23" spans="2:20" s="432" customFormat="1" ht="19.5" customHeight="1">
      <c r="B23" s="433"/>
      <c r="C23" s="440">
        <f>'[1]Tasa de Falla'!C23</f>
        <v>7</v>
      </c>
      <c r="D23" s="441" t="str">
        <f>'[1]Tasa de Falla'!D23</f>
        <v>ESTATICA SUR - EL BRACHO</v>
      </c>
      <c r="E23" s="441">
        <f>'[1]Tasa de Falla'!E23</f>
        <v>132</v>
      </c>
      <c r="F23" s="442">
        <f>'[1]Tasa de Falla'!F23</f>
        <v>19.6</v>
      </c>
      <c r="G23" s="450">
        <f>IF('[1]Tasa de Falla'!BW23=0,"",'[1]Tasa de Falla'!BW23)</f>
        <v>1</v>
      </c>
      <c r="H23" s="450">
        <f>IF('[1]Tasa de Falla'!BX23=0,"",'[1]Tasa de Falla'!BX23)</f>
      </c>
      <c r="I23" s="450">
        <f>IF('[1]Tasa de Falla'!BY23=0,"",'[1]Tasa de Falla'!BY23)</f>
      </c>
      <c r="J23" s="450">
        <f>IF('[1]Tasa de Falla'!BZ23=0,"",'[1]Tasa de Falla'!BZ23)</f>
        <v>1</v>
      </c>
      <c r="K23" s="450">
        <f>IF('[1]Tasa de Falla'!CA23=0,"",'[1]Tasa de Falla'!CA23)</f>
      </c>
      <c r="L23" s="450">
        <f>IF('[1]Tasa de Falla'!CB23=0,"",'[1]Tasa de Falla'!CB23)</f>
      </c>
      <c r="M23" s="450">
        <f>IF('[1]Tasa de Falla'!CC23=0,"",'[1]Tasa de Falla'!CC23)</f>
      </c>
      <c r="N23" s="450">
        <f>IF('[1]Tasa de Falla'!CD23=0,"",'[1]Tasa de Falla'!CD23)</f>
      </c>
      <c r="O23" s="450">
        <f>IF('[1]Tasa de Falla'!CE23=0,"",'[1]Tasa de Falla'!CE23)</f>
      </c>
      <c r="P23" s="450">
        <f>IF('[1]Tasa de Falla'!CF23=0,"",'[1]Tasa de Falla'!CF23)</f>
      </c>
      <c r="Q23" s="450">
        <f>IF('[1]Tasa de Falla'!CG23=0,"",'[1]Tasa de Falla'!CG23)</f>
      </c>
      <c r="R23" s="450">
        <f>IF('[1]Tasa de Falla'!CH23=0,"",'[1]Tasa de Falla'!CH23)</f>
      </c>
      <c r="S23" s="444"/>
      <c r="T23" s="445"/>
    </row>
    <row r="24" spans="2:20" s="432" customFormat="1" ht="19.5" customHeight="1">
      <c r="B24" s="433"/>
      <c r="C24" s="446">
        <f>'[1]Tasa de Falla'!C24</f>
        <v>8</v>
      </c>
      <c r="D24" s="447" t="str">
        <f>'[1]Tasa de Falla'!D24</f>
        <v>ESTATICA SUR - INDEPENDENCIA (O.F.)</v>
      </c>
      <c r="E24" s="447">
        <f>'[1]Tasa de Falla'!E24</f>
        <v>132</v>
      </c>
      <c r="F24" s="448">
        <f>'[1]Tasa de Falla'!F24</f>
        <v>2.6</v>
      </c>
      <c r="G24" s="449">
        <f>IF('[1]Tasa de Falla'!BW24=0,"",'[1]Tasa de Falla'!BW24)</f>
      </c>
      <c r="H24" s="449">
        <f>IF('[1]Tasa de Falla'!BX24=0,"",'[1]Tasa de Falla'!BX24)</f>
        <v>1</v>
      </c>
      <c r="I24" s="449">
        <f>IF('[1]Tasa de Falla'!BY24=0,"",'[1]Tasa de Falla'!BY24)</f>
      </c>
      <c r="J24" s="449">
        <f>IF('[1]Tasa de Falla'!BZ24=0,"",'[1]Tasa de Falla'!BZ24)</f>
      </c>
      <c r="K24" s="449">
        <f>IF('[1]Tasa de Falla'!CA24=0,"",'[1]Tasa de Falla'!CA24)</f>
      </c>
      <c r="L24" s="449">
        <f>IF('[1]Tasa de Falla'!CB24=0,"",'[1]Tasa de Falla'!CB24)</f>
      </c>
      <c r="M24" s="449">
        <f>IF('[1]Tasa de Falla'!CC24=0,"",'[1]Tasa de Falla'!CC24)</f>
      </c>
      <c r="N24" s="449">
        <f>IF('[1]Tasa de Falla'!CD24=0,"",'[1]Tasa de Falla'!CD24)</f>
        <v>1</v>
      </c>
      <c r="O24" s="449">
        <f>IF('[1]Tasa de Falla'!CE24=0,"",'[1]Tasa de Falla'!CE24)</f>
      </c>
      <c r="P24" s="449">
        <f>IF('[1]Tasa de Falla'!CF24=0,"",'[1]Tasa de Falla'!CF24)</f>
      </c>
      <c r="Q24" s="449">
        <f>IF('[1]Tasa de Falla'!CG24=0,"",'[1]Tasa de Falla'!CG24)</f>
      </c>
      <c r="R24" s="449">
        <f>IF('[1]Tasa de Falla'!CH24=0,"",'[1]Tasa de Falla'!CH24)</f>
      </c>
      <c r="S24" s="444"/>
      <c r="T24" s="445"/>
    </row>
    <row r="25" spans="2:20" s="432" customFormat="1" ht="19.5" customHeight="1">
      <c r="B25" s="433"/>
      <c r="C25" s="440">
        <f>'[1]Tasa de Falla'!C25</f>
        <v>9</v>
      </c>
      <c r="D25" s="441" t="str">
        <f>'[1]Tasa de Falla'!D25</f>
        <v>ESTATICA SUR - SARMIENTO "TRANSNOA S.A."</v>
      </c>
      <c r="E25" s="441">
        <f>'[1]Tasa de Falla'!E25</f>
        <v>132</v>
      </c>
      <c r="F25" s="442">
        <f>'[1]Tasa de Falla'!F25</f>
        <v>4.4</v>
      </c>
      <c r="G25" s="450">
        <f>IF('[1]Tasa de Falla'!BW25=0,"",'[1]Tasa de Falla'!BW25)</f>
      </c>
      <c r="H25" s="450">
        <f>IF('[1]Tasa de Falla'!BX25=0,"",'[1]Tasa de Falla'!BX25)</f>
      </c>
      <c r="I25" s="450">
        <f>IF('[1]Tasa de Falla'!BY25=0,"",'[1]Tasa de Falla'!BY25)</f>
      </c>
      <c r="J25" s="450">
        <f>IF('[1]Tasa de Falla'!BZ25=0,"",'[1]Tasa de Falla'!BZ25)</f>
      </c>
      <c r="K25" s="450">
        <f>IF('[1]Tasa de Falla'!CA25=0,"",'[1]Tasa de Falla'!CA25)</f>
      </c>
      <c r="L25" s="450">
        <f>IF('[1]Tasa de Falla'!CB25=0,"",'[1]Tasa de Falla'!CB25)</f>
      </c>
      <c r="M25" s="450">
        <f>IF('[1]Tasa de Falla'!CC25=0,"",'[1]Tasa de Falla'!CC25)</f>
      </c>
      <c r="N25" s="450">
        <f>IF('[1]Tasa de Falla'!CD25=0,"",'[1]Tasa de Falla'!CD25)</f>
      </c>
      <c r="O25" s="450">
        <f>IF('[1]Tasa de Falla'!CE25=0,"",'[1]Tasa de Falla'!CE25)</f>
      </c>
      <c r="P25" s="450">
        <f>IF('[1]Tasa de Falla'!CF25=0,"",'[1]Tasa de Falla'!CF25)</f>
      </c>
      <c r="Q25" s="450">
        <f>IF('[1]Tasa de Falla'!CG25=0,"",'[1]Tasa de Falla'!CG25)</f>
      </c>
      <c r="R25" s="450">
        <f>IF('[1]Tasa de Falla'!CH25=0,"",'[1]Tasa de Falla'!CH25)</f>
      </c>
      <c r="S25" s="444"/>
      <c r="T25" s="445"/>
    </row>
    <row r="26" spans="2:20" s="432" customFormat="1" ht="19.5" customHeight="1">
      <c r="B26" s="433"/>
      <c r="C26" s="446">
        <f>'[1]Tasa de Falla'!C26</f>
        <v>10</v>
      </c>
      <c r="D26" s="447" t="str">
        <f>'[1]Tasa de Falla'!D26</f>
        <v>GÜEMES - EL BRACHO</v>
      </c>
      <c r="E26" s="447">
        <f>'[1]Tasa de Falla'!E26</f>
        <v>132</v>
      </c>
      <c r="F26" s="448">
        <f>'[1]Tasa de Falla'!F26</f>
        <v>308</v>
      </c>
      <c r="G26" s="449" t="str">
        <f>IF('[1]Tasa de Falla'!BW26=0,"",'[1]Tasa de Falla'!BW26)</f>
        <v>XXXX</v>
      </c>
      <c r="H26" s="449" t="str">
        <f>IF('[1]Tasa de Falla'!BX26=0,"",'[1]Tasa de Falla'!BX26)</f>
        <v>XXXX</v>
      </c>
      <c r="I26" s="449" t="str">
        <f>IF('[1]Tasa de Falla'!BY26=0,"",'[1]Tasa de Falla'!BY26)</f>
        <v>XXXX</v>
      </c>
      <c r="J26" s="449" t="str">
        <f>IF('[1]Tasa de Falla'!BZ26=0,"",'[1]Tasa de Falla'!BZ26)</f>
        <v>XXXX</v>
      </c>
      <c r="K26" s="449" t="str">
        <f>IF('[1]Tasa de Falla'!CA26=0,"",'[1]Tasa de Falla'!CA26)</f>
        <v>XXXX</v>
      </c>
      <c r="L26" s="449" t="str">
        <f>IF('[1]Tasa de Falla'!CB26=0,"",'[1]Tasa de Falla'!CB26)</f>
        <v>XXXX</v>
      </c>
      <c r="M26" s="449" t="str">
        <f>IF('[1]Tasa de Falla'!CC26=0,"",'[1]Tasa de Falla'!CC26)</f>
        <v>XXXX</v>
      </c>
      <c r="N26" s="449" t="str">
        <f>IF('[1]Tasa de Falla'!CD26=0,"",'[1]Tasa de Falla'!CD26)</f>
        <v>XXXX</v>
      </c>
      <c r="O26" s="449" t="str">
        <f>IF('[1]Tasa de Falla'!CE26=0,"",'[1]Tasa de Falla'!CE26)</f>
        <v>XXXX</v>
      </c>
      <c r="P26" s="449" t="str">
        <f>IF('[1]Tasa de Falla'!CF26=0,"",'[1]Tasa de Falla'!CF26)</f>
        <v>XXXX</v>
      </c>
      <c r="Q26" s="449" t="str">
        <f>IF('[1]Tasa de Falla'!CG26=0,"",'[1]Tasa de Falla'!CG26)</f>
        <v>XXXX</v>
      </c>
      <c r="R26" s="449" t="str">
        <f>IF('[1]Tasa de Falla'!CH26=0,"",'[1]Tasa de Falla'!CH26)</f>
        <v>XXXX</v>
      </c>
      <c r="S26" s="444"/>
      <c r="T26" s="445"/>
    </row>
    <row r="27" spans="2:20" s="432" customFormat="1" ht="19.5" customHeight="1">
      <c r="B27" s="433"/>
      <c r="C27" s="440">
        <f>'[1]Tasa de Falla'!C27</f>
        <v>11</v>
      </c>
      <c r="D27" s="441" t="str">
        <f>'[1]Tasa de Falla'!D27</f>
        <v>CAMPO SANTO - GÜEMES</v>
      </c>
      <c r="E27" s="441">
        <f>'[1]Tasa de Falla'!E27</f>
        <v>132</v>
      </c>
      <c r="F27" s="442">
        <f>'[1]Tasa de Falla'!F27</f>
        <v>6.2</v>
      </c>
      <c r="G27" s="450">
        <f>IF('[1]Tasa de Falla'!BW27=0,"",'[1]Tasa de Falla'!BW27)</f>
        <v>1</v>
      </c>
      <c r="H27" s="450">
        <f>IF('[1]Tasa de Falla'!BX27=0,"",'[1]Tasa de Falla'!BX27)</f>
      </c>
      <c r="I27" s="450">
        <f>IF('[1]Tasa de Falla'!BY27=0,"",'[1]Tasa de Falla'!BY27)</f>
      </c>
      <c r="J27" s="450">
        <f>IF('[1]Tasa de Falla'!BZ27=0,"",'[1]Tasa de Falla'!BZ27)</f>
      </c>
      <c r="K27" s="450">
        <f>IF('[1]Tasa de Falla'!CA27=0,"",'[1]Tasa de Falla'!CA27)</f>
      </c>
      <c r="L27" s="450">
        <f>IF('[1]Tasa de Falla'!CB27=0,"",'[1]Tasa de Falla'!CB27)</f>
      </c>
      <c r="M27" s="450">
        <f>IF('[1]Tasa de Falla'!CC27=0,"",'[1]Tasa de Falla'!CC27)</f>
      </c>
      <c r="N27" s="450">
        <f>IF('[1]Tasa de Falla'!CD27=0,"",'[1]Tasa de Falla'!CD27)</f>
      </c>
      <c r="O27" s="450">
        <f>IF('[1]Tasa de Falla'!CE27=0,"",'[1]Tasa de Falla'!CE27)</f>
      </c>
      <c r="P27" s="450">
        <f>IF('[1]Tasa de Falla'!CF27=0,"",'[1]Tasa de Falla'!CF27)</f>
      </c>
      <c r="Q27" s="450">
        <f>IF('[1]Tasa de Falla'!CG27=0,"",'[1]Tasa de Falla'!CG27)</f>
        <v>1</v>
      </c>
      <c r="R27" s="450">
        <f>IF('[1]Tasa de Falla'!CH27=0,"",'[1]Tasa de Falla'!CH27)</f>
      </c>
      <c r="S27" s="444"/>
      <c r="T27" s="445"/>
    </row>
    <row r="28" spans="2:20" s="432" customFormat="1" ht="19.5" customHeight="1">
      <c r="B28" s="433"/>
      <c r="C28" s="446">
        <f>'[1]Tasa de Falla'!C28</f>
        <v>12</v>
      </c>
      <c r="D28" s="451" t="str">
        <f>'[1]Tasa de Falla'!D28</f>
        <v>GÜEMES - SAN JUANCITO</v>
      </c>
      <c r="E28" s="451">
        <f>'[1]Tasa de Falla'!E28</f>
        <v>132</v>
      </c>
      <c r="F28" s="452">
        <f>'[1]Tasa de Falla'!F28</f>
        <v>36.24</v>
      </c>
      <c r="G28" s="449">
        <f>IF('[1]Tasa de Falla'!BW28=0,"",'[1]Tasa de Falla'!BW28)</f>
        <v>3</v>
      </c>
      <c r="H28" s="449">
        <f>IF('[1]Tasa de Falla'!BX28=0,"",'[1]Tasa de Falla'!BX28)</f>
      </c>
      <c r="I28" s="449">
        <f>IF('[1]Tasa de Falla'!BY28=0,"",'[1]Tasa de Falla'!BY28)</f>
      </c>
      <c r="J28" s="449">
        <f>IF('[1]Tasa de Falla'!BZ28=0,"",'[1]Tasa de Falla'!BZ28)</f>
      </c>
      <c r="K28" s="449">
        <f>IF('[1]Tasa de Falla'!CA28=0,"",'[1]Tasa de Falla'!CA28)</f>
        <v>1</v>
      </c>
      <c r="L28" s="449">
        <f>IF('[1]Tasa de Falla'!CB28=0,"",'[1]Tasa de Falla'!CB28)</f>
      </c>
      <c r="M28" s="449">
        <f>IF('[1]Tasa de Falla'!CC28=0,"",'[1]Tasa de Falla'!CC28)</f>
      </c>
      <c r="N28" s="449">
        <f>IF('[1]Tasa de Falla'!CD28=0,"",'[1]Tasa de Falla'!CD28)</f>
      </c>
      <c r="O28" s="449">
        <f>IF('[1]Tasa de Falla'!CE28=0,"",'[1]Tasa de Falla'!CE28)</f>
        <v>1</v>
      </c>
      <c r="P28" s="449">
        <f>IF('[1]Tasa de Falla'!CF28=0,"",'[1]Tasa de Falla'!CF28)</f>
      </c>
      <c r="Q28" s="449">
        <f>IF('[1]Tasa de Falla'!CG28=0,"",'[1]Tasa de Falla'!CG28)</f>
      </c>
      <c r="R28" s="449">
        <f>IF('[1]Tasa de Falla'!CH28=0,"",'[1]Tasa de Falla'!CH28)</f>
      </c>
      <c r="S28" s="444"/>
      <c r="T28" s="445"/>
    </row>
    <row r="29" spans="2:20" s="432" customFormat="1" ht="19.5" customHeight="1">
      <c r="B29" s="433"/>
      <c r="C29" s="440">
        <f>'[1]Tasa de Falla'!C29</f>
        <v>13</v>
      </c>
      <c r="D29" s="441" t="str">
        <f>'[1]Tasa de Falla'!D29</f>
        <v>CATAMARCA - HUACRA</v>
      </c>
      <c r="E29" s="441">
        <f>'[1]Tasa de Falla'!E29</f>
        <v>132</v>
      </c>
      <c r="F29" s="442">
        <f>'[1]Tasa de Falla'!F29</f>
        <v>67.3</v>
      </c>
      <c r="G29" s="450">
        <f>IF('[1]Tasa de Falla'!BW29=0,"",'[1]Tasa de Falla'!BW29)</f>
      </c>
      <c r="H29" s="450">
        <f>IF('[1]Tasa de Falla'!BX29=0,"",'[1]Tasa de Falla'!BX29)</f>
        <v>1</v>
      </c>
      <c r="I29" s="450">
        <f>IF('[1]Tasa de Falla'!BY29=0,"",'[1]Tasa de Falla'!BY29)</f>
      </c>
      <c r="J29" s="450">
        <f>IF('[1]Tasa de Falla'!BZ29=0,"",'[1]Tasa de Falla'!BZ29)</f>
      </c>
      <c r="K29" s="450">
        <f>IF('[1]Tasa de Falla'!CA29=0,"",'[1]Tasa de Falla'!CA29)</f>
      </c>
      <c r="L29" s="450">
        <f>IF('[1]Tasa de Falla'!CB29=0,"",'[1]Tasa de Falla'!CB29)</f>
      </c>
      <c r="M29" s="450">
        <f>IF('[1]Tasa de Falla'!CC29=0,"",'[1]Tasa de Falla'!CC29)</f>
        <v>1</v>
      </c>
      <c r="N29" s="450">
        <f>IF('[1]Tasa de Falla'!CD29=0,"",'[1]Tasa de Falla'!CD29)</f>
      </c>
      <c r="O29" s="450">
        <f>IF('[1]Tasa de Falla'!CE29=0,"",'[1]Tasa de Falla'!CE29)</f>
      </c>
      <c r="P29" s="450">
        <f>IF('[1]Tasa de Falla'!CF29=0,"",'[1]Tasa de Falla'!CF29)</f>
      </c>
      <c r="Q29" s="450">
        <f>IF('[1]Tasa de Falla'!CG29=0,"",'[1]Tasa de Falla'!CG29)</f>
      </c>
      <c r="R29" s="450">
        <f>IF('[1]Tasa de Falla'!CH29=0,"",'[1]Tasa de Falla'!CH29)</f>
      </c>
      <c r="S29" s="444"/>
      <c r="T29" s="445"/>
    </row>
    <row r="30" spans="2:20" s="432" customFormat="1" ht="19.5" customHeight="1">
      <c r="B30" s="433"/>
      <c r="C30" s="446">
        <f>'[1]Tasa de Falla'!C30</f>
        <v>14</v>
      </c>
      <c r="D30" s="451" t="str">
        <f>'[1]Tasa de Falla'!D30</f>
        <v>HUACRA - LA CALERA</v>
      </c>
      <c r="E30" s="451">
        <f>'[1]Tasa de Falla'!E30</f>
        <v>132</v>
      </c>
      <c r="F30" s="452">
        <f>'[1]Tasa de Falla'!F30</f>
        <v>91.2</v>
      </c>
      <c r="G30" s="449">
        <f>IF('[1]Tasa de Falla'!BW30=0,"",'[1]Tasa de Falla'!BW30)</f>
      </c>
      <c r="H30" s="449">
        <f>IF('[1]Tasa de Falla'!BX30=0,"",'[1]Tasa de Falla'!BX30)</f>
      </c>
      <c r="I30" s="449">
        <f>IF('[1]Tasa de Falla'!BY30=0,"",'[1]Tasa de Falla'!BY30)</f>
      </c>
      <c r="J30" s="449">
        <f>IF('[1]Tasa de Falla'!BZ30=0,"",'[1]Tasa de Falla'!BZ30)</f>
      </c>
      <c r="K30" s="449">
        <f>IF('[1]Tasa de Falla'!CA30=0,"",'[1]Tasa de Falla'!CA30)</f>
      </c>
      <c r="L30" s="449">
        <f>IF('[1]Tasa de Falla'!CB30=0,"",'[1]Tasa de Falla'!CB30)</f>
      </c>
      <c r="M30" s="449">
        <f>IF('[1]Tasa de Falla'!CC30=0,"",'[1]Tasa de Falla'!CC30)</f>
      </c>
      <c r="N30" s="449">
        <f>IF('[1]Tasa de Falla'!CD30=0,"",'[1]Tasa de Falla'!CD30)</f>
      </c>
      <c r="O30" s="449">
        <f>IF('[1]Tasa de Falla'!CE30=0,"",'[1]Tasa de Falla'!CE30)</f>
      </c>
      <c r="P30" s="449">
        <f>IF('[1]Tasa de Falla'!CF30=0,"",'[1]Tasa de Falla'!CF30)</f>
      </c>
      <c r="Q30" s="449">
        <f>IF('[1]Tasa de Falla'!CG30=0,"",'[1]Tasa de Falla'!CG30)</f>
      </c>
      <c r="R30" s="449">
        <f>IF('[1]Tasa de Falla'!CH30=0,"",'[1]Tasa de Falla'!CH30)</f>
      </c>
      <c r="S30" s="444"/>
      <c r="T30" s="445"/>
    </row>
    <row r="31" spans="2:20" s="432" customFormat="1" ht="19.5" customHeight="1">
      <c r="B31" s="433"/>
      <c r="C31" s="440">
        <f>'[1]Tasa de Falla'!C31</f>
        <v>15</v>
      </c>
      <c r="D31" s="441" t="str">
        <f>'[1]Tasa de Falla'!D31</f>
        <v>AGUA BLANCA - INDEPENDENCIA</v>
      </c>
      <c r="E31" s="441">
        <f>'[1]Tasa de Falla'!E31</f>
        <v>132</v>
      </c>
      <c r="F31" s="442">
        <f>'[1]Tasa de Falla'!F31</f>
        <v>34.14</v>
      </c>
      <c r="G31" s="450">
        <f>IF('[1]Tasa de Falla'!BW31=0,"",'[1]Tasa de Falla'!BW31)</f>
        <v>1</v>
      </c>
      <c r="H31" s="450">
        <f>IF('[1]Tasa de Falla'!BX31=0,"",'[1]Tasa de Falla'!BX31)</f>
      </c>
      <c r="I31" s="450">
        <f>IF('[1]Tasa de Falla'!BY31=0,"",'[1]Tasa de Falla'!BY31)</f>
        <v>2</v>
      </c>
      <c r="J31" s="450">
        <f>IF('[1]Tasa de Falla'!BZ31=0,"",'[1]Tasa de Falla'!BZ31)</f>
      </c>
      <c r="K31" s="450">
        <f>IF('[1]Tasa de Falla'!CA31=0,"",'[1]Tasa de Falla'!CA31)</f>
      </c>
      <c r="L31" s="450">
        <f>IF('[1]Tasa de Falla'!CB31=0,"",'[1]Tasa de Falla'!CB31)</f>
      </c>
      <c r="M31" s="450">
        <f>IF('[1]Tasa de Falla'!CC31=0,"",'[1]Tasa de Falla'!CC31)</f>
      </c>
      <c r="N31" s="450">
        <f>IF('[1]Tasa de Falla'!CD31=0,"",'[1]Tasa de Falla'!CD31)</f>
      </c>
      <c r="O31" s="450">
        <f>IF('[1]Tasa de Falla'!CE31=0,"",'[1]Tasa de Falla'!CE31)</f>
      </c>
      <c r="P31" s="450">
        <f>IF('[1]Tasa de Falla'!CF31=0,"",'[1]Tasa de Falla'!CF31)</f>
      </c>
      <c r="Q31" s="450">
        <f>IF('[1]Tasa de Falla'!CG31=0,"",'[1]Tasa de Falla'!CG31)</f>
      </c>
      <c r="R31" s="450">
        <f>IF('[1]Tasa de Falla'!CH31=0,"",'[1]Tasa de Falla'!CH31)</f>
      </c>
      <c r="S31" s="444"/>
      <c r="T31" s="445"/>
    </row>
    <row r="32" spans="2:20" s="432" customFormat="1" ht="19.5" customHeight="1">
      <c r="B32" s="433"/>
      <c r="C32" s="446">
        <f>'[1]Tasa de Falla'!C32</f>
        <v>16</v>
      </c>
      <c r="D32" s="451" t="str">
        <f>'[1]Tasa de Falla'!D32</f>
        <v>INDEPENDENCIA - EL BRACHO</v>
      </c>
      <c r="E32" s="451">
        <f>'[1]Tasa de Falla'!E32</f>
        <v>132</v>
      </c>
      <c r="F32" s="452">
        <f>'[1]Tasa de Falla'!F32</f>
        <v>17.1</v>
      </c>
      <c r="G32" s="449">
        <f>IF('[1]Tasa de Falla'!BW32=0,"",'[1]Tasa de Falla'!BW32)</f>
        <v>1</v>
      </c>
      <c r="H32" s="449">
        <f>IF('[1]Tasa de Falla'!BX32=0,"",'[1]Tasa de Falla'!BX32)</f>
      </c>
      <c r="I32" s="449">
        <f>IF('[1]Tasa de Falla'!BY32=0,"",'[1]Tasa de Falla'!BY32)</f>
      </c>
      <c r="J32" s="449">
        <f>IF('[1]Tasa de Falla'!BZ32=0,"",'[1]Tasa de Falla'!BZ32)</f>
      </c>
      <c r="K32" s="449">
        <f>IF('[1]Tasa de Falla'!CA32=0,"",'[1]Tasa de Falla'!CA32)</f>
      </c>
      <c r="L32" s="449">
        <f>IF('[1]Tasa de Falla'!CB32=0,"",'[1]Tasa de Falla'!CB32)</f>
      </c>
      <c r="M32" s="449">
        <f>IF('[1]Tasa de Falla'!CC32=0,"",'[1]Tasa de Falla'!CC32)</f>
      </c>
      <c r="N32" s="449">
        <f>IF('[1]Tasa de Falla'!CD32=0,"",'[1]Tasa de Falla'!CD32)</f>
      </c>
      <c r="O32" s="449">
        <f>IF('[1]Tasa de Falla'!CE32=0,"",'[1]Tasa de Falla'!CE32)</f>
      </c>
      <c r="P32" s="449">
        <f>IF('[1]Tasa de Falla'!CF32=0,"",'[1]Tasa de Falla'!CF32)</f>
      </c>
      <c r="Q32" s="449">
        <f>IF('[1]Tasa de Falla'!CG32=0,"",'[1]Tasa de Falla'!CG32)</f>
      </c>
      <c r="R32" s="449">
        <f>IF('[1]Tasa de Falla'!CH32=0,"",'[1]Tasa de Falla'!CH32)</f>
      </c>
      <c r="S32" s="444"/>
      <c r="T32" s="445"/>
    </row>
    <row r="33" spans="2:20" s="432" customFormat="1" ht="19.5" customHeight="1">
      <c r="B33" s="433"/>
      <c r="C33" s="440">
        <f>'[1]Tasa de Falla'!C33</f>
        <v>17</v>
      </c>
      <c r="D33" s="441" t="str">
        <f>'[1]Tasa de Falla'!D33</f>
        <v>INDEPENDENCIA - PAPEL DEL TUCUMAN</v>
      </c>
      <c r="E33" s="441">
        <f>'[1]Tasa de Falla'!E33</f>
        <v>132</v>
      </c>
      <c r="F33" s="442">
        <f>'[1]Tasa de Falla'!F33</f>
        <v>19.3</v>
      </c>
      <c r="G33" s="450">
        <f>IF('[1]Tasa de Falla'!BW33=0,"",'[1]Tasa de Falla'!BW33)</f>
      </c>
      <c r="H33" s="450">
        <f>IF('[1]Tasa de Falla'!BX33=0,"",'[1]Tasa de Falla'!BX33)</f>
      </c>
      <c r="I33" s="450">
        <f>IF('[1]Tasa de Falla'!BY33=0,"",'[1]Tasa de Falla'!BY33)</f>
      </c>
      <c r="J33" s="450">
        <f>IF('[1]Tasa de Falla'!BZ33=0,"",'[1]Tasa de Falla'!BZ33)</f>
      </c>
      <c r="K33" s="450">
        <f>IF('[1]Tasa de Falla'!CA33=0,"",'[1]Tasa de Falla'!CA33)</f>
      </c>
      <c r="L33" s="450">
        <f>IF('[1]Tasa de Falla'!CB33=0,"",'[1]Tasa de Falla'!CB33)</f>
      </c>
      <c r="M33" s="450">
        <f>IF('[1]Tasa de Falla'!CC33=0,"",'[1]Tasa de Falla'!CC33)</f>
      </c>
      <c r="N33" s="450">
        <f>IF('[1]Tasa de Falla'!CD33=0,"",'[1]Tasa de Falla'!CD33)</f>
      </c>
      <c r="O33" s="450">
        <f>IF('[1]Tasa de Falla'!CE33=0,"",'[1]Tasa de Falla'!CE33)</f>
      </c>
      <c r="P33" s="450">
        <f>IF('[1]Tasa de Falla'!CF33=0,"",'[1]Tasa de Falla'!CF33)</f>
      </c>
      <c r="Q33" s="450">
        <f>IF('[1]Tasa de Falla'!CG33=0,"",'[1]Tasa de Falla'!CG33)</f>
      </c>
      <c r="R33" s="450">
        <f>IF('[1]Tasa de Falla'!CH33=0,"",'[1]Tasa de Falla'!CH33)</f>
      </c>
      <c r="S33" s="444"/>
      <c r="T33" s="445"/>
    </row>
    <row r="34" spans="2:20" s="432" customFormat="1" ht="19.5" customHeight="1">
      <c r="B34" s="433"/>
      <c r="C34" s="446">
        <f>'[1]Tasa de Falla'!C34</f>
        <v>18</v>
      </c>
      <c r="D34" s="451" t="str">
        <f>'[1]Tasa de Falla'!D34</f>
        <v>FRIAS - LA CALERA NOA.</v>
      </c>
      <c r="E34" s="451">
        <f>'[1]Tasa de Falla'!E34</f>
        <v>132</v>
      </c>
      <c r="F34" s="452">
        <f>'[1]Tasa de Falla'!F34</f>
        <v>27.3</v>
      </c>
      <c r="G34" s="449">
        <f>IF('[1]Tasa de Falla'!BW34=0,"",'[1]Tasa de Falla'!BW34)</f>
      </c>
      <c r="H34" s="449">
        <f>IF('[1]Tasa de Falla'!BX34=0,"",'[1]Tasa de Falla'!BX34)</f>
      </c>
      <c r="I34" s="449">
        <f>IF('[1]Tasa de Falla'!BY34=0,"",'[1]Tasa de Falla'!BY34)</f>
      </c>
      <c r="J34" s="449">
        <f>IF('[1]Tasa de Falla'!BZ34=0,"",'[1]Tasa de Falla'!BZ34)</f>
        <v>1</v>
      </c>
      <c r="K34" s="449">
        <f>IF('[1]Tasa de Falla'!CA34=0,"",'[1]Tasa de Falla'!CA34)</f>
      </c>
      <c r="L34" s="449">
        <f>IF('[1]Tasa de Falla'!CB34=0,"",'[1]Tasa de Falla'!CB34)</f>
      </c>
      <c r="M34" s="449">
        <f>IF('[1]Tasa de Falla'!CC34=0,"",'[1]Tasa de Falla'!CC34)</f>
      </c>
      <c r="N34" s="449">
        <f>IF('[1]Tasa de Falla'!CD34=0,"",'[1]Tasa de Falla'!CD34)</f>
      </c>
      <c r="O34" s="449">
        <f>IF('[1]Tasa de Falla'!CE34=0,"",'[1]Tasa de Falla'!CE34)</f>
      </c>
      <c r="P34" s="449">
        <f>IF('[1]Tasa de Falla'!CF34=0,"",'[1]Tasa de Falla'!CF34)</f>
      </c>
      <c r="Q34" s="449">
        <f>IF('[1]Tasa de Falla'!CG34=0,"",'[1]Tasa de Falla'!CG34)</f>
      </c>
      <c r="R34" s="449">
        <f>IF('[1]Tasa de Falla'!CH34=0,"",'[1]Tasa de Falla'!CH34)</f>
      </c>
      <c r="S34" s="444"/>
      <c r="T34" s="445"/>
    </row>
    <row r="35" spans="2:20" s="432" customFormat="1" ht="19.5" customHeight="1">
      <c r="B35" s="433"/>
      <c r="C35" s="440">
        <f>'[1]Tasa de Falla'!C35</f>
        <v>19</v>
      </c>
      <c r="D35" s="441" t="str">
        <f>'[1]Tasa de Falla'!D35</f>
        <v>LA BANDA - SANTIAGO CENTRO</v>
      </c>
      <c r="E35" s="441">
        <f>'[1]Tasa de Falla'!E35</f>
        <v>132</v>
      </c>
      <c r="F35" s="442">
        <f>'[1]Tasa de Falla'!F35</f>
        <v>10.91</v>
      </c>
      <c r="G35" s="450">
        <f>IF('[1]Tasa de Falla'!BW35=0,"",'[1]Tasa de Falla'!BW35)</f>
      </c>
      <c r="H35" s="450">
        <f>IF('[1]Tasa de Falla'!BX35=0,"",'[1]Tasa de Falla'!BX35)</f>
        <v>1</v>
      </c>
      <c r="I35" s="450">
        <f>IF('[1]Tasa de Falla'!BY35=0,"",'[1]Tasa de Falla'!BY35)</f>
      </c>
      <c r="J35" s="450">
        <f>IF('[1]Tasa de Falla'!BZ35=0,"",'[1]Tasa de Falla'!BZ35)</f>
      </c>
      <c r="K35" s="450">
        <f>IF('[1]Tasa de Falla'!CA35=0,"",'[1]Tasa de Falla'!CA35)</f>
      </c>
      <c r="L35" s="450">
        <f>IF('[1]Tasa de Falla'!CB35=0,"",'[1]Tasa de Falla'!CB35)</f>
      </c>
      <c r="M35" s="450">
        <f>IF('[1]Tasa de Falla'!CC35=0,"",'[1]Tasa de Falla'!CC35)</f>
        <v>1</v>
      </c>
      <c r="N35" s="450">
        <f>IF('[1]Tasa de Falla'!CD35=0,"",'[1]Tasa de Falla'!CD35)</f>
      </c>
      <c r="O35" s="450">
        <f>IF('[1]Tasa de Falla'!CE35=0,"",'[1]Tasa de Falla'!CE35)</f>
      </c>
      <c r="P35" s="450">
        <f>IF('[1]Tasa de Falla'!CF35=0,"",'[1]Tasa de Falla'!CF35)</f>
        <v>2</v>
      </c>
      <c r="Q35" s="450">
        <f>IF('[1]Tasa de Falla'!CG35=0,"",'[1]Tasa de Falla'!CG35)</f>
      </c>
      <c r="R35" s="450">
        <f>IF('[1]Tasa de Falla'!CH35=0,"",'[1]Tasa de Falla'!CH35)</f>
      </c>
      <c r="S35" s="444"/>
      <c r="T35" s="445"/>
    </row>
    <row r="36" spans="2:20" s="432" customFormat="1" ht="19.5" customHeight="1">
      <c r="B36" s="433"/>
      <c r="C36" s="446">
        <f>'[1]Tasa de Falla'!C36</f>
        <v>20</v>
      </c>
      <c r="D36" s="451" t="str">
        <f>'[1]Tasa de Falla'!D36</f>
        <v>LIBERTADOR NOA. - PICHANAL</v>
      </c>
      <c r="E36" s="451">
        <f>'[1]Tasa de Falla'!E36</f>
        <v>132</v>
      </c>
      <c r="F36" s="452">
        <f>'[1]Tasa de Falla'!F36</f>
        <v>76</v>
      </c>
      <c r="G36" s="449">
        <f>IF('[1]Tasa de Falla'!BW36=0,"",'[1]Tasa de Falla'!BW36)</f>
      </c>
      <c r="H36" s="449">
        <f>IF('[1]Tasa de Falla'!BX36=0,"",'[1]Tasa de Falla'!BX36)</f>
      </c>
      <c r="I36" s="449">
        <f>IF('[1]Tasa de Falla'!BY36=0,"",'[1]Tasa de Falla'!BY36)</f>
      </c>
      <c r="J36" s="449">
        <f>IF('[1]Tasa de Falla'!BZ36=0,"",'[1]Tasa de Falla'!BZ36)</f>
      </c>
      <c r="K36" s="449">
        <f>IF('[1]Tasa de Falla'!CA36=0,"",'[1]Tasa de Falla'!CA36)</f>
      </c>
      <c r="L36" s="449">
        <f>IF('[1]Tasa de Falla'!CB36=0,"",'[1]Tasa de Falla'!CB36)</f>
      </c>
      <c r="M36" s="449">
        <f>IF('[1]Tasa de Falla'!CC36=0,"",'[1]Tasa de Falla'!CC36)</f>
      </c>
      <c r="N36" s="449">
        <f>IF('[1]Tasa de Falla'!CD36=0,"",'[1]Tasa de Falla'!CD36)</f>
      </c>
      <c r="O36" s="449">
        <f>IF('[1]Tasa de Falla'!CE36=0,"",'[1]Tasa de Falla'!CE36)</f>
      </c>
      <c r="P36" s="449">
        <f>IF('[1]Tasa de Falla'!CF36=0,"",'[1]Tasa de Falla'!CF36)</f>
      </c>
      <c r="Q36" s="449">
        <f>IF('[1]Tasa de Falla'!CG36=0,"",'[1]Tasa de Falla'!CG36)</f>
      </c>
      <c r="R36" s="449">
        <f>IF('[1]Tasa de Falla'!CH36=0,"",'[1]Tasa de Falla'!CH36)</f>
      </c>
      <c r="S36" s="444"/>
      <c r="T36" s="445"/>
    </row>
    <row r="37" spans="2:20" s="432" customFormat="1" ht="19.5" customHeight="1">
      <c r="B37" s="433"/>
      <c r="C37" s="440">
        <f>'[1]Tasa de Falla'!C37</f>
        <v>21</v>
      </c>
      <c r="D37" s="441" t="str">
        <f>'[1]Tasa de Falla'!D37</f>
        <v>GÜEMES - METAN</v>
      </c>
      <c r="E37" s="441">
        <f>'[1]Tasa de Falla'!E37</f>
        <v>132</v>
      </c>
      <c r="F37" s="442">
        <f>'[1]Tasa de Falla'!F37</f>
        <v>97.13</v>
      </c>
      <c r="G37" s="450">
        <f>IF('[1]Tasa de Falla'!BW37=0,"",'[1]Tasa de Falla'!BW37)</f>
      </c>
      <c r="H37" s="450">
        <f>IF('[1]Tasa de Falla'!BX37=0,"",'[1]Tasa de Falla'!BX37)</f>
      </c>
      <c r="I37" s="450">
        <f>IF('[1]Tasa de Falla'!BY37=0,"",'[1]Tasa de Falla'!BY37)</f>
      </c>
      <c r="J37" s="450">
        <f>IF('[1]Tasa de Falla'!BZ37=0,"",'[1]Tasa de Falla'!BZ37)</f>
      </c>
      <c r="K37" s="450">
        <f>IF('[1]Tasa de Falla'!CA37=0,"",'[1]Tasa de Falla'!CA37)</f>
      </c>
      <c r="L37" s="450">
        <f>IF('[1]Tasa de Falla'!CB37=0,"",'[1]Tasa de Falla'!CB37)</f>
      </c>
      <c r="M37" s="450">
        <f>IF('[1]Tasa de Falla'!CC37=0,"",'[1]Tasa de Falla'!CC37)</f>
      </c>
      <c r="N37" s="450">
        <f>IF('[1]Tasa de Falla'!CD37=0,"",'[1]Tasa de Falla'!CD37)</f>
        <v>1</v>
      </c>
      <c r="O37" s="450">
        <f>IF('[1]Tasa de Falla'!CE37=0,"",'[1]Tasa de Falla'!CE37)</f>
      </c>
      <c r="P37" s="450">
        <f>IF('[1]Tasa de Falla'!CF37=0,"",'[1]Tasa de Falla'!CF37)</f>
      </c>
      <c r="Q37" s="450">
        <f>IF('[1]Tasa de Falla'!CG37=0,"",'[1]Tasa de Falla'!CG37)</f>
      </c>
      <c r="R37" s="450">
        <f>IF('[1]Tasa de Falla'!CH37=0,"",'[1]Tasa de Falla'!CH37)</f>
      </c>
      <c r="S37" s="444"/>
      <c r="T37" s="445"/>
    </row>
    <row r="38" spans="2:20" s="432" customFormat="1" ht="19.5" customHeight="1">
      <c r="B38" s="433"/>
      <c r="C38" s="446">
        <f>'[1]Tasa de Falla'!C38</f>
        <v>22</v>
      </c>
      <c r="D38" s="451" t="str">
        <f>'[1]Tasa de Falla'!D38</f>
        <v>MINETTI - SAN JUANCITO</v>
      </c>
      <c r="E38" s="451">
        <f>'[1]Tasa de Falla'!E38</f>
        <v>132</v>
      </c>
      <c r="F38" s="452">
        <f>'[1]Tasa de Falla'!F38</f>
        <v>26</v>
      </c>
      <c r="G38" s="449">
        <f>IF('[1]Tasa de Falla'!BW38=0,"",'[1]Tasa de Falla'!BW38)</f>
      </c>
      <c r="H38" s="449">
        <f>IF('[1]Tasa de Falla'!BX38=0,"",'[1]Tasa de Falla'!BX38)</f>
      </c>
      <c r="I38" s="449">
        <f>IF('[1]Tasa de Falla'!BY38=0,"",'[1]Tasa de Falla'!BY38)</f>
      </c>
      <c r="J38" s="449">
        <f>IF('[1]Tasa de Falla'!BZ38=0,"",'[1]Tasa de Falla'!BZ38)</f>
      </c>
      <c r="K38" s="449">
        <f>IF('[1]Tasa de Falla'!CA38=0,"",'[1]Tasa de Falla'!CA38)</f>
      </c>
      <c r="L38" s="449">
        <f>IF('[1]Tasa de Falla'!CB38=0,"",'[1]Tasa de Falla'!CB38)</f>
      </c>
      <c r="M38" s="449">
        <f>IF('[1]Tasa de Falla'!CC38=0,"",'[1]Tasa de Falla'!CC38)</f>
      </c>
      <c r="N38" s="449">
        <f>IF('[1]Tasa de Falla'!CD38=0,"",'[1]Tasa de Falla'!CD38)</f>
      </c>
      <c r="O38" s="449">
        <f>IF('[1]Tasa de Falla'!CE38=0,"",'[1]Tasa de Falla'!CE38)</f>
      </c>
      <c r="P38" s="449">
        <f>IF('[1]Tasa de Falla'!CF38=0,"",'[1]Tasa de Falla'!CF38)</f>
      </c>
      <c r="Q38" s="449">
        <f>IF('[1]Tasa de Falla'!CG38=0,"",'[1]Tasa de Falla'!CG38)</f>
      </c>
      <c r="R38" s="449">
        <f>IF('[1]Tasa de Falla'!CH38=0,"",'[1]Tasa de Falla'!CH38)</f>
      </c>
      <c r="S38" s="444"/>
      <c r="T38" s="445"/>
    </row>
    <row r="39" spans="2:20" s="432" customFormat="1" ht="19.5" customHeight="1">
      <c r="B39" s="433"/>
      <c r="C39" s="440">
        <f>'[1]Tasa de Falla'!C39</f>
        <v>23</v>
      </c>
      <c r="D39" s="441" t="str">
        <f>'[1]Tasa de Falla'!D39</f>
        <v>PALPALA - JUJUY SUR</v>
      </c>
      <c r="E39" s="441">
        <f>'[1]Tasa de Falla'!E39</f>
        <v>132</v>
      </c>
      <c r="F39" s="442">
        <f>'[1]Tasa de Falla'!F39</f>
        <v>14</v>
      </c>
      <c r="G39" s="450" t="str">
        <f>IF('[1]Tasa de Falla'!BW39=0,"",'[1]Tasa de Falla'!BW39)</f>
        <v>XXXX</v>
      </c>
      <c r="H39" s="450" t="str">
        <f>IF('[1]Tasa de Falla'!BX39=0,"",'[1]Tasa de Falla'!BX39)</f>
        <v>XXXX</v>
      </c>
      <c r="I39" s="450" t="str">
        <f>IF('[1]Tasa de Falla'!BY39=0,"",'[1]Tasa de Falla'!BY39)</f>
        <v>XXXX</v>
      </c>
      <c r="J39" s="450" t="str">
        <f>IF('[1]Tasa de Falla'!BZ39=0,"",'[1]Tasa de Falla'!BZ39)</f>
        <v>XXXX</v>
      </c>
      <c r="K39" s="450" t="str">
        <f>IF('[1]Tasa de Falla'!CA39=0,"",'[1]Tasa de Falla'!CA39)</f>
        <v>XXXX</v>
      </c>
      <c r="L39" s="450" t="str">
        <f>IF('[1]Tasa de Falla'!CB39=0,"",'[1]Tasa de Falla'!CB39)</f>
        <v>XXXX</v>
      </c>
      <c r="M39" s="450" t="str">
        <f>IF('[1]Tasa de Falla'!CC39=0,"",'[1]Tasa de Falla'!CC39)</f>
        <v>XXXX</v>
      </c>
      <c r="N39" s="450" t="str">
        <f>IF('[1]Tasa de Falla'!CD39=0,"",'[1]Tasa de Falla'!CD39)</f>
        <v>XXXX</v>
      </c>
      <c r="O39" s="450" t="str">
        <f>IF('[1]Tasa de Falla'!CE39=0,"",'[1]Tasa de Falla'!CE39)</f>
        <v>XXXX</v>
      </c>
      <c r="P39" s="450" t="str">
        <f>IF('[1]Tasa de Falla'!CF39=0,"",'[1]Tasa de Falla'!CF39)</f>
        <v>XXXX</v>
      </c>
      <c r="Q39" s="450" t="str">
        <f>IF('[1]Tasa de Falla'!CG39=0,"",'[1]Tasa de Falla'!CG39)</f>
        <v>XXXX</v>
      </c>
      <c r="R39" s="450" t="str">
        <f>IF('[1]Tasa de Falla'!CH39=0,"",'[1]Tasa de Falla'!CH39)</f>
        <v>XXXX</v>
      </c>
      <c r="S39" s="444"/>
      <c r="T39" s="445"/>
    </row>
    <row r="40" spans="2:20" s="432" customFormat="1" ht="19.5" customHeight="1">
      <c r="B40" s="433"/>
      <c r="C40" s="446">
        <f>'[1]Tasa de Falla'!C40</f>
        <v>24</v>
      </c>
      <c r="D40" s="451" t="str">
        <f>'[1]Tasa de Falla'!D40</f>
        <v>ORAN - PICHANAL</v>
      </c>
      <c r="E40" s="451">
        <f>'[1]Tasa de Falla'!E40</f>
        <v>132</v>
      </c>
      <c r="F40" s="452">
        <f>'[1]Tasa de Falla'!F40</f>
        <v>17</v>
      </c>
      <c r="G40" s="449">
        <f>IF('[1]Tasa de Falla'!BW40=0,"",'[1]Tasa de Falla'!BW40)</f>
      </c>
      <c r="H40" s="449">
        <f>IF('[1]Tasa de Falla'!BX40=0,"",'[1]Tasa de Falla'!BX40)</f>
      </c>
      <c r="I40" s="449">
        <f>IF('[1]Tasa de Falla'!BY40=0,"",'[1]Tasa de Falla'!BY40)</f>
      </c>
      <c r="J40" s="449">
        <f>IF('[1]Tasa de Falla'!BZ40=0,"",'[1]Tasa de Falla'!BZ40)</f>
      </c>
      <c r="K40" s="449">
        <f>IF('[1]Tasa de Falla'!CA40=0,"",'[1]Tasa de Falla'!CA40)</f>
      </c>
      <c r="L40" s="449">
        <f>IF('[1]Tasa de Falla'!CB40=0,"",'[1]Tasa de Falla'!CB40)</f>
      </c>
      <c r="M40" s="449">
        <f>IF('[1]Tasa de Falla'!CC40=0,"",'[1]Tasa de Falla'!CC40)</f>
      </c>
      <c r="N40" s="449">
        <f>IF('[1]Tasa de Falla'!CD40=0,"",'[1]Tasa de Falla'!CD40)</f>
      </c>
      <c r="O40" s="449">
        <f>IF('[1]Tasa de Falla'!CE40=0,"",'[1]Tasa de Falla'!CE40)</f>
        <v>2</v>
      </c>
      <c r="P40" s="449">
        <f>IF('[1]Tasa de Falla'!CF40=0,"",'[1]Tasa de Falla'!CF40)</f>
      </c>
      <c r="Q40" s="449">
        <f>IF('[1]Tasa de Falla'!CG40=0,"",'[1]Tasa de Falla'!CG40)</f>
      </c>
      <c r="R40" s="449">
        <f>IF('[1]Tasa de Falla'!CH40=0,"",'[1]Tasa de Falla'!CH40)</f>
      </c>
      <c r="S40" s="444"/>
      <c r="T40" s="445"/>
    </row>
    <row r="41" spans="2:20" s="432" customFormat="1" ht="19.5" customHeight="1">
      <c r="B41" s="433"/>
      <c r="C41" s="440">
        <f>'[1]Tasa de Falla'!C41</f>
        <v>25</v>
      </c>
      <c r="D41" s="441" t="str">
        <f>'[1]Tasa de Falla'!D41</f>
        <v>PICHANAL - TARTAGAL</v>
      </c>
      <c r="E41" s="441">
        <f>'[1]Tasa de Falla'!E41</f>
        <v>132</v>
      </c>
      <c r="F41" s="442">
        <f>'[1]Tasa de Falla'!F41</f>
        <v>105</v>
      </c>
      <c r="G41" s="450">
        <f>IF('[1]Tasa de Falla'!BW41=0,"",'[1]Tasa de Falla'!BW41)</f>
      </c>
      <c r="H41" s="450">
        <f>IF('[1]Tasa de Falla'!BX41=0,"",'[1]Tasa de Falla'!BX41)</f>
        <v>1</v>
      </c>
      <c r="I41" s="450">
        <f>IF('[1]Tasa de Falla'!BY41=0,"",'[1]Tasa de Falla'!BY41)</f>
      </c>
      <c r="J41" s="450">
        <f>IF('[1]Tasa de Falla'!BZ41=0,"",'[1]Tasa de Falla'!BZ41)</f>
      </c>
      <c r="K41" s="450">
        <f>IF('[1]Tasa de Falla'!CA41=0,"",'[1]Tasa de Falla'!CA41)</f>
      </c>
      <c r="L41" s="450">
        <f>IF('[1]Tasa de Falla'!CB41=0,"",'[1]Tasa de Falla'!CB41)</f>
      </c>
      <c r="M41" s="450">
        <f>IF('[1]Tasa de Falla'!CC41=0,"",'[1]Tasa de Falla'!CC41)</f>
      </c>
      <c r="N41" s="450">
        <f>IF('[1]Tasa de Falla'!CD41=0,"",'[1]Tasa de Falla'!CD41)</f>
      </c>
      <c r="O41" s="450">
        <f>IF('[1]Tasa de Falla'!CE41=0,"",'[1]Tasa de Falla'!CE41)</f>
      </c>
      <c r="P41" s="450">
        <f>IF('[1]Tasa de Falla'!CF41=0,"",'[1]Tasa de Falla'!CF41)</f>
      </c>
      <c r="Q41" s="450">
        <f>IF('[1]Tasa de Falla'!CG41=0,"",'[1]Tasa de Falla'!CG41)</f>
      </c>
      <c r="R41" s="450">
        <f>IF('[1]Tasa de Falla'!CH41=0,"",'[1]Tasa de Falla'!CH41)</f>
      </c>
      <c r="S41" s="444"/>
      <c r="T41" s="445"/>
    </row>
    <row r="42" spans="2:20" s="432" customFormat="1" ht="19.5" customHeight="1">
      <c r="B42" s="433"/>
      <c r="C42" s="446">
        <f>'[1]Tasa de Falla'!C42</f>
        <v>26</v>
      </c>
      <c r="D42" s="451" t="str">
        <f>'[1]Tasa de Falla'!D42</f>
        <v>C.H. RIO HONDO - LA BANDA</v>
      </c>
      <c r="E42" s="451">
        <f>'[1]Tasa de Falla'!E42</f>
        <v>132</v>
      </c>
      <c r="F42" s="452">
        <f>'[1]Tasa de Falla'!F42</f>
        <v>76.5</v>
      </c>
      <c r="G42" s="449">
        <f>IF('[1]Tasa de Falla'!BW42=0,"",'[1]Tasa de Falla'!BW42)</f>
      </c>
      <c r="H42" s="449">
        <f>IF('[1]Tasa de Falla'!BX42=0,"",'[1]Tasa de Falla'!BX42)</f>
        <v>1</v>
      </c>
      <c r="I42" s="449">
        <f>IF('[1]Tasa de Falla'!BY42=0,"",'[1]Tasa de Falla'!BY42)</f>
      </c>
      <c r="J42" s="449">
        <f>IF('[1]Tasa de Falla'!BZ42=0,"",'[1]Tasa de Falla'!BZ42)</f>
      </c>
      <c r="K42" s="449">
        <f>IF('[1]Tasa de Falla'!CA42=0,"",'[1]Tasa de Falla'!CA42)</f>
      </c>
      <c r="L42" s="449">
        <f>IF('[1]Tasa de Falla'!CB42=0,"",'[1]Tasa de Falla'!CB42)</f>
      </c>
      <c r="M42" s="449">
        <f>IF('[1]Tasa de Falla'!CC42=0,"",'[1]Tasa de Falla'!CC42)</f>
      </c>
      <c r="N42" s="449">
        <f>IF('[1]Tasa de Falla'!CD42=0,"",'[1]Tasa de Falla'!CD42)</f>
      </c>
      <c r="O42" s="449">
        <f>IF('[1]Tasa de Falla'!CE42=0,"",'[1]Tasa de Falla'!CE42)</f>
      </c>
      <c r="P42" s="449">
        <f>IF('[1]Tasa de Falla'!CF42=0,"",'[1]Tasa de Falla'!CF42)</f>
      </c>
      <c r="Q42" s="449">
        <f>IF('[1]Tasa de Falla'!CG42=0,"",'[1]Tasa de Falla'!CG42)</f>
      </c>
      <c r="R42" s="449">
        <f>IF('[1]Tasa de Falla'!CH42=0,"",'[1]Tasa de Falla'!CH42)</f>
      </c>
      <c r="S42" s="444"/>
      <c r="T42" s="445"/>
    </row>
    <row r="43" spans="2:20" s="432" customFormat="1" ht="19.5" customHeight="1">
      <c r="B43" s="433"/>
      <c r="C43" s="440">
        <f>'[1]Tasa de Falla'!C43</f>
        <v>27</v>
      </c>
      <c r="D43" s="441" t="str">
        <f>'[1]Tasa de Falla'!D43</f>
        <v>LA RIOJA - RECREO  2</v>
      </c>
      <c r="E43" s="441">
        <f>'[1]Tasa de Falla'!E43</f>
        <v>132</v>
      </c>
      <c r="F43" s="442">
        <f>'[1]Tasa de Falla'!F43</f>
        <v>220</v>
      </c>
      <c r="G43" s="450">
        <f>IF('[1]Tasa de Falla'!BW43=0,"",'[1]Tasa de Falla'!BW43)</f>
      </c>
      <c r="H43" s="450">
        <f>IF('[1]Tasa de Falla'!BX43=0,"",'[1]Tasa de Falla'!BX43)</f>
      </c>
      <c r="I43" s="450">
        <f>IF('[1]Tasa de Falla'!BY43=0,"",'[1]Tasa de Falla'!BY43)</f>
      </c>
      <c r="J43" s="450">
        <f>IF('[1]Tasa de Falla'!BZ43=0,"",'[1]Tasa de Falla'!BZ43)</f>
      </c>
      <c r="K43" s="450">
        <f>IF('[1]Tasa de Falla'!CA43=0,"",'[1]Tasa de Falla'!CA43)</f>
      </c>
      <c r="L43" s="450">
        <f>IF('[1]Tasa de Falla'!CB43=0,"",'[1]Tasa de Falla'!CB43)</f>
      </c>
      <c r="M43" s="450">
        <f>IF('[1]Tasa de Falla'!CC43=0,"",'[1]Tasa de Falla'!CC43)</f>
      </c>
      <c r="N43" s="450">
        <f>IF('[1]Tasa de Falla'!CD43=0,"",'[1]Tasa de Falla'!CD43)</f>
      </c>
      <c r="O43" s="450">
        <f>IF('[1]Tasa de Falla'!CE43=0,"",'[1]Tasa de Falla'!CE43)</f>
      </c>
      <c r="P43" s="450">
        <f>IF('[1]Tasa de Falla'!CF43=0,"",'[1]Tasa de Falla'!CF43)</f>
      </c>
      <c r="Q43" s="450">
        <f>IF('[1]Tasa de Falla'!CG43=0,"",'[1]Tasa de Falla'!CG43)</f>
      </c>
      <c r="R43" s="450">
        <f>IF('[1]Tasa de Falla'!CH43=0,"",'[1]Tasa de Falla'!CH43)</f>
      </c>
      <c r="S43" s="444"/>
      <c r="T43" s="445"/>
    </row>
    <row r="44" spans="2:20" s="432" customFormat="1" ht="19.5" customHeight="1">
      <c r="B44" s="433"/>
      <c r="C44" s="446">
        <f>'[1]Tasa de Falla'!C44</f>
        <v>28</v>
      </c>
      <c r="D44" s="451" t="str">
        <f>'[1]Tasa de Falla'!D44</f>
        <v>CAMPO SANTO - SALTA SUR</v>
      </c>
      <c r="E44" s="451">
        <f>'[1]Tasa de Falla'!E44</f>
        <v>132</v>
      </c>
      <c r="F44" s="452">
        <f>'[1]Tasa de Falla'!F44</f>
        <v>40.92</v>
      </c>
      <c r="G44" s="449">
        <f>IF('[1]Tasa de Falla'!BW44=0,"",'[1]Tasa de Falla'!BW44)</f>
      </c>
      <c r="H44" s="449">
        <f>IF('[1]Tasa de Falla'!BX44=0,"",'[1]Tasa de Falla'!BX44)</f>
      </c>
      <c r="I44" s="449">
        <f>IF('[1]Tasa de Falla'!BY44=0,"",'[1]Tasa de Falla'!BY44)</f>
      </c>
      <c r="J44" s="449">
        <f>IF('[1]Tasa de Falla'!BZ44=0,"",'[1]Tasa de Falla'!BZ44)</f>
      </c>
      <c r="K44" s="449">
        <f>IF('[1]Tasa de Falla'!CA44=0,"",'[1]Tasa de Falla'!CA44)</f>
      </c>
      <c r="L44" s="449">
        <f>IF('[1]Tasa de Falla'!CB44=0,"",'[1]Tasa de Falla'!CB44)</f>
      </c>
      <c r="M44" s="449">
        <f>IF('[1]Tasa de Falla'!CC44=0,"",'[1]Tasa de Falla'!CC44)</f>
      </c>
      <c r="N44" s="449">
        <f>IF('[1]Tasa de Falla'!CD44=0,"",'[1]Tasa de Falla'!CD44)</f>
      </c>
      <c r="O44" s="449">
        <f>IF('[1]Tasa de Falla'!CE44=0,"",'[1]Tasa de Falla'!CE44)</f>
      </c>
      <c r="P44" s="449">
        <f>IF('[1]Tasa de Falla'!CF44=0,"",'[1]Tasa de Falla'!CF44)</f>
      </c>
      <c r="Q44" s="449">
        <f>IF('[1]Tasa de Falla'!CG44=0,"",'[1]Tasa de Falla'!CG44)</f>
        <v>1</v>
      </c>
      <c r="R44" s="449">
        <f>IF('[1]Tasa de Falla'!CH44=0,"",'[1]Tasa de Falla'!CH44)</f>
      </c>
      <c r="S44" s="444"/>
      <c r="T44" s="445"/>
    </row>
    <row r="45" spans="2:20" s="432" customFormat="1" ht="19.5" customHeight="1">
      <c r="B45" s="433"/>
      <c r="C45" s="440">
        <f>'[1]Tasa de Falla'!C45</f>
        <v>29</v>
      </c>
      <c r="D45" s="441" t="str">
        <f>'[1]Tasa de Falla'!D45</f>
        <v>PALPALA - SAN JUANCITO</v>
      </c>
      <c r="E45" s="441">
        <f>'[1]Tasa de Falla'!E45</f>
        <v>132</v>
      </c>
      <c r="F45" s="442">
        <f>'[1]Tasa de Falla'!F45</f>
        <v>23.9</v>
      </c>
      <c r="G45" s="450">
        <f>IF('[1]Tasa de Falla'!BW45=0,"",'[1]Tasa de Falla'!BW45)</f>
        <v>1</v>
      </c>
      <c r="H45" s="450">
        <f>IF('[1]Tasa de Falla'!BX45=0,"",'[1]Tasa de Falla'!BX45)</f>
      </c>
      <c r="I45" s="450">
        <f>IF('[1]Tasa de Falla'!BY45=0,"",'[1]Tasa de Falla'!BY45)</f>
      </c>
      <c r="J45" s="450">
        <f>IF('[1]Tasa de Falla'!BZ45=0,"",'[1]Tasa de Falla'!BZ45)</f>
      </c>
      <c r="K45" s="450">
        <f>IF('[1]Tasa de Falla'!CA45=0,"",'[1]Tasa de Falla'!CA45)</f>
      </c>
      <c r="L45" s="450">
        <f>IF('[1]Tasa de Falla'!CB45=0,"",'[1]Tasa de Falla'!CB45)</f>
      </c>
      <c r="M45" s="450">
        <f>IF('[1]Tasa de Falla'!CC45=0,"",'[1]Tasa de Falla'!CC45)</f>
      </c>
      <c r="N45" s="450">
        <f>IF('[1]Tasa de Falla'!CD45=0,"",'[1]Tasa de Falla'!CD45)</f>
      </c>
      <c r="O45" s="450">
        <f>IF('[1]Tasa de Falla'!CE45=0,"",'[1]Tasa de Falla'!CE45)</f>
      </c>
      <c r="P45" s="450">
        <f>IF('[1]Tasa de Falla'!CF45=0,"",'[1]Tasa de Falla'!CF45)</f>
      </c>
      <c r="Q45" s="450">
        <f>IF('[1]Tasa de Falla'!CG45=0,"",'[1]Tasa de Falla'!CG45)</f>
      </c>
      <c r="R45" s="450">
        <f>IF('[1]Tasa de Falla'!CH45=0,"",'[1]Tasa de Falla'!CH45)</f>
      </c>
      <c r="S45" s="444"/>
      <c r="T45" s="445"/>
    </row>
    <row r="46" spans="2:20" s="432" customFormat="1" ht="19.5" customHeight="1">
      <c r="B46" s="433"/>
      <c r="C46" s="446">
        <f>'[1]Tasa de Falla'!C46</f>
        <v>30</v>
      </c>
      <c r="D46" s="451" t="str">
        <f>'[1]Tasa de Falla'!D46</f>
        <v>SAN JUANCITO - SAN PEDRO JUJUY</v>
      </c>
      <c r="E46" s="451">
        <f>'[1]Tasa de Falla'!E46</f>
        <v>132</v>
      </c>
      <c r="F46" s="452">
        <f>'[1]Tasa de Falla'!F46</f>
        <v>27</v>
      </c>
      <c r="G46" s="449">
        <f>IF('[1]Tasa de Falla'!BW46=0,"",'[1]Tasa de Falla'!BW46)</f>
        <v>1</v>
      </c>
      <c r="H46" s="449">
        <f>IF('[1]Tasa de Falla'!BX46=0,"",'[1]Tasa de Falla'!BX46)</f>
      </c>
      <c r="I46" s="449">
        <f>IF('[1]Tasa de Falla'!BY46=0,"",'[1]Tasa de Falla'!BY46)</f>
      </c>
      <c r="J46" s="449">
        <f>IF('[1]Tasa de Falla'!BZ46=0,"",'[1]Tasa de Falla'!BZ46)</f>
      </c>
      <c r="K46" s="449">
        <f>IF('[1]Tasa de Falla'!CA46=0,"",'[1]Tasa de Falla'!CA46)</f>
      </c>
      <c r="L46" s="449">
        <f>IF('[1]Tasa de Falla'!CB46=0,"",'[1]Tasa de Falla'!CB46)</f>
      </c>
      <c r="M46" s="449">
        <f>IF('[1]Tasa de Falla'!CC46=0,"",'[1]Tasa de Falla'!CC46)</f>
        <v>1</v>
      </c>
      <c r="N46" s="449">
        <f>IF('[1]Tasa de Falla'!CD46=0,"",'[1]Tasa de Falla'!CD46)</f>
      </c>
      <c r="O46" s="449">
        <f>IF('[1]Tasa de Falla'!CE46=0,"",'[1]Tasa de Falla'!CE46)</f>
      </c>
      <c r="P46" s="449">
        <f>IF('[1]Tasa de Falla'!CF46=0,"",'[1]Tasa de Falla'!CF46)</f>
        <v>1</v>
      </c>
      <c r="Q46" s="449">
        <f>IF('[1]Tasa de Falla'!CG46=0,"",'[1]Tasa de Falla'!CG46)</f>
      </c>
      <c r="R46" s="449">
        <f>IF('[1]Tasa de Falla'!CH46=0,"",'[1]Tasa de Falla'!CH46)</f>
      </c>
      <c r="S46" s="444"/>
      <c r="T46" s="445"/>
    </row>
    <row r="47" spans="2:20" s="432" customFormat="1" ht="19.5" customHeight="1">
      <c r="B47" s="433"/>
      <c r="C47" s="440">
        <f>'[1]Tasa de Falla'!C47</f>
        <v>31</v>
      </c>
      <c r="D47" s="441" t="str">
        <f>'[1]Tasa de Falla'!D47</f>
        <v>SAN MARTIN - CATAMARCA</v>
      </c>
      <c r="E47" s="441">
        <f>'[1]Tasa de Falla'!E47</f>
        <v>132</v>
      </c>
      <c r="F47" s="442">
        <f>'[1]Tasa de Falla'!F47</f>
        <v>88</v>
      </c>
      <c r="G47" s="450">
        <f>IF('[1]Tasa de Falla'!BW47=0,"",'[1]Tasa de Falla'!BW47)</f>
      </c>
      <c r="H47" s="450">
        <f>IF('[1]Tasa de Falla'!BX47=0,"",'[1]Tasa de Falla'!BX47)</f>
      </c>
      <c r="I47" s="450">
        <f>IF('[1]Tasa de Falla'!BY47=0,"",'[1]Tasa de Falla'!BY47)</f>
      </c>
      <c r="J47" s="450">
        <f>IF('[1]Tasa de Falla'!BZ47=0,"",'[1]Tasa de Falla'!BZ47)</f>
      </c>
      <c r="K47" s="450">
        <f>IF('[1]Tasa de Falla'!CA47=0,"",'[1]Tasa de Falla'!CA47)</f>
      </c>
      <c r="L47" s="450">
        <f>IF('[1]Tasa de Falla'!CB47=0,"",'[1]Tasa de Falla'!CB47)</f>
      </c>
      <c r="M47" s="450">
        <f>IF('[1]Tasa de Falla'!CC47=0,"",'[1]Tasa de Falla'!CC47)</f>
        <v>1</v>
      </c>
      <c r="N47" s="450">
        <f>IF('[1]Tasa de Falla'!CD47=0,"",'[1]Tasa de Falla'!CD47)</f>
      </c>
      <c r="O47" s="450">
        <f>IF('[1]Tasa de Falla'!CE47=0,"",'[1]Tasa de Falla'!CE47)</f>
      </c>
      <c r="P47" s="450">
        <f>IF('[1]Tasa de Falla'!CF47=0,"",'[1]Tasa de Falla'!CF47)</f>
      </c>
      <c r="Q47" s="450">
        <f>IF('[1]Tasa de Falla'!CG47=0,"",'[1]Tasa de Falla'!CG47)</f>
      </c>
      <c r="R47" s="450">
        <f>IF('[1]Tasa de Falla'!CH47=0,"",'[1]Tasa de Falla'!CH47)</f>
      </c>
      <c r="S47" s="444"/>
      <c r="T47" s="445"/>
    </row>
    <row r="48" spans="2:20" s="432" customFormat="1" ht="19.5" customHeight="1">
      <c r="B48" s="433"/>
      <c r="C48" s="446">
        <f>'[1]Tasa de Falla'!C48</f>
        <v>32</v>
      </c>
      <c r="D48" s="451" t="str">
        <f>'[1]Tasa de Falla'!D48</f>
        <v>SAN MARTIN - RECREO</v>
      </c>
      <c r="E48" s="451">
        <f>'[1]Tasa de Falla'!E48</f>
        <v>132</v>
      </c>
      <c r="F48" s="452">
        <f>'[1]Tasa de Falla'!F48</f>
        <v>115</v>
      </c>
      <c r="G48" s="449">
        <f>IF('[1]Tasa de Falla'!BW48=0,"",'[1]Tasa de Falla'!BW48)</f>
      </c>
      <c r="H48" s="449">
        <f>IF('[1]Tasa de Falla'!BX48=0,"",'[1]Tasa de Falla'!BX48)</f>
      </c>
      <c r="I48" s="449">
        <f>IF('[1]Tasa de Falla'!BY48=0,"",'[1]Tasa de Falla'!BY48)</f>
      </c>
      <c r="J48" s="449">
        <f>IF('[1]Tasa de Falla'!BZ48=0,"",'[1]Tasa de Falla'!BZ48)</f>
      </c>
      <c r="K48" s="449">
        <f>IF('[1]Tasa de Falla'!CA48=0,"",'[1]Tasa de Falla'!CA48)</f>
        <v>1</v>
      </c>
      <c r="L48" s="449">
        <f>IF('[1]Tasa de Falla'!CB48=0,"",'[1]Tasa de Falla'!CB48)</f>
      </c>
      <c r="M48" s="449">
        <f>IF('[1]Tasa de Falla'!CC48=0,"",'[1]Tasa de Falla'!CC48)</f>
      </c>
      <c r="N48" s="449">
        <f>IF('[1]Tasa de Falla'!CD48=0,"",'[1]Tasa de Falla'!CD48)</f>
      </c>
      <c r="O48" s="449">
        <f>IF('[1]Tasa de Falla'!CE48=0,"",'[1]Tasa de Falla'!CE48)</f>
      </c>
      <c r="P48" s="449">
        <f>IF('[1]Tasa de Falla'!CF48=0,"",'[1]Tasa de Falla'!CF48)</f>
      </c>
      <c r="Q48" s="449">
        <f>IF('[1]Tasa de Falla'!CG48=0,"",'[1]Tasa de Falla'!CG48)</f>
      </c>
      <c r="R48" s="449">
        <f>IF('[1]Tasa de Falla'!CH48=0,"",'[1]Tasa de Falla'!CH48)</f>
      </c>
      <c r="S48" s="444"/>
      <c r="T48" s="445"/>
    </row>
    <row r="49" spans="2:20" s="432" customFormat="1" ht="19.5" customHeight="1">
      <c r="B49" s="433"/>
      <c r="C49" s="440">
        <f>'[1]Tasa de Falla'!C49</f>
        <v>33</v>
      </c>
      <c r="D49" s="441" t="str">
        <f>'[1]Tasa de Falla'!D49</f>
        <v>SAN MARTIN C. - LA RIOJA</v>
      </c>
      <c r="E49" s="441">
        <f>'[1]Tasa de Falla'!E49</f>
        <v>132</v>
      </c>
      <c r="F49" s="442">
        <f>'[1]Tasa de Falla'!F49</f>
        <v>105</v>
      </c>
      <c r="G49" s="450">
        <f>IF('[1]Tasa de Falla'!BW49=0,"",'[1]Tasa de Falla'!BW49)</f>
      </c>
      <c r="H49" s="450">
        <f>IF('[1]Tasa de Falla'!BX49=0,"",'[1]Tasa de Falla'!BX49)</f>
      </c>
      <c r="I49" s="450">
        <f>IF('[1]Tasa de Falla'!BY49=0,"",'[1]Tasa de Falla'!BY49)</f>
      </c>
      <c r="J49" s="450">
        <f>IF('[1]Tasa de Falla'!BZ49=0,"",'[1]Tasa de Falla'!BZ49)</f>
      </c>
      <c r="K49" s="450">
        <f>IF('[1]Tasa de Falla'!CA49=0,"",'[1]Tasa de Falla'!CA49)</f>
      </c>
      <c r="L49" s="450">
        <f>IF('[1]Tasa de Falla'!CB49=0,"",'[1]Tasa de Falla'!CB49)</f>
      </c>
      <c r="M49" s="450">
        <f>IF('[1]Tasa de Falla'!CC49=0,"",'[1]Tasa de Falla'!CC49)</f>
      </c>
      <c r="N49" s="450">
        <f>IF('[1]Tasa de Falla'!CD49=0,"",'[1]Tasa de Falla'!CD49)</f>
      </c>
      <c r="O49" s="450">
        <f>IF('[1]Tasa de Falla'!CE49=0,"",'[1]Tasa de Falla'!CE49)</f>
      </c>
      <c r="P49" s="450">
        <f>IF('[1]Tasa de Falla'!CF49=0,"",'[1]Tasa de Falla'!CF49)</f>
      </c>
      <c r="Q49" s="450">
        <f>IF('[1]Tasa de Falla'!CG49=0,"",'[1]Tasa de Falla'!CG49)</f>
      </c>
      <c r="R49" s="450">
        <f>IF('[1]Tasa de Falla'!CH49=0,"",'[1]Tasa de Falla'!CH49)</f>
      </c>
      <c r="S49" s="444"/>
      <c r="T49" s="445"/>
    </row>
    <row r="50" spans="2:20" s="432" customFormat="1" ht="19.5" customHeight="1">
      <c r="B50" s="433"/>
      <c r="C50" s="446">
        <f>'[1]Tasa de Falla'!C50</f>
        <v>34</v>
      </c>
      <c r="D50" s="451" t="str">
        <f>'[1]Tasa de Falla'!D50</f>
        <v>SAN PEDRO JUJUY - LIBERTADOR NOA.</v>
      </c>
      <c r="E50" s="451">
        <f>'[1]Tasa de Falla'!E50</f>
        <v>132</v>
      </c>
      <c r="F50" s="452">
        <f>'[1]Tasa de Falla'!F50</f>
        <v>49</v>
      </c>
      <c r="G50" s="449">
        <f>IF('[1]Tasa de Falla'!BW50=0,"",'[1]Tasa de Falla'!BW50)</f>
        <v>1</v>
      </c>
      <c r="H50" s="449">
        <f>IF('[1]Tasa de Falla'!BX50=0,"",'[1]Tasa de Falla'!BX50)</f>
        <v>1</v>
      </c>
      <c r="I50" s="449">
        <f>IF('[1]Tasa de Falla'!BY50=0,"",'[1]Tasa de Falla'!BY50)</f>
      </c>
      <c r="J50" s="449">
        <f>IF('[1]Tasa de Falla'!BZ50=0,"",'[1]Tasa de Falla'!BZ50)</f>
      </c>
      <c r="K50" s="449">
        <f>IF('[1]Tasa de Falla'!CA50=0,"",'[1]Tasa de Falla'!CA50)</f>
      </c>
      <c r="L50" s="449">
        <f>IF('[1]Tasa de Falla'!CB50=0,"",'[1]Tasa de Falla'!CB50)</f>
      </c>
      <c r="M50" s="449">
        <f>IF('[1]Tasa de Falla'!CC50=0,"",'[1]Tasa de Falla'!CC50)</f>
      </c>
      <c r="N50" s="449">
        <f>IF('[1]Tasa de Falla'!CD50=0,"",'[1]Tasa de Falla'!CD50)</f>
      </c>
      <c r="O50" s="449">
        <f>IF('[1]Tasa de Falla'!CE50=0,"",'[1]Tasa de Falla'!CE50)</f>
        <v>1</v>
      </c>
      <c r="P50" s="449">
        <f>IF('[1]Tasa de Falla'!CF50=0,"",'[1]Tasa de Falla'!CF50)</f>
      </c>
      <c r="Q50" s="449">
        <f>IF('[1]Tasa de Falla'!CG50=0,"",'[1]Tasa de Falla'!CG50)</f>
      </c>
      <c r="R50" s="449">
        <f>IF('[1]Tasa de Falla'!CH50=0,"",'[1]Tasa de Falla'!CH50)</f>
      </c>
      <c r="S50" s="444"/>
      <c r="T50" s="445"/>
    </row>
    <row r="51" spans="2:20" s="432" customFormat="1" ht="19.5" customHeight="1">
      <c r="B51" s="433"/>
      <c r="C51" s="440">
        <f>'[1]Tasa de Falla'!C51</f>
        <v>35</v>
      </c>
      <c r="D51" s="441" t="str">
        <f>'[1]Tasa de Falla'!D51</f>
        <v>TUCUMAN NORTE - EL BRACHO</v>
      </c>
      <c r="E51" s="441">
        <f>'[1]Tasa de Falla'!E51</f>
        <v>132</v>
      </c>
      <c r="F51" s="442">
        <f>'[1]Tasa de Falla'!F51</f>
        <v>31.5</v>
      </c>
      <c r="G51" s="450">
        <f>IF('[1]Tasa de Falla'!BW51=0,"",'[1]Tasa de Falla'!BW51)</f>
      </c>
      <c r="H51" s="450">
        <f>IF('[1]Tasa de Falla'!BX51=0,"",'[1]Tasa de Falla'!BX51)</f>
      </c>
      <c r="I51" s="450">
        <f>IF('[1]Tasa de Falla'!BY51=0,"",'[1]Tasa de Falla'!BY51)</f>
      </c>
      <c r="J51" s="450">
        <f>IF('[1]Tasa de Falla'!BZ51=0,"",'[1]Tasa de Falla'!BZ51)</f>
      </c>
      <c r="K51" s="450">
        <f>IF('[1]Tasa de Falla'!CA51=0,"",'[1]Tasa de Falla'!CA51)</f>
      </c>
      <c r="L51" s="450">
        <f>IF('[1]Tasa de Falla'!CB51=0,"",'[1]Tasa de Falla'!CB51)</f>
        <v>1</v>
      </c>
      <c r="M51" s="450">
        <f>IF('[1]Tasa de Falla'!CC51=0,"",'[1]Tasa de Falla'!CC51)</f>
      </c>
      <c r="N51" s="450">
        <f>IF('[1]Tasa de Falla'!CD51=0,"",'[1]Tasa de Falla'!CD51)</f>
      </c>
      <c r="O51" s="450">
        <f>IF('[1]Tasa de Falla'!CE51=0,"",'[1]Tasa de Falla'!CE51)</f>
      </c>
      <c r="P51" s="450">
        <f>IF('[1]Tasa de Falla'!CF51=0,"",'[1]Tasa de Falla'!CF51)</f>
        <v>2</v>
      </c>
      <c r="Q51" s="450">
        <f>IF('[1]Tasa de Falla'!CG51=0,"",'[1]Tasa de Falla'!CG51)</f>
      </c>
      <c r="R51" s="450">
        <f>IF('[1]Tasa de Falla'!CH51=0,"",'[1]Tasa de Falla'!CH51)</f>
      </c>
      <c r="S51" s="444"/>
      <c r="T51" s="445"/>
    </row>
    <row r="52" spans="2:20" s="432" customFormat="1" ht="19.5" customHeight="1">
      <c r="B52" s="433"/>
      <c r="C52" s="446">
        <f>'[1]Tasa de Falla'!C52</f>
        <v>36</v>
      </c>
      <c r="D52" s="451" t="str">
        <f>'[1]Tasa de Falla'!D52</f>
        <v>C.H. EL CADILLAL - TUCUMAN NORTE</v>
      </c>
      <c r="E52" s="451">
        <f>'[1]Tasa de Falla'!E52</f>
        <v>132</v>
      </c>
      <c r="F52" s="452">
        <f>'[1]Tasa de Falla'!F52</f>
        <v>21.78</v>
      </c>
      <c r="G52" s="449">
        <f>IF('[1]Tasa de Falla'!BW52=0,"",'[1]Tasa de Falla'!BW52)</f>
      </c>
      <c r="H52" s="449">
        <f>IF('[1]Tasa de Falla'!BX52=0,"",'[1]Tasa de Falla'!BX52)</f>
      </c>
      <c r="I52" s="449">
        <f>IF('[1]Tasa de Falla'!BY52=0,"",'[1]Tasa de Falla'!BY52)</f>
      </c>
      <c r="J52" s="449">
        <f>IF('[1]Tasa de Falla'!BZ52=0,"",'[1]Tasa de Falla'!BZ52)</f>
        <v>1</v>
      </c>
      <c r="K52" s="449">
        <f>IF('[1]Tasa de Falla'!CA52=0,"",'[1]Tasa de Falla'!CA52)</f>
      </c>
      <c r="L52" s="449">
        <f>IF('[1]Tasa de Falla'!CB52=0,"",'[1]Tasa de Falla'!CB52)</f>
      </c>
      <c r="M52" s="449">
        <f>IF('[1]Tasa de Falla'!CC52=0,"",'[1]Tasa de Falla'!CC52)</f>
      </c>
      <c r="N52" s="449">
        <f>IF('[1]Tasa de Falla'!CD52=0,"",'[1]Tasa de Falla'!CD52)</f>
      </c>
      <c r="O52" s="449">
        <f>IF('[1]Tasa de Falla'!CE52=0,"",'[1]Tasa de Falla'!CE52)</f>
      </c>
      <c r="P52" s="449">
        <f>IF('[1]Tasa de Falla'!CF52=0,"",'[1]Tasa de Falla'!CF52)</f>
      </c>
      <c r="Q52" s="449">
        <f>IF('[1]Tasa de Falla'!CG52=0,"",'[1]Tasa de Falla'!CG52)</f>
      </c>
      <c r="R52" s="449">
        <f>IF('[1]Tasa de Falla'!CH52=0,"",'[1]Tasa de Falla'!CH52)</f>
      </c>
      <c r="S52" s="444"/>
      <c r="T52" s="445"/>
    </row>
    <row r="53" spans="2:20" s="432" customFormat="1" ht="19.5" customHeight="1">
      <c r="B53" s="433"/>
      <c r="C53" s="440">
        <f>'[1]Tasa de Falla'!C53</f>
        <v>37</v>
      </c>
      <c r="D53" s="441" t="str">
        <f>'[1]Tasa de Falla'!D53</f>
        <v>TUCUMAN NORTE - CABRA CORRAL</v>
      </c>
      <c r="E53" s="441">
        <f>'[1]Tasa de Falla'!E53</f>
        <v>132</v>
      </c>
      <c r="F53" s="442">
        <f>'[1]Tasa de Falla'!F53</f>
        <v>190</v>
      </c>
      <c r="G53" s="450" t="str">
        <f>IF('[1]Tasa de Falla'!BW53=0,"",'[1]Tasa de Falla'!BW53)</f>
        <v>XXXX</v>
      </c>
      <c r="H53" s="450" t="str">
        <f>IF('[1]Tasa de Falla'!BX53=0,"",'[1]Tasa de Falla'!BX53)</f>
        <v>XXXX</v>
      </c>
      <c r="I53" s="450" t="str">
        <f>IF('[1]Tasa de Falla'!BY53=0,"",'[1]Tasa de Falla'!BY53)</f>
        <v>XXXX</v>
      </c>
      <c r="J53" s="450" t="str">
        <f>IF('[1]Tasa de Falla'!BZ53=0,"",'[1]Tasa de Falla'!BZ53)</f>
        <v>XXXX</v>
      </c>
      <c r="K53" s="450" t="str">
        <f>IF('[1]Tasa de Falla'!CA53=0,"",'[1]Tasa de Falla'!CA53)</f>
        <v>XXXX</v>
      </c>
      <c r="L53" s="450" t="str">
        <f>IF('[1]Tasa de Falla'!CB53=0,"",'[1]Tasa de Falla'!CB53)</f>
        <v>XXXX</v>
      </c>
      <c r="M53" s="450" t="str">
        <f>IF('[1]Tasa de Falla'!CC53=0,"",'[1]Tasa de Falla'!CC53)</f>
        <v>XXXX</v>
      </c>
      <c r="N53" s="450" t="str">
        <f>IF('[1]Tasa de Falla'!CD53=0,"",'[1]Tasa de Falla'!CD53)</f>
        <v>XXXX</v>
      </c>
      <c r="O53" s="450" t="str">
        <f>IF('[1]Tasa de Falla'!CE53=0,"",'[1]Tasa de Falla'!CE53)</f>
        <v>XXXX</v>
      </c>
      <c r="P53" s="450" t="str">
        <f>IF('[1]Tasa de Falla'!CF53=0,"",'[1]Tasa de Falla'!CF53)</f>
        <v>XXXX</v>
      </c>
      <c r="Q53" s="450" t="str">
        <f>IF('[1]Tasa de Falla'!CG53=0,"",'[1]Tasa de Falla'!CG53)</f>
        <v>XXXX</v>
      </c>
      <c r="R53" s="450" t="str">
        <f>IF('[1]Tasa de Falla'!CH53=0,"",'[1]Tasa de Falla'!CH53)</f>
        <v>XXXX</v>
      </c>
      <c r="S53" s="444"/>
      <c r="T53" s="445"/>
    </row>
    <row r="54" spans="2:20" s="432" customFormat="1" ht="19.5" customHeight="1">
      <c r="B54" s="433"/>
      <c r="C54" s="446">
        <f>'[1]Tasa de Falla'!C54</f>
        <v>38</v>
      </c>
      <c r="D54" s="451" t="str">
        <f>'[1]Tasa de Falla'!D54</f>
        <v>METAN - TUCUMAN NORTE</v>
      </c>
      <c r="E54" s="451">
        <f>'[1]Tasa de Falla'!E54</f>
        <v>132</v>
      </c>
      <c r="F54" s="452">
        <f>'[1]Tasa de Falla'!F54</f>
        <v>155.6</v>
      </c>
      <c r="G54" s="449">
        <f>IF('[1]Tasa de Falla'!BW54=0,"",'[1]Tasa de Falla'!BW54)</f>
        <v>1</v>
      </c>
      <c r="H54" s="449">
        <f>IF('[1]Tasa de Falla'!BX54=0,"",'[1]Tasa de Falla'!BX54)</f>
      </c>
      <c r="I54" s="449">
        <f>IF('[1]Tasa de Falla'!BY54=0,"",'[1]Tasa de Falla'!BY54)</f>
        <v>1</v>
      </c>
      <c r="J54" s="449">
        <f>IF('[1]Tasa de Falla'!BZ54=0,"",'[1]Tasa de Falla'!BZ54)</f>
      </c>
      <c r="K54" s="449">
        <f>IF('[1]Tasa de Falla'!CA54=0,"",'[1]Tasa de Falla'!CA54)</f>
      </c>
      <c r="L54" s="449">
        <f>IF('[1]Tasa de Falla'!CB54=0,"",'[1]Tasa de Falla'!CB54)</f>
      </c>
      <c r="M54" s="449">
        <f>IF('[1]Tasa de Falla'!CC54=0,"",'[1]Tasa de Falla'!CC54)</f>
        <v>1</v>
      </c>
      <c r="N54" s="449">
        <f>IF('[1]Tasa de Falla'!CD54=0,"",'[1]Tasa de Falla'!CD54)</f>
        <v>1</v>
      </c>
      <c r="O54" s="449">
        <f>IF('[1]Tasa de Falla'!CE54=0,"",'[1]Tasa de Falla'!CE54)</f>
      </c>
      <c r="P54" s="449">
        <f>IF('[1]Tasa de Falla'!CF54=0,"",'[1]Tasa de Falla'!CF54)</f>
      </c>
      <c r="Q54" s="449">
        <f>IF('[1]Tasa de Falla'!CG54=0,"",'[1]Tasa de Falla'!CG54)</f>
      </c>
      <c r="R54" s="449">
        <f>IF('[1]Tasa de Falla'!CH54=0,"",'[1]Tasa de Falla'!CH54)</f>
      </c>
      <c r="S54" s="444"/>
      <c r="T54" s="445"/>
    </row>
    <row r="55" spans="2:20" s="432" customFormat="1" ht="19.5" customHeight="1">
      <c r="B55" s="433"/>
      <c r="C55" s="440">
        <f>'[1]Tasa de Falla'!C55</f>
        <v>39</v>
      </c>
      <c r="D55" s="441" t="str">
        <f>'[1]Tasa de Falla'!D55</f>
        <v>SARMIENTO - TUCUMAN NORTE (O.F.)</v>
      </c>
      <c r="E55" s="441">
        <f>'[1]Tasa de Falla'!E55</f>
        <v>132</v>
      </c>
      <c r="F55" s="442">
        <f>'[1]Tasa de Falla'!F55</f>
        <v>3.3</v>
      </c>
      <c r="G55" s="450">
        <f>IF('[1]Tasa de Falla'!BW55=0,"",'[1]Tasa de Falla'!BW55)</f>
      </c>
      <c r="H55" s="450">
        <f>IF('[1]Tasa de Falla'!BX55=0,"",'[1]Tasa de Falla'!BX55)</f>
      </c>
      <c r="I55" s="450">
        <f>IF('[1]Tasa de Falla'!BY55=0,"",'[1]Tasa de Falla'!BY55)</f>
      </c>
      <c r="J55" s="450">
        <f>IF('[1]Tasa de Falla'!BZ55=0,"",'[1]Tasa de Falla'!BZ55)</f>
      </c>
      <c r="K55" s="450">
        <f>IF('[1]Tasa de Falla'!CA55=0,"",'[1]Tasa de Falla'!CA55)</f>
      </c>
      <c r="L55" s="450">
        <f>IF('[1]Tasa de Falla'!CB55=0,"",'[1]Tasa de Falla'!CB55)</f>
      </c>
      <c r="M55" s="450">
        <f>IF('[1]Tasa de Falla'!CC55=0,"",'[1]Tasa de Falla'!CC55)</f>
      </c>
      <c r="N55" s="450">
        <f>IF('[1]Tasa de Falla'!CD55=0,"",'[1]Tasa de Falla'!CD55)</f>
      </c>
      <c r="O55" s="450">
        <f>IF('[1]Tasa de Falla'!CE55=0,"",'[1]Tasa de Falla'!CE55)</f>
      </c>
      <c r="P55" s="450">
        <f>IF('[1]Tasa de Falla'!CF55=0,"",'[1]Tasa de Falla'!CF55)</f>
      </c>
      <c r="Q55" s="450">
        <f>IF('[1]Tasa de Falla'!CG55=0,"",'[1]Tasa de Falla'!CG55)</f>
      </c>
      <c r="R55" s="450">
        <f>IF('[1]Tasa de Falla'!CH55=0,"",'[1]Tasa de Falla'!CH55)</f>
      </c>
      <c r="S55" s="444"/>
      <c r="T55" s="445"/>
    </row>
    <row r="56" spans="2:20" s="432" customFormat="1" ht="19.5" customHeight="1">
      <c r="B56" s="433"/>
      <c r="C56" s="446">
        <f>'[1]Tasa de Falla'!C56</f>
        <v>40</v>
      </c>
      <c r="D56" s="451" t="str">
        <f>'[1]Tasa de Falla'!D56</f>
        <v>TUCUMAN OESTE - TUCUMAN NORTE</v>
      </c>
      <c r="E56" s="451">
        <f>'[1]Tasa de Falla'!E56</f>
        <v>132</v>
      </c>
      <c r="F56" s="452">
        <f>'[1]Tasa de Falla'!F56</f>
        <v>7</v>
      </c>
      <c r="G56" s="449">
        <f>IF('[1]Tasa de Falla'!BW56=0,"",'[1]Tasa de Falla'!BW56)</f>
      </c>
      <c r="H56" s="449">
        <f>IF('[1]Tasa de Falla'!BX56=0,"",'[1]Tasa de Falla'!BX56)</f>
      </c>
      <c r="I56" s="449">
        <f>IF('[1]Tasa de Falla'!BY56=0,"",'[1]Tasa de Falla'!BY56)</f>
      </c>
      <c r="J56" s="449">
        <f>IF('[1]Tasa de Falla'!BZ56=0,"",'[1]Tasa de Falla'!BZ56)</f>
      </c>
      <c r="K56" s="449">
        <f>IF('[1]Tasa de Falla'!CA56=0,"",'[1]Tasa de Falla'!CA56)</f>
      </c>
      <c r="L56" s="449">
        <f>IF('[1]Tasa de Falla'!CB56=0,"",'[1]Tasa de Falla'!CB56)</f>
      </c>
      <c r="M56" s="449">
        <f>IF('[1]Tasa de Falla'!CC56=0,"",'[1]Tasa de Falla'!CC56)</f>
      </c>
      <c r="N56" s="449">
        <f>IF('[1]Tasa de Falla'!CD56=0,"",'[1]Tasa de Falla'!CD56)</f>
      </c>
      <c r="O56" s="449">
        <f>IF('[1]Tasa de Falla'!CE56=0,"",'[1]Tasa de Falla'!CE56)</f>
      </c>
      <c r="P56" s="449">
        <f>IF('[1]Tasa de Falla'!CF56=0,"",'[1]Tasa de Falla'!CF56)</f>
      </c>
      <c r="Q56" s="449">
        <f>IF('[1]Tasa de Falla'!CG56=0,"",'[1]Tasa de Falla'!CG56)</f>
      </c>
      <c r="R56" s="449">
        <f>IF('[1]Tasa de Falla'!CH56=0,"",'[1]Tasa de Falla'!CH56)</f>
      </c>
      <c r="S56" s="444"/>
      <c r="T56" s="445"/>
    </row>
    <row r="57" spans="2:20" s="432" customFormat="1" ht="19.5" customHeight="1">
      <c r="B57" s="433"/>
      <c r="C57" s="440">
        <f>'[1]Tasa de Falla'!C57</f>
        <v>41</v>
      </c>
      <c r="D57" s="441" t="str">
        <f>'[1]Tasa de Falla'!D57</f>
        <v>AGUILARES - VILLA QUINTEROS</v>
      </c>
      <c r="E57" s="441">
        <f>'[1]Tasa de Falla'!E57</f>
        <v>132</v>
      </c>
      <c r="F57" s="442">
        <f>'[1]Tasa de Falla'!F57</f>
        <v>21</v>
      </c>
      <c r="G57" s="450" t="str">
        <f>IF('[1]Tasa de Falla'!BW57=0,"",'[1]Tasa de Falla'!BW57)</f>
        <v>I</v>
      </c>
      <c r="H57" s="450">
        <f>IF('[1]Tasa de Falla'!BX57=0,"",'[1]Tasa de Falla'!BX57)</f>
      </c>
      <c r="I57" s="450">
        <f>IF('[1]Tasa de Falla'!BY57=0,"",'[1]Tasa de Falla'!BY57)</f>
      </c>
      <c r="J57" s="450">
        <f>IF('[1]Tasa de Falla'!BZ57=0,"",'[1]Tasa de Falla'!BZ57)</f>
      </c>
      <c r="K57" s="450">
        <f>IF('[1]Tasa de Falla'!CA57=0,"",'[1]Tasa de Falla'!CA57)</f>
      </c>
      <c r="L57" s="450">
        <f>IF('[1]Tasa de Falla'!CB57=0,"",'[1]Tasa de Falla'!CB57)</f>
      </c>
      <c r="M57" s="450">
        <f>IF('[1]Tasa de Falla'!CC57=0,"",'[1]Tasa de Falla'!CC57)</f>
      </c>
      <c r="N57" s="450">
        <f>IF('[1]Tasa de Falla'!CD57=0,"",'[1]Tasa de Falla'!CD57)</f>
        <v>1</v>
      </c>
      <c r="O57" s="450">
        <f>IF('[1]Tasa de Falla'!CE57=0,"",'[1]Tasa de Falla'!CE57)</f>
      </c>
      <c r="P57" s="450">
        <f>IF('[1]Tasa de Falla'!CF57=0,"",'[1]Tasa de Falla'!CF57)</f>
      </c>
      <c r="Q57" s="450">
        <f>IF('[1]Tasa de Falla'!CG57=0,"",'[1]Tasa de Falla'!CG57)</f>
      </c>
      <c r="R57" s="450">
        <f>IF('[1]Tasa de Falla'!CH57=0,"",'[1]Tasa de Falla'!CH57)</f>
      </c>
      <c r="S57" s="444"/>
      <c r="T57" s="445"/>
    </row>
    <row r="58" spans="2:20" s="432" customFormat="1" ht="19.5" customHeight="1">
      <c r="B58" s="433"/>
      <c r="C58" s="446">
        <f>'[1]Tasa de Falla'!C58</f>
        <v>42</v>
      </c>
      <c r="D58" s="447" t="str">
        <f>'[1]Tasa de Falla'!D58</f>
        <v>C.H. PUEBLO VIEJO - VILLA QUINTEROS </v>
      </c>
      <c r="E58" s="447">
        <f>'[1]Tasa de Falla'!E58</f>
        <v>132</v>
      </c>
      <c r="F58" s="448">
        <f>'[1]Tasa de Falla'!F58</f>
        <v>24.5</v>
      </c>
      <c r="G58" s="449" t="str">
        <f>IF('[1]Tasa de Falla'!BW58=0,"",'[1]Tasa de Falla'!BW58)</f>
        <v>I</v>
      </c>
      <c r="H58" s="449">
        <f>IF('[1]Tasa de Falla'!BX58=0,"",'[1]Tasa de Falla'!BX58)</f>
      </c>
      <c r="I58" s="449">
        <f>IF('[1]Tasa de Falla'!BY58=0,"",'[1]Tasa de Falla'!BY58)</f>
      </c>
      <c r="J58" s="449">
        <f>IF('[1]Tasa de Falla'!BZ58=0,"",'[1]Tasa de Falla'!BZ58)</f>
      </c>
      <c r="K58" s="449">
        <f>IF('[1]Tasa de Falla'!CA58=0,"",'[1]Tasa de Falla'!CA58)</f>
      </c>
      <c r="L58" s="449">
        <f>IF('[1]Tasa de Falla'!CB58=0,"",'[1]Tasa de Falla'!CB58)</f>
      </c>
      <c r="M58" s="449">
        <f>IF('[1]Tasa de Falla'!CC58=0,"",'[1]Tasa de Falla'!CC58)</f>
      </c>
      <c r="N58" s="449">
        <f>IF('[1]Tasa de Falla'!CD58=0,"",'[1]Tasa de Falla'!CD58)</f>
      </c>
      <c r="O58" s="449">
        <f>IF('[1]Tasa de Falla'!CE58=0,"",'[1]Tasa de Falla'!CE58)</f>
      </c>
      <c r="P58" s="449">
        <f>IF('[1]Tasa de Falla'!CF58=0,"",'[1]Tasa de Falla'!CF58)</f>
        <v>1</v>
      </c>
      <c r="Q58" s="449">
        <f>IF('[1]Tasa de Falla'!CG58=0,"",'[1]Tasa de Falla'!CG58)</f>
      </c>
      <c r="R58" s="449">
        <f>IF('[1]Tasa de Falla'!CH58=0,"",'[1]Tasa de Falla'!CH58)</f>
      </c>
      <c r="S58" s="444"/>
      <c r="T58" s="445"/>
    </row>
    <row r="59" spans="2:20" s="432" customFormat="1" ht="19.5" customHeight="1">
      <c r="B59" s="433"/>
      <c r="C59" s="440">
        <f>'[1]Tasa de Falla'!C59</f>
        <v>43</v>
      </c>
      <c r="D59" s="441" t="str">
        <f>'[1]Tasa de Falla'!D59</f>
        <v>C.H. RIO HONDO - VILLA QUINTEROS</v>
      </c>
      <c r="E59" s="441">
        <f>'[1]Tasa de Falla'!E59</f>
        <v>132</v>
      </c>
      <c r="F59" s="442">
        <f>'[1]Tasa de Falla'!F59</f>
        <v>75.4</v>
      </c>
      <c r="G59" s="450">
        <f>IF('[1]Tasa de Falla'!BW59=0,"",'[1]Tasa de Falla'!BW59)</f>
      </c>
      <c r="H59" s="450">
        <f>IF('[1]Tasa de Falla'!BX59=0,"",'[1]Tasa de Falla'!BX59)</f>
        <v>1</v>
      </c>
      <c r="I59" s="450">
        <f>IF('[1]Tasa de Falla'!BY59=0,"",'[1]Tasa de Falla'!BY59)</f>
      </c>
      <c r="J59" s="450">
        <f>IF('[1]Tasa de Falla'!BZ59=0,"",'[1]Tasa de Falla'!BZ59)</f>
      </c>
      <c r="K59" s="450">
        <f>IF('[1]Tasa de Falla'!CA59=0,"",'[1]Tasa de Falla'!CA59)</f>
        <v>1</v>
      </c>
      <c r="L59" s="450">
        <f>IF('[1]Tasa de Falla'!CB59=0,"",'[1]Tasa de Falla'!CB59)</f>
      </c>
      <c r="M59" s="450" t="str">
        <f>IF('[1]Tasa de Falla'!CC59=0,"",'[1]Tasa de Falla'!CC59)</f>
        <v>I</v>
      </c>
      <c r="N59" s="450">
        <f>IF('[1]Tasa de Falla'!CD59=0,"",'[1]Tasa de Falla'!CD59)</f>
      </c>
      <c r="O59" s="450">
        <f>IF('[1]Tasa de Falla'!CE59=0,"",'[1]Tasa de Falla'!CE59)</f>
      </c>
      <c r="P59" s="450">
        <f>IF('[1]Tasa de Falla'!CF59=0,"",'[1]Tasa de Falla'!CF59)</f>
      </c>
      <c r="Q59" s="450">
        <f>IF('[1]Tasa de Falla'!CG59=0,"",'[1]Tasa de Falla'!CG59)</f>
      </c>
      <c r="R59" s="450">
        <f>IF('[1]Tasa de Falla'!CH59=0,"",'[1]Tasa de Falla'!CH59)</f>
      </c>
      <c r="S59" s="444"/>
      <c r="T59" s="445"/>
    </row>
    <row r="60" spans="2:20" s="432" customFormat="1" ht="19.5" customHeight="1">
      <c r="B60" s="433"/>
      <c r="C60" s="446">
        <f>'[1]Tasa de Falla'!C60</f>
        <v>44</v>
      </c>
      <c r="D60" s="447" t="str">
        <f>'[1]Tasa de Falla'!D60</f>
        <v>C.H. RIO HONDO - SANTIAGO CENTRO</v>
      </c>
      <c r="E60" s="447">
        <f>'[1]Tasa de Falla'!E60</f>
        <v>132</v>
      </c>
      <c r="F60" s="448">
        <f>'[1]Tasa de Falla'!F60</f>
        <v>79</v>
      </c>
      <c r="G60" s="449">
        <f>IF('[1]Tasa de Falla'!BW60=0,"",'[1]Tasa de Falla'!BW60)</f>
      </c>
      <c r="H60" s="449">
        <f>IF('[1]Tasa de Falla'!BX60=0,"",'[1]Tasa de Falla'!BX60)</f>
      </c>
      <c r="I60" s="449">
        <f>IF('[1]Tasa de Falla'!BY60=0,"",'[1]Tasa de Falla'!BY60)</f>
      </c>
      <c r="J60" s="449">
        <f>IF('[1]Tasa de Falla'!BZ60=0,"",'[1]Tasa de Falla'!BZ60)</f>
      </c>
      <c r="K60" s="449">
        <f>IF('[1]Tasa de Falla'!CA60=0,"",'[1]Tasa de Falla'!CA60)</f>
      </c>
      <c r="L60" s="449">
        <f>IF('[1]Tasa de Falla'!CB60=0,"",'[1]Tasa de Falla'!CB60)</f>
      </c>
      <c r="M60" s="449">
        <f>IF('[1]Tasa de Falla'!CC60=0,"",'[1]Tasa de Falla'!CC60)</f>
      </c>
      <c r="N60" s="449">
        <f>IF('[1]Tasa de Falla'!CD60=0,"",'[1]Tasa de Falla'!CD60)</f>
      </c>
      <c r="O60" s="449">
        <f>IF('[1]Tasa de Falla'!CE60=0,"",'[1]Tasa de Falla'!CE60)</f>
      </c>
      <c r="P60" s="449">
        <f>IF('[1]Tasa de Falla'!CF60=0,"",'[1]Tasa de Falla'!CF60)</f>
      </c>
      <c r="Q60" s="449">
        <f>IF('[1]Tasa de Falla'!CG60=0,"",'[1]Tasa de Falla'!CG60)</f>
      </c>
      <c r="R60" s="449">
        <f>IF('[1]Tasa de Falla'!CH60=0,"",'[1]Tasa de Falla'!CH60)</f>
      </c>
      <c r="S60" s="444"/>
      <c r="T60" s="445"/>
    </row>
    <row r="61" spans="2:20" s="432" customFormat="1" ht="19.5" customHeight="1">
      <c r="B61" s="433"/>
      <c r="C61" s="440">
        <f>'[1]Tasa de Falla'!C61</f>
        <v>45</v>
      </c>
      <c r="D61" s="441" t="str">
        <f>'[1]Tasa de Falla'!D61</f>
        <v>C.H. RIO HONDO - EL BRACHO</v>
      </c>
      <c r="E61" s="441">
        <f>'[1]Tasa de Falla'!E61</f>
        <v>132</v>
      </c>
      <c r="F61" s="442">
        <f>'[1]Tasa de Falla'!F61</f>
        <v>80.66</v>
      </c>
      <c r="G61" s="450">
        <f>IF('[1]Tasa de Falla'!BW61=0,"",'[1]Tasa de Falla'!BW61)</f>
      </c>
      <c r="H61" s="450">
        <f>IF('[1]Tasa de Falla'!BX61=0,"",'[1]Tasa de Falla'!BX61)</f>
      </c>
      <c r="I61" s="450">
        <f>IF('[1]Tasa de Falla'!BY61=0,"",'[1]Tasa de Falla'!BY61)</f>
      </c>
      <c r="J61" s="450">
        <f>IF('[1]Tasa de Falla'!BZ61=0,"",'[1]Tasa de Falla'!BZ61)</f>
      </c>
      <c r="K61" s="450">
        <f>IF('[1]Tasa de Falla'!CA61=0,"",'[1]Tasa de Falla'!CA61)</f>
      </c>
      <c r="L61" s="450">
        <f>IF('[1]Tasa de Falla'!CB61=0,"",'[1]Tasa de Falla'!CB61)</f>
      </c>
      <c r="M61" s="450">
        <f>IF('[1]Tasa de Falla'!CC61=0,"",'[1]Tasa de Falla'!CC61)</f>
      </c>
      <c r="N61" s="450">
        <f>IF('[1]Tasa de Falla'!CD61=0,"",'[1]Tasa de Falla'!CD61)</f>
      </c>
      <c r="O61" s="450">
        <f>IF('[1]Tasa de Falla'!CE61=0,"",'[1]Tasa de Falla'!CE61)</f>
      </c>
      <c r="P61" s="450">
        <f>IF('[1]Tasa de Falla'!CF61=0,"",'[1]Tasa de Falla'!CF61)</f>
      </c>
      <c r="Q61" s="450">
        <f>IF('[1]Tasa de Falla'!CG61=0,"",'[1]Tasa de Falla'!CG61)</f>
      </c>
      <c r="R61" s="450">
        <f>IF('[1]Tasa de Falla'!CH61=0,"",'[1]Tasa de Falla'!CH61)</f>
      </c>
      <c r="S61" s="444"/>
      <c r="T61" s="445"/>
    </row>
    <row r="62" spans="2:20" s="432" customFormat="1" ht="19.5" customHeight="1">
      <c r="B62" s="433"/>
      <c r="C62" s="446">
        <f>'[1]Tasa de Falla'!C62</f>
        <v>46</v>
      </c>
      <c r="D62" s="447" t="str">
        <f>'[1]Tasa de Falla'!D62</f>
        <v>SALTA SUR - SALTA NORTE</v>
      </c>
      <c r="E62" s="447">
        <f>'[1]Tasa de Falla'!E62</f>
        <v>132</v>
      </c>
      <c r="F62" s="448">
        <f>'[1]Tasa de Falla'!F62</f>
        <v>10</v>
      </c>
      <c r="G62" s="449">
        <f>IF('[1]Tasa de Falla'!BW62=0,"",'[1]Tasa de Falla'!BW62)</f>
      </c>
      <c r="H62" s="449">
        <f>IF('[1]Tasa de Falla'!BX62=0,"",'[1]Tasa de Falla'!BX62)</f>
        <v>2</v>
      </c>
      <c r="I62" s="449">
        <f>IF('[1]Tasa de Falla'!BY62=0,"",'[1]Tasa de Falla'!BY62)</f>
      </c>
      <c r="J62" s="449">
        <f>IF('[1]Tasa de Falla'!BZ62=0,"",'[1]Tasa de Falla'!BZ62)</f>
      </c>
      <c r="K62" s="449">
        <f>IF('[1]Tasa de Falla'!CA62=0,"",'[1]Tasa de Falla'!CA62)</f>
      </c>
      <c r="L62" s="449">
        <f>IF('[1]Tasa de Falla'!CB62=0,"",'[1]Tasa de Falla'!CB62)</f>
      </c>
      <c r="M62" s="449">
        <f>IF('[1]Tasa de Falla'!CC62=0,"",'[1]Tasa de Falla'!CC62)</f>
      </c>
      <c r="N62" s="449">
        <f>IF('[1]Tasa de Falla'!CD62=0,"",'[1]Tasa de Falla'!CD62)</f>
        <v>2</v>
      </c>
      <c r="O62" s="449">
        <f>IF('[1]Tasa de Falla'!CE62=0,"",'[1]Tasa de Falla'!CE62)</f>
      </c>
      <c r="P62" s="449">
        <f>IF('[1]Tasa de Falla'!CF62=0,"",'[1]Tasa de Falla'!CF62)</f>
      </c>
      <c r="Q62" s="449">
        <f>IF('[1]Tasa de Falla'!CG62=0,"",'[1]Tasa de Falla'!CG62)</f>
      </c>
      <c r="R62" s="449">
        <f>IF('[1]Tasa de Falla'!CH62=0,"",'[1]Tasa de Falla'!CH62)</f>
      </c>
      <c r="S62" s="444"/>
      <c r="T62" s="445"/>
    </row>
    <row r="63" spans="2:20" s="432" customFormat="1" ht="19.5" customHeight="1">
      <c r="B63" s="433"/>
      <c r="C63" s="440">
        <f>'[1]Tasa de Falla'!C63</f>
        <v>47</v>
      </c>
      <c r="D63" s="441" t="str">
        <f>'[1]Tasa de Falla'!D63</f>
        <v>PALPALA - JUJUY ESTE</v>
      </c>
      <c r="E63" s="441">
        <f>'[1]Tasa de Falla'!E63</f>
        <v>132</v>
      </c>
      <c r="F63" s="442">
        <f>'[1]Tasa de Falla'!F63</f>
        <v>12.25</v>
      </c>
      <c r="G63" s="450">
        <f>IF('[1]Tasa de Falla'!BW63=0,"",'[1]Tasa de Falla'!BW63)</f>
      </c>
      <c r="H63" s="450">
        <f>IF('[1]Tasa de Falla'!BX63=0,"",'[1]Tasa de Falla'!BX63)</f>
      </c>
      <c r="I63" s="450">
        <f>IF('[1]Tasa de Falla'!BY63=0,"",'[1]Tasa de Falla'!BY63)</f>
      </c>
      <c r="J63" s="450">
        <f>IF('[1]Tasa de Falla'!BZ63=0,"",'[1]Tasa de Falla'!BZ63)</f>
      </c>
      <c r="K63" s="450">
        <f>IF('[1]Tasa de Falla'!CA63=0,"",'[1]Tasa de Falla'!CA63)</f>
      </c>
      <c r="L63" s="450">
        <f>IF('[1]Tasa de Falla'!CB63=0,"",'[1]Tasa de Falla'!CB63)</f>
      </c>
      <c r="M63" s="450">
        <f>IF('[1]Tasa de Falla'!CC63=0,"",'[1]Tasa de Falla'!CC63)</f>
      </c>
      <c r="N63" s="450">
        <f>IF('[1]Tasa de Falla'!CD63=0,"",'[1]Tasa de Falla'!CD63)</f>
      </c>
      <c r="O63" s="450">
        <f>IF('[1]Tasa de Falla'!CE63=0,"",'[1]Tasa de Falla'!CE63)</f>
      </c>
      <c r="P63" s="450">
        <f>IF('[1]Tasa de Falla'!CF63=0,"",'[1]Tasa de Falla'!CF63)</f>
      </c>
      <c r="Q63" s="450">
        <f>IF('[1]Tasa de Falla'!CG63=0,"",'[1]Tasa de Falla'!CG63)</f>
        <v>1</v>
      </c>
      <c r="R63" s="450">
        <f>IF('[1]Tasa de Falla'!CH63=0,"",'[1]Tasa de Falla'!CH63)</f>
      </c>
      <c r="S63" s="444"/>
      <c r="T63" s="445"/>
    </row>
    <row r="64" spans="2:20" s="432" customFormat="1" ht="19.5" customHeight="1">
      <c r="B64" s="433"/>
      <c r="C64" s="446">
        <f>'[1]Tasa de Falla'!C64</f>
        <v>48</v>
      </c>
      <c r="D64" s="447" t="str">
        <f>'[1]Tasa de Falla'!D64</f>
        <v>JUJUY ESTE - JUJUY SUR</v>
      </c>
      <c r="E64" s="447">
        <f>'[1]Tasa de Falla'!E64</f>
        <v>132</v>
      </c>
      <c r="F64" s="448">
        <f>'[1]Tasa de Falla'!F64</f>
        <v>4.25</v>
      </c>
      <c r="G64" s="449">
        <f>IF('[1]Tasa de Falla'!BW64=0,"",'[1]Tasa de Falla'!BW64)</f>
      </c>
      <c r="H64" s="449">
        <f>IF('[1]Tasa de Falla'!BX64=0,"",'[1]Tasa de Falla'!BX64)</f>
      </c>
      <c r="I64" s="449">
        <f>IF('[1]Tasa de Falla'!BY64=0,"",'[1]Tasa de Falla'!BY64)</f>
      </c>
      <c r="J64" s="449">
        <f>IF('[1]Tasa de Falla'!BZ64=0,"",'[1]Tasa de Falla'!BZ64)</f>
      </c>
      <c r="K64" s="449">
        <f>IF('[1]Tasa de Falla'!CA64=0,"",'[1]Tasa de Falla'!CA64)</f>
      </c>
      <c r="L64" s="449">
        <f>IF('[1]Tasa de Falla'!CB64=0,"",'[1]Tasa de Falla'!CB64)</f>
      </c>
      <c r="M64" s="449">
        <f>IF('[1]Tasa de Falla'!CC64=0,"",'[1]Tasa de Falla'!CC64)</f>
      </c>
      <c r="N64" s="449">
        <f>IF('[1]Tasa de Falla'!CD64=0,"",'[1]Tasa de Falla'!CD64)</f>
      </c>
      <c r="O64" s="449">
        <f>IF('[1]Tasa de Falla'!CE64=0,"",'[1]Tasa de Falla'!CE64)</f>
      </c>
      <c r="P64" s="449">
        <f>IF('[1]Tasa de Falla'!CF64=0,"",'[1]Tasa de Falla'!CF64)</f>
      </c>
      <c r="Q64" s="449">
        <f>IF('[1]Tasa de Falla'!CG64=0,"",'[1]Tasa de Falla'!CG64)</f>
      </c>
      <c r="R64" s="449">
        <f>IF('[1]Tasa de Falla'!CH64=0,"",'[1]Tasa de Falla'!CH64)</f>
      </c>
      <c r="S64" s="444"/>
      <c r="T64" s="445"/>
    </row>
    <row r="65" spans="2:20" s="432" customFormat="1" ht="19.5" customHeight="1">
      <c r="B65" s="433"/>
      <c r="C65" s="440">
        <f>'[1]Tasa de Falla'!C65</f>
        <v>49</v>
      </c>
      <c r="D65" s="441" t="str">
        <f>'[1]Tasa de Falla'!D65</f>
        <v>CEVIL POZO - GUEMES</v>
      </c>
      <c r="E65" s="441">
        <f>'[1]Tasa de Falla'!E65</f>
        <v>132</v>
      </c>
      <c r="F65" s="442">
        <f>'[1]Tasa de Falla'!F65</f>
        <v>291</v>
      </c>
      <c r="G65" s="450">
        <f>IF('[1]Tasa de Falla'!BW65=0,"",'[1]Tasa de Falla'!BW65)</f>
        <v>2</v>
      </c>
      <c r="H65" s="450">
        <f>IF('[1]Tasa de Falla'!BX65=0,"",'[1]Tasa de Falla'!BX65)</f>
      </c>
      <c r="I65" s="450" t="str">
        <f>IF('[1]Tasa de Falla'!BY65=0,"",'[1]Tasa de Falla'!BY65)</f>
        <v>XXXX</v>
      </c>
      <c r="J65" s="450" t="str">
        <f>IF('[1]Tasa de Falla'!BZ65=0,"",'[1]Tasa de Falla'!BZ65)</f>
        <v>XXXX</v>
      </c>
      <c r="K65" s="450" t="str">
        <f>IF('[1]Tasa de Falla'!CA65=0,"",'[1]Tasa de Falla'!CA65)</f>
        <v>XXXX</v>
      </c>
      <c r="L65" s="450" t="str">
        <f>IF('[1]Tasa de Falla'!CB65=0,"",'[1]Tasa de Falla'!CB65)</f>
        <v>XXXX</v>
      </c>
      <c r="M65" s="450" t="str">
        <f>IF('[1]Tasa de Falla'!CC65=0,"",'[1]Tasa de Falla'!CC65)</f>
        <v>XXXX</v>
      </c>
      <c r="N65" s="450" t="str">
        <f>IF('[1]Tasa de Falla'!CD65=0,"",'[1]Tasa de Falla'!CD65)</f>
        <v>XXXX</v>
      </c>
      <c r="O65" s="450" t="str">
        <f>IF('[1]Tasa de Falla'!CE65=0,"",'[1]Tasa de Falla'!CE65)</f>
        <v>XXXX</v>
      </c>
      <c r="P65" s="450" t="str">
        <f>IF('[1]Tasa de Falla'!CF65=0,"",'[1]Tasa de Falla'!CF65)</f>
        <v>XXXX</v>
      </c>
      <c r="Q65" s="450" t="str">
        <f>IF('[1]Tasa de Falla'!CG65=0,"",'[1]Tasa de Falla'!CG65)</f>
        <v>XXXX</v>
      </c>
      <c r="R65" s="450" t="str">
        <f>IF('[1]Tasa de Falla'!CH65=0,"",'[1]Tasa de Falla'!CH65)</f>
        <v>XXXX</v>
      </c>
      <c r="S65" s="444"/>
      <c r="T65" s="445"/>
    </row>
    <row r="66" spans="2:20" s="432" customFormat="1" ht="19.5" customHeight="1">
      <c r="B66" s="433"/>
      <c r="C66" s="446">
        <f>'[1]Tasa de Falla'!C66</f>
        <v>50</v>
      </c>
      <c r="D66" s="451" t="str">
        <f>'[1]Tasa de Falla'!D66</f>
        <v>CEVIL POZO - EL BRACHO</v>
      </c>
      <c r="E66" s="451">
        <f>'[1]Tasa de Falla'!E66</f>
        <v>132</v>
      </c>
      <c r="F66" s="452">
        <f>'[1]Tasa de Falla'!F66</f>
        <v>17</v>
      </c>
      <c r="G66" s="449">
        <f>IF('[1]Tasa de Falla'!BW66=0,"",'[1]Tasa de Falla'!BW66)</f>
      </c>
      <c r="H66" s="449">
        <f>IF('[1]Tasa de Falla'!BX66=0,"",'[1]Tasa de Falla'!BX66)</f>
      </c>
      <c r="I66" s="449">
        <f>IF('[1]Tasa de Falla'!BY66=0,"",'[1]Tasa de Falla'!BY66)</f>
      </c>
      <c r="J66" s="449">
        <f>IF('[1]Tasa de Falla'!BZ66=0,"",'[1]Tasa de Falla'!BZ66)</f>
      </c>
      <c r="K66" s="449">
        <f>IF('[1]Tasa de Falla'!CA66=0,"",'[1]Tasa de Falla'!CA66)</f>
      </c>
      <c r="L66" s="449">
        <f>IF('[1]Tasa de Falla'!CB66=0,"",'[1]Tasa de Falla'!CB66)</f>
        <v>1</v>
      </c>
      <c r="M66" s="449">
        <f>IF('[1]Tasa de Falla'!CC66=0,"",'[1]Tasa de Falla'!CC66)</f>
      </c>
      <c r="N66" s="449">
        <f>IF('[1]Tasa de Falla'!CD66=0,"",'[1]Tasa de Falla'!CD66)</f>
      </c>
      <c r="O66" s="449">
        <f>IF('[1]Tasa de Falla'!CE66=0,"",'[1]Tasa de Falla'!CE66)</f>
      </c>
      <c r="P66" s="449">
        <f>IF('[1]Tasa de Falla'!CF66=0,"",'[1]Tasa de Falla'!CF66)</f>
        <v>1</v>
      </c>
      <c r="Q66" s="449">
        <f>IF('[1]Tasa de Falla'!CG66=0,"",'[1]Tasa de Falla'!CG66)</f>
      </c>
      <c r="R66" s="449">
        <f>IF('[1]Tasa de Falla'!CH66=0,"",'[1]Tasa de Falla'!CH66)</f>
      </c>
      <c r="S66" s="444"/>
      <c r="T66" s="445"/>
    </row>
    <row r="67" spans="2:20" s="432" customFormat="1" ht="19.5" customHeight="1">
      <c r="B67" s="433"/>
      <c r="C67" s="440"/>
      <c r="D67" s="441"/>
      <c r="E67" s="441"/>
      <c r="F67" s="442"/>
      <c r="G67" s="450">
        <f>IF('[1]Tasa de Falla'!BW67=0,"",'[1]Tasa de Falla'!BW67)</f>
      </c>
      <c r="H67" s="450">
        <f>IF('[1]Tasa de Falla'!BX67=0,"",'[1]Tasa de Falla'!BX67)</f>
      </c>
      <c r="I67" s="450">
        <f>IF('[1]Tasa de Falla'!BY67=0,"",'[1]Tasa de Falla'!BY67)</f>
      </c>
      <c r="J67" s="450">
        <f>IF('[1]Tasa de Falla'!BZ67=0,"",'[1]Tasa de Falla'!BZ67)</f>
      </c>
      <c r="K67" s="450">
        <f>IF('[1]Tasa de Falla'!CA67=0,"",'[1]Tasa de Falla'!CA67)</f>
      </c>
      <c r="L67" s="450">
        <f>IF('[1]Tasa de Falla'!CB67=0,"",'[1]Tasa de Falla'!CB67)</f>
      </c>
      <c r="M67" s="450">
        <f>IF('[1]Tasa de Falla'!CC67=0,"",'[1]Tasa de Falla'!CC67)</f>
      </c>
      <c r="N67" s="450">
        <f>IF('[1]Tasa de Falla'!CD67=0,"",'[1]Tasa de Falla'!CD67)</f>
      </c>
      <c r="O67" s="450">
        <f>IF('[1]Tasa de Falla'!CE67=0,"",'[1]Tasa de Falla'!CE67)</f>
      </c>
      <c r="P67" s="450">
        <f>IF('[1]Tasa de Falla'!CF67=0,"",'[1]Tasa de Falla'!CF67)</f>
      </c>
      <c r="Q67" s="450">
        <f>IF('[1]Tasa de Falla'!CG67=0,"",'[1]Tasa de Falla'!CG67)</f>
      </c>
      <c r="R67" s="450">
        <f>IF('[1]Tasa de Falla'!CH67=0,"",'[1]Tasa de Falla'!CH67)</f>
      </c>
      <c r="S67" s="444"/>
      <c r="T67" s="445"/>
    </row>
    <row r="68" spans="2:20" s="432" customFormat="1" ht="19.5" customHeight="1">
      <c r="B68" s="433"/>
      <c r="C68" s="446">
        <f>'[1]Tasa de Falla'!C68</f>
        <v>51</v>
      </c>
      <c r="D68" s="447" t="str">
        <f>'[1]Tasa de Falla'!D68</f>
        <v>METAN - EL TUNAL</v>
      </c>
      <c r="E68" s="447">
        <f>'[1]Tasa de Falla'!E68</f>
        <v>132</v>
      </c>
      <c r="F68" s="448">
        <f>'[1]Tasa de Falla'!F68</f>
        <v>75.6</v>
      </c>
      <c r="G68" s="449">
        <f>IF('[1]Tasa de Falla'!BW68=0,"",'[1]Tasa de Falla'!BW68)</f>
      </c>
      <c r="H68" s="449">
        <f>IF('[1]Tasa de Falla'!BX68=0,"",'[1]Tasa de Falla'!BX68)</f>
      </c>
      <c r="I68" s="449">
        <f>IF('[1]Tasa de Falla'!BY68=0,"",'[1]Tasa de Falla'!BY68)</f>
      </c>
      <c r="J68" s="449">
        <f>IF('[1]Tasa de Falla'!BZ68=0,"",'[1]Tasa de Falla'!BZ68)</f>
      </c>
      <c r="K68" s="449">
        <f>IF('[1]Tasa de Falla'!CA68=0,"",'[1]Tasa de Falla'!CA68)</f>
      </c>
      <c r="L68" s="449">
        <f>IF('[1]Tasa de Falla'!CB68=0,"",'[1]Tasa de Falla'!CB68)</f>
      </c>
      <c r="M68" s="449">
        <f>IF('[1]Tasa de Falla'!CC68=0,"",'[1]Tasa de Falla'!CC68)</f>
      </c>
      <c r="N68" s="449">
        <f>IF('[1]Tasa de Falla'!CD68=0,"",'[1]Tasa de Falla'!CD68)</f>
      </c>
      <c r="O68" s="449">
        <f>IF('[1]Tasa de Falla'!CE68=0,"",'[1]Tasa de Falla'!CE68)</f>
      </c>
      <c r="P68" s="449">
        <f>IF('[1]Tasa de Falla'!CF68=0,"",'[1]Tasa de Falla'!CF68)</f>
      </c>
      <c r="Q68" s="449">
        <f>IF('[1]Tasa de Falla'!CG68=0,"",'[1]Tasa de Falla'!CG68)</f>
        <v>1</v>
      </c>
      <c r="R68" s="449">
        <f>IF('[1]Tasa de Falla'!CH68=0,"",'[1]Tasa de Falla'!CH68)</f>
      </c>
      <c r="S68" s="444"/>
      <c r="T68" s="445"/>
    </row>
    <row r="69" spans="2:20" s="432" customFormat="1" ht="19.5" customHeight="1">
      <c r="B69" s="433"/>
      <c r="C69" s="440">
        <f>'[1]Tasa de Falla'!C69</f>
        <v>52</v>
      </c>
      <c r="D69" s="441" t="str">
        <f>'[1]Tasa de Falla'!D69</f>
        <v>EL TUNAL - J.V. GONZALEZ</v>
      </c>
      <c r="E69" s="441">
        <f>'[1]Tasa de Falla'!E69</f>
        <v>132</v>
      </c>
      <c r="F69" s="442">
        <f>'[1]Tasa de Falla'!F69</f>
        <v>41.4</v>
      </c>
      <c r="G69" s="450">
        <f>IF('[1]Tasa de Falla'!BW69=0,"",'[1]Tasa de Falla'!BW69)</f>
      </c>
      <c r="H69" s="450">
        <f>IF('[1]Tasa de Falla'!BX69=0,"",'[1]Tasa de Falla'!BX69)</f>
      </c>
      <c r="I69" s="450">
        <f>IF('[1]Tasa de Falla'!BY69=0,"",'[1]Tasa de Falla'!BY69)</f>
      </c>
      <c r="J69" s="450">
        <f>IF('[1]Tasa de Falla'!BZ69=0,"",'[1]Tasa de Falla'!BZ69)</f>
      </c>
      <c r="K69" s="450">
        <f>IF('[1]Tasa de Falla'!CA69=0,"",'[1]Tasa de Falla'!CA69)</f>
      </c>
      <c r="L69" s="450">
        <f>IF('[1]Tasa de Falla'!CB69=0,"",'[1]Tasa de Falla'!CB69)</f>
      </c>
      <c r="M69" s="450">
        <f>IF('[1]Tasa de Falla'!CC69=0,"",'[1]Tasa de Falla'!CC69)</f>
      </c>
      <c r="N69" s="450">
        <f>IF('[1]Tasa de Falla'!CD69=0,"",'[1]Tasa de Falla'!CD69)</f>
      </c>
      <c r="O69" s="450">
        <f>IF('[1]Tasa de Falla'!CE69=0,"",'[1]Tasa de Falla'!CE69)</f>
      </c>
      <c r="P69" s="450">
        <f>IF('[1]Tasa de Falla'!CF69=0,"",'[1]Tasa de Falla'!CF69)</f>
      </c>
      <c r="Q69" s="450">
        <f>IF('[1]Tasa de Falla'!CG69=0,"",'[1]Tasa de Falla'!CG69)</f>
      </c>
      <c r="R69" s="450">
        <f>IF('[1]Tasa de Falla'!CH69=0,"",'[1]Tasa de Falla'!CH69)</f>
      </c>
      <c r="S69" s="444"/>
      <c r="T69" s="445"/>
    </row>
    <row r="70" spans="2:20" s="432" customFormat="1" ht="19.5" customHeight="1">
      <c r="B70" s="433"/>
      <c r="C70" s="446"/>
      <c r="D70" s="447"/>
      <c r="E70" s="447"/>
      <c r="F70" s="448"/>
      <c r="G70" s="449">
        <f>IF('[1]Tasa de Falla'!BW70=0,"",'[1]Tasa de Falla'!BW70)</f>
      </c>
      <c r="H70" s="449">
        <f>IF('[1]Tasa de Falla'!BX70=0,"",'[1]Tasa de Falla'!BX70)</f>
      </c>
      <c r="I70" s="449">
        <f>IF('[1]Tasa de Falla'!BY70=0,"",'[1]Tasa de Falla'!BY70)</f>
      </c>
      <c r="J70" s="449">
        <f>IF('[1]Tasa de Falla'!BZ70=0,"",'[1]Tasa de Falla'!BZ70)</f>
      </c>
      <c r="K70" s="449">
        <f>IF('[1]Tasa de Falla'!CA70=0,"",'[1]Tasa de Falla'!CA70)</f>
      </c>
      <c r="L70" s="449">
        <f>IF('[1]Tasa de Falla'!CB70=0,"",'[1]Tasa de Falla'!CB70)</f>
      </c>
      <c r="M70" s="449">
        <f>IF('[1]Tasa de Falla'!CC70=0,"",'[1]Tasa de Falla'!CC70)</f>
      </c>
      <c r="N70" s="449">
        <f>IF('[1]Tasa de Falla'!CD70=0,"",'[1]Tasa de Falla'!CD70)</f>
      </c>
      <c r="O70" s="449">
        <f>IF('[1]Tasa de Falla'!CE70=0,"",'[1]Tasa de Falla'!CE70)</f>
      </c>
      <c r="P70" s="449">
        <f>IF('[1]Tasa de Falla'!CF70=0,"",'[1]Tasa de Falla'!CF70)</f>
      </c>
      <c r="Q70" s="449">
        <f>IF('[1]Tasa de Falla'!CG70=0,"",'[1]Tasa de Falla'!CG70)</f>
      </c>
      <c r="R70" s="449">
        <f>IF('[1]Tasa de Falla'!CH70=0,"",'[1]Tasa de Falla'!CH70)</f>
      </c>
      <c r="S70" s="444"/>
      <c r="T70" s="445"/>
    </row>
    <row r="71" spans="2:20" s="432" customFormat="1" ht="19.5" customHeight="1">
      <c r="B71" s="433"/>
      <c r="C71" s="440">
        <f>'[1]Tasa de Falla'!C71</f>
        <v>53</v>
      </c>
      <c r="D71" s="441" t="str">
        <f>'[1]Tasa de Falla'!D71</f>
        <v>LOS PIZARROS - ESCABA</v>
      </c>
      <c r="E71" s="441">
        <f>'[1]Tasa de Falla'!E71</f>
        <v>132</v>
      </c>
      <c r="F71" s="442">
        <f>'[1]Tasa de Falla'!F71</f>
        <v>21.4</v>
      </c>
      <c r="G71" s="450">
        <f>IF('[1]Tasa de Falla'!BW71=0,"",'[1]Tasa de Falla'!BW71)</f>
      </c>
      <c r="H71" s="450">
        <f>IF('[1]Tasa de Falla'!BX71=0,"",'[1]Tasa de Falla'!BX71)</f>
        <v>1</v>
      </c>
      <c r="I71" s="450">
        <f>IF('[1]Tasa de Falla'!BY71=0,"",'[1]Tasa de Falla'!BY71)</f>
      </c>
      <c r="J71" s="450">
        <f>IF('[1]Tasa de Falla'!BZ71=0,"",'[1]Tasa de Falla'!BZ71)</f>
      </c>
      <c r="K71" s="450">
        <f>IF('[1]Tasa de Falla'!CA71=0,"",'[1]Tasa de Falla'!CA71)</f>
      </c>
      <c r="L71" s="450">
        <f>IF('[1]Tasa de Falla'!CB71=0,"",'[1]Tasa de Falla'!CB71)</f>
      </c>
      <c r="M71" s="450">
        <f>IF('[1]Tasa de Falla'!CC71=0,"",'[1]Tasa de Falla'!CC71)</f>
        <v>1</v>
      </c>
      <c r="N71" s="450">
        <f>IF('[1]Tasa de Falla'!CD71=0,"",'[1]Tasa de Falla'!CD71)</f>
        <v>1</v>
      </c>
      <c r="O71" s="450">
        <f>IF('[1]Tasa de Falla'!CE71=0,"",'[1]Tasa de Falla'!CE71)</f>
      </c>
      <c r="P71" s="450">
        <f>IF('[1]Tasa de Falla'!CF71=0,"",'[1]Tasa de Falla'!CF71)</f>
        <v>2</v>
      </c>
      <c r="Q71" s="450">
        <f>IF('[1]Tasa de Falla'!CG71=0,"",'[1]Tasa de Falla'!CG71)</f>
      </c>
      <c r="R71" s="450">
        <f>IF('[1]Tasa de Falla'!CH71=0,"",'[1]Tasa de Falla'!CH71)</f>
      </c>
      <c r="S71" s="444"/>
      <c r="T71" s="445"/>
    </row>
    <row r="72" spans="2:20" s="432" customFormat="1" ht="19.5" customHeight="1">
      <c r="B72" s="433"/>
      <c r="C72" s="446">
        <f>'[1]Tasa de Falla'!C72</f>
        <v>54</v>
      </c>
      <c r="D72" s="447" t="str">
        <f>'[1]Tasa de Falla'!D72</f>
        <v>LOS PIZARROS - LA COCHA</v>
      </c>
      <c r="E72" s="447">
        <f>'[1]Tasa de Falla'!E72</f>
        <v>132</v>
      </c>
      <c r="F72" s="448">
        <f>'[1]Tasa de Falla'!F72</f>
        <v>6.5</v>
      </c>
      <c r="G72" s="449">
        <f>IF('[1]Tasa de Falla'!BW72=0,"",'[1]Tasa de Falla'!BW72)</f>
      </c>
      <c r="H72" s="449">
        <f>IF('[1]Tasa de Falla'!BX72=0,"",'[1]Tasa de Falla'!BX72)</f>
      </c>
      <c r="I72" s="449">
        <f>IF('[1]Tasa de Falla'!BY72=0,"",'[1]Tasa de Falla'!BY72)</f>
      </c>
      <c r="J72" s="449">
        <f>IF('[1]Tasa de Falla'!BZ72=0,"",'[1]Tasa de Falla'!BZ72)</f>
      </c>
      <c r="K72" s="449">
        <f>IF('[1]Tasa de Falla'!CA72=0,"",'[1]Tasa de Falla'!CA72)</f>
      </c>
      <c r="L72" s="449">
        <f>IF('[1]Tasa de Falla'!CB72=0,"",'[1]Tasa de Falla'!CB72)</f>
      </c>
      <c r="M72" s="449">
        <f>IF('[1]Tasa de Falla'!CC72=0,"",'[1]Tasa de Falla'!CC72)</f>
      </c>
      <c r="N72" s="449">
        <f>IF('[1]Tasa de Falla'!CD72=0,"",'[1]Tasa de Falla'!CD72)</f>
      </c>
      <c r="O72" s="449">
        <f>IF('[1]Tasa de Falla'!CE72=0,"",'[1]Tasa de Falla'!CE72)</f>
      </c>
      <c r="P72" s="449">
        <f>IF('[1]Tasa de Falla'!CF72=0,"",'[1]Tasa de Falla'!CF72)</f>
      </c>
      <c r="Q72" s="449">
        <f>IF('[1]Tasa de Falla'!CG72=0,"",'[1]Tasa de Falla'!CG72)</f>
      </c>
      <c r="R72" s="449">
        <f>IF('[1]Tasa de Falla'!CH72=0,"",'[1]Tasa de Falla'!CH72)</f>
      </c>
      <c r="S72" s="444"/>
      <c r="T72" s="445"/>
    </row>
    <row r="73" spans="2:20" s="432" customFormat="1" ht="19.5" customHeight="1">
      <c r="B73" s="433"/>
      <c r="C73" s="440">
        <f>'[1]Tasa de Falla'!C73</f>
        <v>55</v>
      </c>
      <c r="D73" s="441" t="str">
        <f>'[1]Tasa de Falla'!D73</f>
        <v>HUACRA - LOS PIZARROS</v>
      </c>
      <c r="E73" s="441">
        <f>'[1]Tasa de Falla'!E73</f>
        <v>132</v>
      </c>
      <c r="F73" s="442">
        <f>'[1]Tasa de Falla'!F73</f>
        <v>28.5</v>
      </c>
      <c r="G73" s="450">
        <f>IF('[1]Tasa de Falla'!BW73=0,"",'[1]Tasa de Falla'!BW73)</f>
      </c>
      <c r="H73" s="450">
        <f>IF('[1]Tasa de Falla'!BX73=0,"",'[1]Tasa de Falla'!BX73)</f>
      </c>
      <c r="I73" s="450">
        <f>IF('[1]Tasa de Falla'!BY73=0,"",'[1]Tasa de Falla'!BY73)</f>
      </c>
      <c r="J73" s="450">
        <f>IF('[1]Tasa de Falla'!BZ73=0,"",'[1]Tasa de Falla'!BZ73)</f>
      </c>
      <c r="K73" s="450">
        <f>IF('[1]Tasa de Falla'!CA73=0,"",'[1]Tasa de Falla'!CA73)</f>
      </c>
      <c r="L73" s="450">
        <f>IF('[1]Tasa de Falla'!CB73=0,"",'[1]Tasa de Falla'!CB73)</f>
      </c>
      <c r="M73" s="450">
        <f>IF('[1]Tasa de Falla'!CC73=0,"",'[1]Tasa de Falla'!CC73)</f>
      </c>
      <c r="N73" s="450">
        <f>IF('[1]Tasa de Falla'!CD73=0,"",'[1]Tasa de Falla'!CD73)</f>
      </c>
      <c r="O73" s="450">
        <f>IF('[1]Tasa de Falla'!CE73=0,"",'[1]Tasa de Falla'!CE73)</f>
      </c>
      <c r="P73" s="450">
        <f>IF('[1]Tasa de Falla'!CF73=0,"",'[1]Tasa de Falla'!CF73)</f>
      </c>
      <c r="Q73" s="450">
        <f>IF('[1]Tasa de Falla'!CG73=0,"",'[1]Tasa de Falla'!CG73)</f>
      </c>
      <c r="R73" s="450">
        <f>IF('[1]Tasa de Falla'!CH73=0,"",'[1]Tasa de Falla'!CH73)</f>
      </c>
      <c r="S73" s="444"/>
      <c r="T73" s="445"/>
    </row>
    <row r="74" spans="2:20" s="432" customFormat="1" ht="19.5" customHeight="1">
      <c r="B74" s="433"/>
      <c r="C74" s="446">
        <f>'[1]Tasa de Falla'!C74</f>
        <v>56</v>
      </c>
      <c r="D74" s="451" t="str">
        <f>'[1]Tasa de Falla'!D74</f>
        <v>CEVIL POZO - AVELLANEDA</v>
      </c>
      <c r="E74" s="451">
        <f>'[1]Tasa de Falla'!E74</f>
        <v>132</v>
      </c>
      <c r="F74" s="452">
        <f>'[1]Tasa de Falla'!F74</f>
        <v>8</v>
      </c>
      <c r="G74" s="449">
        <f>IF('[1]Tasa de Falla'!BW74=0,"",'[1]Tasa de Falla'!BW74)</f>
      </c>
      <c r="H74" s="449">
        <f>IF('[1]Tasa de Falla'!BX74=0,"",'[1]Tasa de Falla'!BX74)</f>
      </c>
      <c r="I74" s="449">
        <f>IF('[1]Tasa de Falla'!BY74=0,"",'[1]Tasa de Falla'!BY74)</f>
      </c>
      <c r="J74" s="449">
        <f>IF('[1]Tasa de Falla'!BZ74=0,"",'[1]Tasa de Falla'!BZ74)</f>
      </c>
      <c r="K74" s="449">
        <f>IF('[1]Tasa de Falla'!CA74=0,"",'[1]Tasa de Falla'!CA74)</f>
      </c>
      <c r="L74" s="449">
        <f>IF('[1]Tasa de Falla'!CB74=0,"",'[1]Tasa de Falla'!CB74)</f>
      </c>
      <c r="M74" s="449">
        <f>IF('[1]Tasa de Falla'!CC74=0,"",'[1]Tasa de Falla'!CC74)</f>
      </c>
      <c r="N74" s="449">
        <f>IF('[1]Tasa de Falla'!CD74=0,"",'[1]Tasa de Falla'!CD74)</f>
      </c>
      <c r="O74" s="449">
        <f>IF('[1]Tasa de Falla'!CE74=0,"",'[1]Tasa de Falla'!CE74)</f>
      </c>
      <c r="P74" s="449">
        <f>IF('[1]Tasa de Falla'!CF74=0,"",'[1]Tasa de Falla'!CF74)</f>
      </c>
      <c r="Q74" s="449">
        <f>IF('[1]Tasa de Falla'!CG74=0,"",'[1]Tasa de Falla'!CG74)</f>
      </c>
      <c r="R74" s="449">
        <f>IF('[1]Tasa de Falla'!CH74=0,"",'[1]Tasa de Falla'!CH74)</f>
      </c>
      <c r="S74" s="444"/>
      <c r="T74" s="445"/>
    </row>
    <row r="75" spans="2:20" s="432" customFormat="1" ht="19.5" customHeight="1">
      <c r="B75" s="433"/>
      <c r="C75" s="440">
        <f>'[1]Tasa de Falla'!C75</f>
        <v>57</v>
      </c>
      <c r="D75" s="441" t="str">
        <f>'[1]Tasa de Falla'!D75</f>
        <v>CABRA CORRAL - SALTA ESTE</v>
      </c>
      <c r="E75" s="441">
        <f>'[1]Tasa de Falla'!E75</f>
        <v>132</v>
      </c>
      <c r="F75" s="442">
        <f>'[1]Tasa de Falla'!F75</f>
        <v>55</v>
      </c>
      <c r="G75" s="450">
        <f>IF('[1]Tasa de Falla'!BW75=0,"",'[1]Tasa de Falla'!BW75)</f>
      </c>
      <c r="H75" s="450">
        <f>IF('[1]Tasa de Falla'!BX75=0,"",'[1]Tasa de Falla'!BX75)</f>
        <v>3</v>
      </c>
      <c r="I75" s="450">
        <f>IF('[1]Tasa de Falla'!BY75=0,"",'[1]Tasa de Falla'!BY75)</f>
      </c>
      <c r="J75" s="450">
        <f>IF('[1]Tasa de Falla'!BZ75=0,"",'[1]Tasa de Falla'!BZ75)</f>
      </c>
      <c r="K75" s="450">
        <f>IF('[1]Tasa de Falla'!CA75=0,"",'[1]Tasa de Falla'!CA75)</f>
      </c>
      <c r="L75" s="450">
        <f>IF('[1]Tasa de Falla'!CB75=0,"",'[1]Tasa de Falla'!CB75)</f>
        <v>1</v>
      </c>
      <c r="M75" s="450">
        <f>IF('[1]Tasa de Falla'!CC75=0,"",'[1]Tasa de Falla'!CC75)</f>
      </c>
      <c r="N75" s="450">
        <f>IF('[1]Tasa de Falla'!CD75=0,"",'[1]Tasa de Falla'!CD75)</f>
      </c>
      <c r="O75" s="450">
        <f>IF('[1]Tasa de Falla'!CE75=0,"",'[1]Tasa de Falla'!CE75)</f>
      </c>
      <c r="P75" s="450">
        <f>IF('[1]Tasa de Falla'!CF75=0,"",'[1]Tasa de Falla'!CF75)</f>
      </c>
      <c r="Q75" s="450">
        <f>IF('[1]Tasa de Falla'!CG75=0,"",'[1]Tasa de Falla'!CG75)</f>
        <v>1</v>
      </c>
      <c r="R75" s="450">
        <f>IF('[1]Tasa de Falla'!CH75=0,"",'[1]Tasa de Falla'!CH75)</f>
      </c>
      <c r="S75" s="444"/>
      <c r="T75" s="445"/>
    </row>
    <row r="76" spans="2:20" s="432" customFormat="1" ht="19.5" customHeight="1">
      <c r="B76" s="433"/>
      <c r="C76" s="446">
        <f>'[1]Tasa de Falla'!C76</f>
        <v>58</v>
      </c>
      <c r="D76" s="447" t="str">
        <f>'[1]Tasa de Falla'!D76</f>
        <v>SALTA ESTE - SALTA SUR</v>
      </c>
      <c r="E76" s="447">
        <f>'[1]Tasa de Falla'!E76</f>
        <v>132</v>
      </c>
      <c r="F76" s="448">
        <f>'[1]Tasa de Falla'!F76</f>
        <v>7</v>
      </c>
      <c r="G76" s="449">
        <f>IF('[1]Tasa de Falla'!BW76=0,"",'[1]Tasa de Falla'!BW76)</f>
        <v>3</v>
      </c>
      <c r="H76" s="449">
        <f>IF('[1]Tasa de Falla'!BX76=0,"",'[1]Tasa de Falla'!BX76)</f>
        <v>1</v>
      </c>
      <c r="I76" s="449">
        <f>IF('[1]Tasa de Falla'!BY76=0,"",'[1]Tasa de Falla'!BY76)</f>
      </c>
      <c r="J76" s="449">
        <f>IF('[1]Tasa de Falla'!BZ76=0,"",'[1]Tasa de Falla'!BZ76)</f>
        <v>1</v>
      </c>
      <c r="K76" s="449">
        <f>IF('[1]Tasa de Falla'!CA76=0,"",'[1]Tasa de Falla'!CA76)</f>
      </c>
      <c r="L76" s="449">
        <f>IF('[1]Tasa de Falla'!CB76=0,"",'[1]Tasa de Falla'!CB76)</f>
      </c>
      <c r="M76" s="449">
        <f>IF('[1]Tasa de Falla'!CC76=0,"",'[1]Tasa de Falla'!CC76)</f>
      </c>
      <c r="N76" s="449">
        <f>IF('[1]Tasa de Falla'!CD76=0,"",'[1]Tasa de Falla'!CD76)</f>
      </c>
      <c r="O76" s="449">
        <f>IF('[1]Tasa de Falla'!CE76=0,"",'[1]Tasa de Falla'!CE76)</f>
      </c>
      <c r="P76" s="449">
        <f>IF('[1]Tasa de Falla'!CF76=0,"",'[1]Tasa de Falla'!CF76)</f>
      </c>
      <c r="Q76" s="449">
        <f>IF('[1]Tasa de Falla'!CG76=0,"",'[1]Tasa de Falla'!CG76)</f>
      </c>
      <c r="R76" s="449">
        <f>IF('[1]Tasa de Falla'!CH76=0,"",'[1]Tasa de Falla'!CH76)</f>
      </c>
      <c r="S76" s="444"/>
      <c r="T76" s="445"/>
    </row>
    <row r="77" spans="2:20" s="432" customFormat="1" ht="19.5" customHeight="1">
      <c r="B77" s="433"/>
      <c r="C77" s="440">
        <f>'[1]Tasa de Falla'!C77</f>
        <v>59</v>
      </c>
      <c r="D77" s="441" t="str">
        <f>'[1]Tasa de Falla'!D77</f>
        <v>VILLA QUINTEROS - ANDALGALA</v>
      </c>
      <c r="E77" s="441">
        <f>'[1]Tasa de Falla'!E77</f>
        <v>132</v>
      </c>
      <c r="F77" s="442">
        <f>'[1]Tasa de Falla'!F77</f>
        <v>102</v>
      </c>
      <c r="G77" s="450">
        <f>IF('[1]Tasa de Falla'!BW77=0,"",'[1]Tasa de Falla'!BW77)</f>
        <v>1</v>
      </c>
      <c r="H77" s="450">
        <f>IF('[1]Tasa de Falla'!BX77=0,"",'[1]Tasa de Falla'!BX77)</f>
        <v>1</v>
      </c>
      <c r="I77" s="450">
        <f>IF('[1]Tasa de Falla'!BY77=0,"",'[1]Tasa de Falla'!BY77)</f>
      </c>
      <c r="J77" s="450">
        <f>IF('[1]Tasa de Falla'!BZ77=0,"",'[1]Tasa de Falla'!BZ77)</f>
        <v>2</v>
      </c>
      <c r="K77" s="450">
        <f>IF('[1]Tasa de Falla'!CA77=0,"",'[1]Tasa de Falla'!CA77)</f>
        <v>3</v>
      </c>
      <c r="L77" s="450">
        <f>IF('[1]Tasa de Falla'!CB77=0,"",'[1]Tasa de Falla'!CB77)</f>
        <v>1</v>
      </c>
      <c r="M77" s="450">
        <f>IF('[1]Tasa de Falla'!CC77=0,"",'[1]Tasa de Falla'!CC77)</f>
      </c>
      <c r="N77" s="450">
        <f>IF('[1]Tasa de Falla'!CD77=0,"",'[1]Tasa de Falla'!CD77)</f>
        <v>1</v>
      </c>
      <c r="O77" s="450">
        <f>IF('[1]Tasa de Falla'!CE77=0,"",'[1]Tasa de Falla'!CE77)</f>
      </c>
      <c r="P77" s="450">
        <f>IF('[1]Tasa de Falla'!CF77=0,"",'[1]Tasa de Falla'!CF77)</f>
      </c>
      <c r="Q77" s="450">
        <f>IF('[1]Tasa de Falla'!CG77=0,"",'[1]Tasa de Falla'!CG77)</f>
        <v>1</v>
      </c>
      <c r="R77" s="450">
        <f>IF('[1]Tasa de Falla'!CH77=0,"",'[1]Tasa de Falla'!CH77)</f>
      </c>
      <c r="S77" s="444"/>
      <c r="T77" s="445"/>
    </row>
    <row r="78" spans="2:20" s="432" customFormat="1" ht="19.5" customHeight="1">
      <c r="B78" s="433"/>
      <c r="C78" s="446">
        <f>'[1]Tasa de Falla'!C78</f>
        <v>60</v>
      </c>
      <c r="D78" s="447" t="str">
        <f>'[1]Tasa de Falla'!D78</f>
        <v>ANDALGALA - BELEN</v>
      </c>
      <c r="E78" s="447">
        <f>'[1]Tasa de Falla'!E78</f>
        <v>132</v>
      </c>
      <c r="F78" s="448">
        <f>'[1]Tasa de Falla'!F78</f>
        <v>80.3</v>
      </c>
      <c r="G78" s="449">
        <f>IF('[1]Tasa de Falla'!BW78=0,"",'[1]Tasa de Falla'!BW78)</f>
        <v>1</v>
      </c>
      <c r="H78" s="449">
        <f>IF('[1]Tasa de Falla'!BX78=0,"",'[1]Tasa de Falla'!BX78)</f>
      </c>
      <c r="I78" s="449">
        <f>IF('[1]Tasa de Falla'!BY78=0,"",'[1]Tasa de Falla'!BY78)</f>
      </c>
      <c r="J78" s="449">
        <f>IF('[1]Tasa de Falla'!BZ78=0,"",'[1]Tasa de Falla'!BZ78)</f>
      </c>
      <c r="K78" s="449">
        <f>IF('[1]Tasa de Falla'!CA78=0,"",'[1]Tasa de Falla'!CA78)</f>
      </c>
      <c r="L78" s="449">
        <f>IF('[1]Tasa de Falla'!CB78=0,"",'[1]Tasa de Falla'!CB78)</f>
      </c>
      <c r="M78" s="449">
        <f>IF('[1]Tasa de Falla'!CC78=0,"",'[1]Tasa de Falla'!CC78)</f>
      </c>
      <c r="N78" s="449">
        <f>IF('[1]Tasa de Falla'!CD78=0,"",'[1]Tasa de Falla'!CD78)</f>
        <v>1</v>
      </c>
      <c r="O78" s="449">
        <f>IF('[1]Tasa de Falla'!CE78=0,"",'[1]Tasa de Falla'!CE78)</f>
        <v>1</v>
      </c>
      <c r="P78" s="449">
        <f>IF('[1]Tasa de Falla'!CF78=0,"",'[1]Tasa de Falla'!CF78)</f>
      </c>
      <c r="Q78" s="449">
        <f>IF('[1]Tasa de Falla'!CG78=0,"",'[1]Tasa de Falla'!CG78)</f>
      </c>
      <c r="R78" s="449">
        <f>IF('[1]Tasa de Falla'!CH78=0,"",'[1]Tasa de Falla'!CH78)</f>
      </c>
      <c r="S78" s="444"/>
      <c r="T78" s="445"/>
    </row>
    <row r="79" spans="2:20" s="432" customFormat="1" ht="19.5" customHeight="1">
      <c r="B79" s="433"/>
      <c r="C79" s="440">
        <f>'[1]Tasa de Falla'!C79</f>
        <v>61</v>
      </c>
      <c r="D79" s="441" t="str">
        <f>'[1]Tasa de Falla'!D79</f>
        <v>TUCUMAN NORTE - TRANCAS</v>
      </c>
      <c r="E79" s="441">
        <f>'[1]Tasa de Falla'!E79</f>
        <v>132</v>
      </c>
      <c r="F79" s="442">
        <f>'[1]Tasa de Falla'!F79</f>
        <v>75</v>
      </c>
      <c r="G79" s="450">
        <f>IF('[1]Tasa de Falla'!BW79=0,"",'[1]Tasa de Falla'!BW79)</f>
      </c>
      <c r="H79" s="450">
        <f>IF('[1]Tasa de Falla'!BX79=0,"",'[1]Tasa de Falla'!BX79)</f>
      </c>
      <c r="I79" s="450">
        <f>IF('[1]Tasa de Falla'!BY79=0,"",'[1]Tasa de Falla'!BY79)</f>
      </c>
      <c r="J79" s="450">
        <f>IF('[1]Tasa de Falla'!BZ79=0,"",'[1]Tasa de Falla'!BZ79)</f>
        <v>1</v>
      </c>
      <c r="K79" s="450">
        <f>IF('[1]Tasa de Falla'!CA79=0,"",'[1]Tasa de Falla'!CA79)</f>
      </c>
      <c r="L79" s="450">
        <f>IF('[1]Tasa de Falla'!CB79=0,"",'[1]Tasa de Falla'!CB79)</f>
        <v>1</v>
      </c>
      <c r="M79" s="450">
        <f>IF('[1]Tasa de Falla'!CC79=0,"",'[1]Tasa de Falla'!CC79)</f>
      </c>
      <c r="N79" s="450">
        <f>IF('[1]Tasa de Falla'!CD79=0,"",'[1]Tasa de Falla'!CD79)</f>
      </c>
      <c r="O79" s="450">
        <f>IF('[1]Tasa de Falla'!CE79=0,"",'[1]Tasa de Falla'!CE79)</f>
      </c>
      <c r="P79" s="450">
        <f>IF('[1]Tasa de Falla'!CF79=0,"",'[1]Tasa de Falla'!CF79)</f>
      </c>
      <c r="Q79" s="450">
        <f>IF('[1]Tasa de Falla'!CG79=0,"",'[1]Tasa de Falla'!CG79)</f>
      </c>
      <c r="R79" s="450">
        <f>IF('[1]Tasa de Falla'!CH79=0,"",'[1]Tasa de Falla'!CH79)</f>
      </c>
      <c r="S79" s="444"/>
      <c r="T79" s="445"/>
    </row>
    <row r="80" spans="2:20" s="432" customFormat="1" ht="19.5" customHeight="1">
      <c r="B80" s="433"/>
      <c r="C80" s="446">
        <f>'[1]Tasa de Falla'!C80</f>
        <v>62</v>
      </c>
      <c r="D80" s="447" t="str">
        <f>'[1]Tasa de Falla'!D80</f>
        <v>CABRA CORRAL - TRANCAS</v>
      </c>
      <c r="E80" s="447">
        <f>'[1]Tasa de Falla'!E80</f>
        <v>132</v>
      </c>
      <c r="F80" s="448">
        <f>'[1]Tasa de Falla'!F80</f>
        <v>115</v>
      </c>
      <c r="G80" s="449">
        <f>IF('[1]Tasa de Falla'!BW80=0,"",'[1]Tasa de Falla'!BW80)</f>
      </c>
      <c r="H80" s="449">
        <f>IF('[1]Tasa de Falla'!BX80=0,"",'[1]Tasa de Falla'!BX80)</f>
      </c>
      <c r="I80" s="449">
        <f>IF('[1]Tasa de Falla'!BY80=0,"",'[1]Tasa de Falla'!BY80)</f>
      </c>
      <c r="J80" s="449">
        <f>IF('[1]Tasa de Falla'!BZ80=0,"",'[1]Tasa de Falla'!BZ80)</f>
      </c>
      <c r="K80" s="449">
        <f>IF('[1]Tasa de Falla'!CA80=0,"",'[1]Tasa de Falla'!CA80)</f>
      </c>
      <c r="L80" s="449">
        <f>IF('[1]Tasa de Falla'!CB80=0,"",'[1]Tasa de Falla'!CB80)</f>
        <v>1</v>
      </c>
      <c r="M80" s="449">
        <f>IF('[1]Tasa de Falla'!CC80=0,"",'[1]Tasa de Falla'!CC80)</f>
      </c>
      <c r="N80" s="449">
        <f>IF('[1]Tasa de Falla'!CD80=0,"",'[1]Tasa de Falla'!CD80)</f>
        <v>1</v>
      </c>
      <c r="O80" s="449">
        <f>IF('[1]Tasa de Falla'!CE80=0,"",'[1]Tasa de Falla'!CE80)</f>
      </c>
      <c r="P80" s="449">
        <f>IF('[1]Tasa de Falla'!CF80=0,"",'[1]Tasa de Falla'!CF80)</f>
      </c>
      <c r="Q80" s="449">
        <f>IF('[1]Tasa de Falla'!CG80=0,"",'[1]Tasa de Falla'!CG80)</f>
      </c>
      <c r="R80" s="449">
        <f>IF('[1]Tasa de Falla'!CH80=0,"",'[1]Tasa de Falla'!CH80)</f>
      </c>
      <c r="S80" s="444"/>
      <c r="T80" s="445"/>
    </row>
    <row r="81" spans="2:20" s="432" customFormat="1" ht="19.5" customHeight="1">
      <c r="B81" s="433"/>
      <c r="C81" s="440">
        <f>'[1]Tasa de Falla'!C81</f>
        <v>63</v>
      </c>
      <c r="D81" s="441" t="str">
        <f>'[1]Tasa de Falla'!D81</f>
        <v>LAS MADERAS - JUJUY SUR</v>
      </c>
      <c r="E81" s="441">
        <f>'[1]Tasa de Falla'!E81</f>
        <v>132</v>
      </c>
      <c r="F81" s="442">
        <f>'[1]Tasa de Falla'!F81</f>
        <v>29</v>
      </c>
      <c r="G81" s="450">
        <f>IF('[1]Tasa de Falla'!BW81=0,"",'[1]Tasa de Falla'!BW81)</f>
      </c>
      <c r="H81" s="450">
        <f>IF('[1]Tasa de Falla'!BX81=0,"",'[1]Tasa de Falla'!BX81)</f>
      </c>
      <c r="I81" s="450">
        <f>IF('[1]Tasa de Falla'!BY81=0,"",'[1]Tasa de Falla'!BY81)</f>
      </c>
      <c r="J81" s="450">
        <f>IF('[1]Tasa de Falla'!BZ81=0,"",'[1]Tasa de Falla'!BZ81)</f>
      </c>
      <c r="K81" s="450">
        <f>IF('[1]Tasa de Falla'!CA81=0,"",'[1]Tasa de Falla'!CA81)</f>
      </c>
      <c r="L81" s="450">
        <f>IF('[1]Tasa de Falla'!CB81=0,"",'[1]Tasa de Falla'!CB81)</f>
      </c>
      <c r="M81" s="450">
        <f>IF('[1]Tasa de Falla'!CC81=0,"",'[1]Tasa de Falla'!CC81)</f>
      </c>
      <c r="N81" s="450">
        <f>IF('[1]Tasa de Falla'!CD81=0,"",'[1]Tasa de Falla'!CD81)</f>
      </c>
      <c r="O81" s="450">
        <f>IF('[1]Tasa de Falla'!CE81=0,"",'[1]Tasa de Falla'!CE81)</f>
      </c>
      <c r="P81" s="450">
        <f>IF('[1]Tasa de Falla'!CF81=0,"",'[1]Tasa de Falla'!CF81)</f>
      </c>
      <c r="Q81" s="450">
        <f>IF('[1]Tasa de Falla'!CG81=0,"",'[1]Tasa de Falla'!CG81)</f>
      </c>
      <c r="R81" s="450">
        <f>IF('[1]Tasa de Falla'!CH81=0,"",'[1]Tasa de Falla'!CH81)</f>
      </c>
      <c r="S81" s="444"/>
      <c r="T81" s="445"/>
    </row>
    <row r="82" spans="2:20" s="432" customFormat="1" ht="19.5" customHeight="1">
      <c r="B82" s="433"/>
      <c r="C82" s="446">
        <f>'[1]Tasa de Falla'!C82</f>
        <v>64</v>
      </c>
      <c r="D82" s="447" t="str">
        <f>'[1]Tasa de Falla'!D82</f>
        <v>BELEN - TINOGASTA</v>
      </c>
      <c r="E82" s="447">
        <f>'[1]Tasa de Falla'!E82</f>
        <v>132</v>
      </c>
      <c r="F82" s="448">
        <f>'[1]Tasa de Falla'!F82</f>
        <v>72</v>
      </c>
      <c r="G82" s="449">
        <f>IF('[1]Tasa de Falla'!BW82=0,"",'[1]Tasa de Falla'!BW82)</f>
      </c>
      <c r="H82" s="449">
        <f>IF('[1]Tasa de Falla'!BX82=0,"",'[1]Tasa de Falla'!BX82)</f>
      </c>
      <c r="I82" s="449">
        <f>IF('[1]Tasa de Falla'!BY82=0,"",'[1]Tasa de Falla'!BY82)</f>
      </c>
      <c r="J82" s="449">
        <f>IF('[1]Tasa de Falla'!BZ82=0,"",'[1]Tasa de Falla'!BZ82)</f>
      </c>
      <c r="K82" s="449">
        <f>IF('[1]Tasa de Falla'!CA82=0,"",'[1]Tasa de Falla'!CA82)</f>
      </c>
      <c r="L82" s="449">
        <f>IF('[1]Tasa de Falla'!CB82=0,"",'[1]Tasa de Falla'!CB82)</f>
      </c>
      <c r="M82" s="449">
        <f>IF('[1]Tasa de Falla'!CC82=0,"",'[1]Tasa de Falla'!CC82)</f>
      </c>
      <c r="N82" s="449">
        <f>IF('[1]Tasa de Falla'!CD82=0,"",'[1]Tasa de Falla'!CD82)</f>
      </c>
      <c r="O82" s="449">
        <f>IF('[1]Tasa de Falla'!CE82=0,"",'[1]Tasa de Falla'!CE82)</f>
      </c>
      <c r="P82" s="449">
        <f>IF('[1]Tasa de Falla'!CF82=0,"",'[1]Tasa de Falla'!CF82)</f>
      </c>
      <c r="Q82" s="449">
        <f>IF('[1]Tasa de Falla'!CG82=0,"",'[1]Tasa de Falla'!CG82)</f>
      </c>
      <c r="R82" s="449">
        <f>IF('[1]Tasa de Falla'!CH82=0,"",'[1]Tasa de Falla'!CH82)</f>
      </c>
      <c r="S82" s="444"/>
      <c r="T82" s="445"/>
    </row>
    <row r="83" spans="2:20" s="432" customFormat="1" ht="19.5" customHeight="1">
      <c r="B83" s="433"/>
      <c r="C83" s="440">
        <f>'[1]Tasa de Falla'!C83</f>
        <v>65</v>
      </c>
      <c r="D83" s="441" t="str">
        <f>'[1]Tasa de Falla'!D83</f>
        <v>BURRUYACU - CEVIL POZO</v>
      </c>
      <c r="E83" s="441">
        <f>'[1]Tasa de Falla'!E83</f>
        <v>132</v>
      </c>
      <c r="F83" s="442">
        <f>'[1]Tasa de Falla'!F83</f>
        <v>56</v>
      </c>
      <c r="G83" s="450" t="str">
        <f>IF('[1]Tasa de Falla'!BW83=0,"",'[1]Tasa de Falla'!BW83)</f>
        <v>XXXX</v>
      </c>
      <c r="H83" s="450" t="str">
        <f>IF('[1]Tasa de Falla'!BX83=0,"",'[1]Tasa de Falla'!BX83)</f>
        <v>XXXX</v>
      </c>
      <c r="I83" s="450">
        <f>IF('[1]Tasa de Falla'!BY83=0,"",'[1]Tasa de Falla'!BY83)</f>
      </c>
      <c r="J83" s="450">
        <f>IF('[1]Tasa de Falla'!BZ83=0,"",'[1]Tasa de Falla'!BZ83)</f>
      </c>
      <c r="K83" s="450">
        <f>IF('[1]Tasa de Falla'!CA83=0,"",'[1]Tasa de Falla'!CA83)</f>
      </c>
      <c r="L83" s="450">
        <f>IF('[1]Tasa de Falla'!CB83=0,"",'[1]Tasa de Falla'!CB83)</f>
        <v>1</v>
      </c>
      <c r="M83" s="450">
        <f>IF('[1]Tasa de Falla'!CC83=0,"",'[1]Tasa de Falla'!CC83)</f>
      </c>
      <c r="N83" s="450">
        <f>IF('[1]Tasa de Falla'!CD83=0,"",'[1]Tasa de Falla'!CD83)</f>
      </c>
      <c r="O83" s="450">
        <f>IF('[1]Tasa de Falla'!CE83=0,"",'[1]Tasa de Falla'!CE83)</f>
      </c>
      <c r="P83" s="450">
        <f>IF('[1]Tasa de Falla'!CF83=0,"",'[1]Tasa de Falla'!CF83)</f>
      </c>
      <c r="Q83" s="450">
        <f>IF('[1]Tasa de Falla'!CG83=0,"",'[1]Tasa de Falla'!CG83)</f>
        <v>1</v>
      </c>
      <c r="R83" s="450">
        <f>IF('[1]Tasa de Falla'!CH83=0,"",'[1]Tasa de Falla'!CH83)</f>
      </c>
      <c r="S83" s="444"/>
      <c r="T83" s="445"/>
    </row>
    <row r="84" spans="2:20" s="432" customFormat="1" ht="19.5" customHeight="1">
      <c r="B84" s="433"/>
      <c r="C84" s="446">
        <f>'[1]Tasa de Falla'!C84</f>
        <v>66</v>
      </c>
      <c r="D84" s="447" t="str">
        <f>'[1]Tasa de Falla'!D84</f>
        <v>GÜEMES - BURRUYACU</v>
      </c>
      <c r="E84" s="447">
        <f>'[1]Tasa de Falla'!E84</f>
        <v>132</v>
      </c>
      <c r="F84" s="448">
        <f>'[1]Tasa de Falla'!F84</f>
        <v>235.1</v>
      </c>
      <c r="G84" s="449" t="str">
        <f>IF('[1]Tasa de Falla'!BW84=0,"",'[1]Tasa de Falla'!BW84)</f>
        <v>XXXX</v>
      </c>
      <c r="H84" s="449" t="str">
        <f>IF('[1]Tasa de Falla'!BX84=0,"",'[1]Tasa de Falla'!BX84)</f>
        <v>XXXX</v>
      </c>
      <c r="I84" s="449">
        <f>IF('[1]Tasa de Falla'!BY84=0,"",'[1]Tasa de Falla'!BY84)</f>
      </c>
      <c r="J84" s="449">
        <f>IF('[1]Tasa de Falla'!BZ84=0,"",'[1]Tasa de Falla'!BZ84)</f>
      </c>
      <c r="K84" s="449">
        <f>IF('[1]Tasa de Falla'!CA84=0,"",'[1]Tasa de Falla'!CA84)</f>
      </c>
      <c r="L84" s="449">
        <f>IF('[1]Tasa de Falla'!CB84=0,"",'[1]Tasa de Falla'!CB84)</f>
      </c>
      <c r="M84" s="449">
        <f>IF('[1]Tasa de Falla'!CC84=0,"",'[1]Tasa de Falla'!CC84)</f>
      </c>
      <c r="N84" s="449">
        <f>IF('[1]Tasa de Falla'!CD84=0,"",'[1]Tasa de Falla'!CD84)</f>
      </c>
      <c r="O84" s="449">
        <f>IF('[1]Tasa de Falla'!CE84=0,"",'[1]Tasa de Falla'!CE84)</f>
      </c>
      <c r="P84" s="449">
        <f>IF('[1]Tasa de Falla'!CF84=0,"",'[1]Tasa de Falla'!CF84)</f>
      </c>
      <c r="Q84" s="449">
        <f>IF('[1]Tasa de Falla'!CG84=0,"",'[1]Tasa de Falla'!CG84)</f>
      </c>
      <c r="R84" s="449">
        <f>IF('[1]Tasa de Falla'!CH84=0,"",'[1]Tasa de Falla'!CH84)</f>
      </c>
      <c r="S84" s="444"/>
      <c r="T84" s="445"/>
    </row>
    <row r="85" spans="2:20" s="432" customFormat="1" ht="19.5" customHeight="1">
      <c r="B85" s="433"/>
      <c r="C85" s="440">
        <f>'[1]Tasa de Falla'!C85</f>
        <v>0</v>
      </c>
      <c r="D85" s="441" t="str">
        <f>'[1]Tasa de Falla'!D85</f>
        <v>FRIAS - RECREO</v>
      </c>
      <c r="E85" s="441">
        <f>'[1]Tasa de Falla'!E85</f>
        <v>132</v>
      </c>
      <c r="F85" s="442">
        <f>'[1]Tasa de Falla'!F85</f>
        <v>74.54</v>
      </c>
      <c r="G85" s="450" t="str">
        <f>IF('[1]Tasa de Falla'!BW85=0,"",'[1]Tasa de Falla'!BW85)</f>
        <v>XXXX</v>
      </c>
      <c r="H85" s="450" t="str">
        <f>IF('[1]Tasa de Falla'!BX85=0,"",'[1]Tasa de Falla'!BX85)</f>
        <v>XXXX</v>
      </c>
      <c r="I85" s="450" t="str">
        <f>IF('[1]Tasa de Falla'!BY85=0,"",'[1]Tasa de Falla'!BY85)</f>
        <v>XXXX</v>
      </c>
      <c r="J85" s="450" t="str">
        <f>IF('[1]Tasa de Falla'!BZ85=0,"",'[1]Tasa de Falla'!BZ85)</f>
        <v>XXXX</v>
      </c>
      <c r="K85" s="450" t="str">
        <f>IF('[1]Tasa de Falla'!CA85=0,"",'[1]Tasa de Falla'!CA85)</f>
        <v>XXXX</v>
      </c>
      <c r="L85" s="450" t="str">
        <f>IF('[1]Tasa de Falla'!CB85=0,"",'[1]Tasa de Falla'!CB85)</f>
        <v>XXXX</v>
      </c>
      <c r="M85" s="450" t="str">
        <f>IF('[1]Tasa de Falla'!CC85=0,"",'[1]Tasa de Falla'!CC85)</f>
        <v>XXXX</v>
      </c>
      <c r="N85" s="450" t="str">
        <f>IF('[1]Tasa de Falla'!CD85=0,"",'[1]Tasa de Falla'!CD85)</f>
        <v>XXXX</v>
      </c>
      <c r="O85" s="450" t="str">
        <f>IF('[1]Tasa de Falla'!CE85=0,"",'[1]Tasa de Falla'!CE85)</f>
        <v>XXXX</v>
      </c>
      <c r="P85" s="450" t="str">
        <f>IF('[1]Tasa de Falla'!CF85=0,"",'[1]Tasa de Falla'!CF85)</f>
        <v>XXXX</v>
      </c>
      <c r="Q85" s="450" t="str">
        <f>IF('[1]Tasa de Falla'!CG85=0,"",'[1]Tasa de Falla'!CG85)</f>
        <v>XXXX</v>
      </c>
      <c r="R85" s="450" t="str">
        <f>IF('[1]Tasa de Falla'!CH85=0,"",'[1]Tasa de Falla'!CH85)</f>
        <v>XXXX</v>
      </c>
      <c r="S85" s="444"/>
      <c r="T85" s="445"/>
    </row>
    <row r="86" spans="2:20" s="432" customFormat="1" ht="19.5" customHeight="1" thickBot="1">
      <c r="B86" s="433"/>
      <c r="C86" s="453"/>
      <c r="D86" s="454"/>
      <c r="E86" s="455"/>
      <c r="F86" s="456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44"/>
      <c r="T86" s="445"/>
    </row>
    <row r="87" spans="2:20" ht="15" customHeight="1" thickBot="1" thickTop="1">
      <c r="B87" s="418"/>
      <c r="C87" s="123"/>
      <c r="D87" s="206"/>
      <c r="E87" s="458" t="s">
        <v>135</v>
      </c>
      <c r="F87" s="459">
        <f>SUM($F$17:$F$85)-SUMIF('[1]Tasa de Falla'!$CH$17:$CH$85,"XXXX",$F$17:$F$84)</f>
        <v>3049.5800000000004</v>
      </c>
      <c r="G87" s="460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2"/>
      <c r="S87" s="463"/>
      <c r="T87" s="464"/>
    </row>
    <row r="88" spans="2:20" ht="15" customHeight="1" thickBot="1" thickTop="1">
      <c r="B88" s="418"/>
      <c r="C88" s="7"/>
      <c r="D88" s="465"/>
      <c r="F88" s="466" t="s">
        <v>136</v>
      </c>
      <c r="G88" s="467">
        <f aca="true" t="shared" si="0" ref="G88:R88">SUM(G17:G86)</f>
        <v>18</v>
      </c>
      <c r="H88" s="467">
        <f t="shared" si="0"/>
        <v>15</v>
      </c>
      <c r="I88" s="467">
        <f t="shared" si="0"/>
        <v>3</v>
      </c>
      <c r="J88" s="467">
        <f t="shared" si="0"/>
        <v>7</v>
      </c>
      <c r="K88" s="467">
        <f t="shared" si="0"/>
        <v>7</v>
      </c>
      <c r="L88" s="467">
        <f t="shared" si="0"/>
        <v>7</v>
      </c>
      <c r="M88" s="467">
        <f t="shared" si="0"/>
        <v>6</v>
      </c>
      <c r="N88" s="467">
        <f t="shared" si="0"/>
        <v>10</v>
      </c>
      <c r="O88" s="467">
        <f t="shared" si="0"/>
        <v>5</v>
      </c>
      <c r="P88" s="467">
        <f t="shared" si="0"/>
        <v>10</v>
      </c>
      <c r="Q88" s="467">
        <f t="shared" si="0"/>
        <v>7</v>
      </c>
      <c r="R88" s="467">
        <f t="shared" si="0"/>
        <v>0</v>
      </c>
      <c r="S88" s="468"/>
      <c r="T88" s="469"/>
    </row>
    <row r="89" spans="2:20" ht="17.25" thickBot="1" thickTop="1">
      <c r="B89" s="418"/>
      <c r="C89" s="7"/>
      <c r="D89" s="7"/>
      <c r="E89" s="7"/>
      <c r="F89" s="470" t="s">
        <v>137</v>
      </c>
      <c r="G89" s="471">
        <f>+'[1]Tasa de Falla'!BW101</f>
        <v>2.69</v>
      </c>
      <c r="H89" s="471">
        <f>+'[1]Tasa de Falla'!BX101</f>
        <v>2.92</v>
      </c>
      <c r="I89" s="471">
        <f>+'[1]Tasa de Falla'!BY101</f>
        <v>3.15</v>
      </c>
      <c r="J89" s="471">
        <f>+'[1]Tasa de Falla'!BZ101</f>
        <v>3.08</v>
      </c>
      <c r="K89" s="471">
        <f>+'[1]Tasa de Falla'!CA101</f>
        <v>3.25</v>
      </c>
      <c r="L89" s="471">
        <f>+'[1]Tasa de Falla'!CB101</f>
        <v>3.31</v>
      </c>
      <c r="M89" s="471">
        <f>+'[1]Tasa de Falla'!CC101</f>
        <v>3.44</v>
      </c>
      <c r="N89" s="471">
        <f>+'[1]Tasa de Falla'!CD101</f>
        <v>3.21</v>
      </c>
      <c r="O89" s="471">
        <f>+'[1]Tasa de Falla'!CE101</f>
        <v>3.21</v>
      </c>
      <c r="P89" s="471">
        <f>+'[1]Tasa de Falla'!CF101</f>
        <v>3.38</v>
      </c>
      <c r="Q89" s="471">
        <f>+'[1]Tasa de Falla'!CG101</f>
        <v>3.51</v>
      </c>
      <c r="R89" s="471">
        <f>+'[1]Tasa de Falla'!CH101</f>
        <v>3.48</v>
      </c>
      <c r="S89" s="471">
        <f>ROUND(SUM(G88:R88)/$F$87*100,2)</f>
        <v>3.12</v>
      </c>
      <c r="T89" s="472"/>
    </row>
    <row r="90" spans="2:21" ht="18.75" customHeight="1" thickBot="1" thickTop="1">
      <c r="B90" s="418"/>
      <c r="C90" s="473"/>
      <c r="D90" s="86" t="s">
        <v>138</v>
      </c>
      <c r="E90" s="474"/>
      <c r="F90" s="475"/>
      <c r="G90" s="476"/>
      <c r="H90" s="476"/>
      <c r="I90" s="476"/>
      <c r="J90" s="476"/>
      <c r="K90" s="477"/>
      <c r="L90" s="477"/>
      <c r="M90" s="477"/>
      <c r="N90" s="477"/>
      <c r="O90" s="478"/>
      <c r="P90" s="477"/>
      <c r="Q90" s="477"/>
      <c r="R90" s="479"/>
      <c r="S90" s="479"/>
      <c r="T90" s="480"/>
      <c r="U90" s="481"/>
    </row>
    <row r="91" spans="2:20" ht="21.75" thickBot="1" thickTop="1">
      <c r="B91" s="482"/>
      <c r="C91" s="483" t="s">
        <v>139</v>
      </c>
      <c r="D91" s="86" t="s">
        <v>140</v>
      </c>
      <c r="E91" s="7"/>
      <c r="F91" s="484"/>
      <c r="G91" s="485"/>
      <c r="H91" s="485"/>
      <c r="I91" s="486" t="s">
        <v>141</v>
      </c>
      <c r="J91" s="487">
        <f>+S89</f>
        <v>3.12</v>
      </c>
      <c r="K91" s="485" t="s">
        <v>142</v>
      </c>
      <c r="L91" s="485"/>
      <c r="M91" s="485"/>
      <c r="N91" s="488"/>
      <c r="P91" s="489"/>
      <c r="Q91" s="1"/>
      <c r="R91" s="1"/>
      <c r="S91" s="1"/>
      <c r="T91" s="422"/>
    </row>
    <row r="92" spans="2:20" ht="18.75" customHeight="1" thickBot="1">
      <c r="B92" s="490"/>
      <c r="C92" s="491"/>
      <c r="D92" s="133"/>
      <c r="E92" s="133"/>
      <c r="F92" s="492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4"/>
      <c r="R92" s="494"/>
      <c r="S92" s="494"/>
      <c r="T92" s="495"/>
    </row>
    <row r="93" spans="2:21" ht="15" customHeight="1" thickTop="1">
      <c r="B93" s="496"/>
      <c r="C93" s="1"/>
      <c r="D93" s="1"/>
      <c r="E93" s="1"/>
      <c r="F93" s="497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1"/>
      <c r="R93" s="1"/>
      <c r="S93" s="1"/>
      <c r="T93" s="1"/>
      <c r="U93" s="1"/>
    </row>
    <row r="94" spans="2:21" ht="12.75">
      <c r="B94" s="498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</row>
    <row r="95" ht="12.75">
      <c r="B95" s="500"/>
    </row>
    <row r="96" spans="2:21" ht="22.5" customHeight="1">
      <c r="B96" s="1"/>
      <c r="D96" s="1"/>
      <c r="E96" s="1"/>
      <c r="F96" s="1"/>
      <c r="G96" s="501"/>
      <c r="H96" s="489"/>
      <c r="I96" s="489"/>
      <c r="J96" s="489"/>
      <c r="K96" s="489"/>
      <c r="L96" s="489"/>
      <c r="M96" s="489"/>
      <c r="N96" s="489"/>
      <c r="O96" s="489"/>
      <c r="P96" s="489"/>
      <c r="Q96" s="1"/>
      <c r="R96" s="1"/>
      <c r="S96" s="1"/>
      <c r="T96" s="1"/>
      <c r="U96" s="1"/>
    </row>
    <row r="97" spans="2:21" ht="22.5" customHeight="1">
      <c r="B97" s="1"/>
      <c r="C97" s="1"/>
      <c r="D97" s="502"/>
      <c r="E97" s="502"/>
      <c r="F97" s="420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</row>
    <row r="98" spans="2:21" ht="22.5" customHeight="1">
      <c r="B98" s="1"/>
      <c r="C98" s="1"/>
      <c r="D98" s="502"/>
      <c r="E98" s="502"/>
      <c r="F98" s="503"/>
      <c r="G98" s="501"/>
      <c r="H98" s="489"/>
      <c r="I98" s="489"/>
      <c r="J98" s="489"/>
      <c r="K98" s="489"/>
      <c r="L98" s="489"/>
      <c r="M98" s="489"/>
      <c r="N98" s="489"/>
      <c r="O98" s="489"/>
      <c r="P98" s="489"/>
      <c r="Q98" s="1"/>
      <c r="R98" s="1"/>
      <c r="S98" s="1"/>
      <c r="T98" s="1"/>
      <c r="U98" s="1"/>
    </row>
    <row r="99" spans="2:21" ht="22.5" customHeight="1">
      <c r="B99" s="1"/>
      <c r="C99" s="1"/>
      <c r="D99" s="421"/>
      <c r="E99" s="421"/>
      <c r="F99" s="421"/>
      <c r="G99" s="504"/>
      <c r="H99" s="489"/>
      <c r="I99" s="489"/>
      <c r="J99" s="489"/>
      <c r="K99" s="489"/>
      <c r="L99" s="489"/>
      <c r="M99" s="489"/>
      <c r="N99" s="489"/>
      <c r="O99" s="489"/>
      <c r="P99" s="489"/>
      <c r="Q99" s="1"/>
      <c r="R99" s="1"/>
      <c r="S99" s="1"/>
      <c r="T99" s="1"/>
      <c r="U99" s="1"/>
    </row>
    <row r="100" spans="2:21" ht="22.5" customHeight="1">
      <c r="B100" s="1"/>
      <c r="C100" s="1"/>
      <c r="D100" s="502"/>
      <c r="E100" s="502"/>
      <c r="F100" s="421"/>
      <c r="G100" s="504"/>
      <c r="H100" s="489"/>
      <c r="I100" s="489"/>
      <c r="J100" s="489"/>
      <c r="K100" s="489"/>
      <c r="L100" s="489"/>
      <c r="M100" s="489"/>
      <c r="N100" s="489"/>
      <c r="O100" s="489"/>
      <c r="P100" s="489"/>
      <c r="Q100" s="1"/>
      <c r="R100" s="1"/>
      <c r="S100" s="1"/>
      <c r="T100" s="1"/>
      <c r="U100" s="1"/>
    </row>
    <row r="101" spans="7:16" ht="22.5" customHeight="1">
      <c r="G101" s="489"/>
      <c r="H101" s="505"/>
      <c r="I101" s="505"/>
      <c r="J101" s="505"/>
      <c r="K101" s="505"/>
      <c r="L101" s="505"/>
      <c r="M101" s="505"/>
      <c r="N101" s="505"/>
      <c r="O101" s="505"/>
      <c r="P101" s="505"/>
    </row>
    <row r="102" spans="7:16" ht="22.5" customHeight="1">
      <c r="G102" s="489"/>
      <c r="H102" s="505"/>
      <c r="I102" s="505"/>
      <c r="J102" s="505"/>
      <c r="K102" s="505"/>
      <c r="L102" s="505"/>
      <c r="M102" s="505"/>
      <c r="N102" s="505"/>
      <c r="O102" s="505"/>
      <c r="P102" s="505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>
      <c r="G109" s="1"/>
    </row>
    <row r="110" ht="22.5" customHeight="1">
      <c r="G110" s="1"/>
    </row>
    <row r="111" ht="22.5" customHeight="1">
      <c r="G111" s="1"/>
    </row>
    <row r="112" ht="22.5" customHeight="1">
      <c r="G112" s="1"/>
    </row>
    <row r="113" ht="22.5" customHeight="1"/>
    <row r="114" ht="22.5" customHeight="1"/>
    <row r="115" ht="22.5" customHeight="1"/>
    <row r="116" ht="22.5" customHeight="1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1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2002-03-19T16:46:34Z</cp:lastPrinted>
  <dcterms:created xsi:type="dcterms:W3CDTF">1998-04-21T14:04:37Z</dcterms:created>
  <dcterms:modified xsi:type="dcterms:W3CDTF">2002-03-21T14:23:32Z</dcterms:modified>
  <cp:category/>
  <cp:version/>
  <cp:contentType/>
  <cp:contentStatus/>
</cp:coreProperties>
</file>