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212" sheetId="1" r:id="rId1"/>
    <sheet name="T-02 (1)" sheetId="2" r:id="rId2"/>
    <sheet name="SA-02 (1)" sheetId="3" r:id="rId3"/>
    <sheet name="TASA FALLA" sheetId="4" r:id="rId4"/>
    <sheet name="DATO" sheetId="5" r:id="rId5"/>
  </sheets>
  <externalReferences>
    <externalReference r:id="rId8"/>
    <externalReference r:id="rId9"/>
  </externalReferences>
  <definedNames>
    <definedName name="_xlnm.Print_Area" localSheetId="3">'TASA FALLA'!$A$1:$T$43</definedName>
    <definedName name="DD" localSheetId="3">'TASA FALLA'!DD</definedName>
    <definedName name="DD">[0]!DD</definedName>
    <definedName name="DDD" localSheetId="3">'TASA FALLA'!DDD</definedName>
    <definedName name="DDD">[0]!DDD</definedName>
    <definedName name="DISTROCUYO">[0]!DISTROCUYO</definedName>
    <definedName name="INICIO" localSheetId="3">'TASA FALLA'!INICIO</definedName>
    <definedName name="INICIO">[0]!INICIO</definedName>
    <definedName name="INICIOTI" localSheetId="3">'TASA FALLA'!INICIOTI</definedName>
    <definedName name="INICIOTI">[0]!INICIOTI</definedName>
    <definedName name="LINEAS" localSheetId="3">'TASA FALLA'!LINEAS</definedName>
    <definedName name="LINEAS">[0]!LINEAS</definedName>
    <definedName name="LINEASTI" localSheetId="3">'TASA FALLA'!LINEASTI</definedName>
    <definedName name="LINEASTI">[0]!LINEASTI</definedName>
    <definedName name="NAME_L" localSheetId="3">'TASA FALLA'!NAME_L</definedName>
    <definedName name="NAME_L">[0]!NAME_L</definedName>
    <definedName name="NAME_L_TI" localSheetId="3">'TASA FALLA'!NAME_L_TI</definedName>
    <definedName name="NAME_L_TI">[0]!NAME_L_TI</definedName>
    <definedName name="TRAN">[0]!TRAN</definedName>
    <definedName name="TRANSNOA" localSheetId="3">'TASA FALLA'!TRANSNOA</definedName>
    <definedName name="TRANSNOA">[0]!TRANSNOA</definedName>
    <definedName name="TRANSPA" localSheetId="3">'TASA FALLA'!TRANSPA</definedName>
    <definedName name="TRANSPA">[0]!TRANSPA</definedName>
    <definedName name="x">[0]!x</definedName>
    <definedName name="XX">[0]!XX</definedName>
    <definedName name="Z_CED65634_EC76_48B7_BCDE_CE4F22E2E6C4_.wvu.PrintArea" localSheetId="3" hidden="1">'TASA FALLA'!$A$1:$T$43</definedName>
    <definedName name="Z_CED65634_EC76_48B7_BCDE_CE4F22E2E6C4_.wvu.Rows" localSheetId="3" hidden="1">'TASA FALLA'!$16:$16</definedName>
  </definedNames>
  <calcPr fullCalcOnLoad="1"/>
</workbook>
</file>

<file path=xl/sharedStrings.xml><?xml version="1.0" encoding="utf-8"?>
<sst xmlns="http://schemas.openxmlformats.org/spreadsheetml/2006/main" count="216" uniqueCount="157">
  <si>
    <t>SISTEMA DE TRANSPORTE DE ENERGÍA ELÉCTRICA POR DISTRIBUCIÓN TRONCAL</t>
  </si>
  <si>
    <t>DISTROCUYO S.A.</t>
  </si>
  <si>
    <t xml:space="preserve">ENTE NACIONAL REGULADOR </t>
  </si>
  <si>
    <t>DE LA ELECTRICIDAD</t>
  </si>
  <si>
    <t>Sanciones duplicadas por tasa de falla &gt; 4 Sal. x año/100km.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</si>
  <si>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</si>
  <si>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</si>
  <si>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</si>
  <si>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</si>
  <si>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</si>
  <si>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</si>
  <si>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</si>
  <si>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</si>
  <si>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N°</t>
  </si>
  <si>
    <t>U
[kV]</t>
  </si>
  <si>
    <t>$/h</t>
  </si>
  <si>
    <t>Salida</t>
  </si>
  <si>
    <t>Entrada</t>
  </si>
  <si>
    <t>C.R.
%</t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</si>
  <si>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</si>
  <si>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</si>
  <si>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</si>
  <si>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</si>
  <si>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</si>
  <si>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</si>
  <si>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</si>
  <si>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</si>
  <si>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</si>
  <si>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</si>
  <si>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</si>
  <si>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</si>
  <si>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</si>
  <si>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</si>
  <si>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</si>
  <si>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</si>
  <si>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</si>
  <si>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</si>
  <si>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</si>
  <si>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</si>
  <si>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</si>
  <si>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</si>
  <si>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</si>
  <si>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</si>
  <si>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</si>
  <si>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</si>
  <si>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</si>
  <si>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</si>
  <si>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</si>
  <si>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</si>
  <si>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</si>
  <si>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</si>
  <si>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</si>
  <si>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</si>
  <si>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</si>
  <si>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</si>
  <si>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</si>
  <si>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</si>
  <si>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</si>
  <si>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</si>
  <si>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</si>
  <si>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</si>
  <si>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</si>
  <si>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</si>
  <si>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</si>
  <si>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</si>
  <si>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</si>
  <si>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</si>
  <si>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</si>
  <si>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</si>
  <si>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</si>
  <si>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</si>
  <si>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</si>
  <si>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</si>
  <si>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</si>
  <si>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</si>
  <si>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</si>
  <si>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</si>
  <si>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</si>
  <si>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</si>
  <si>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</si>
  <si>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</si>
  <si>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</si>
  <si>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</si>
  <si>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</si>
  <si>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</si>
  <si>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</si>
  <si>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</si>
  <si>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</si>
  <si>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</si>
  <si>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</si>
  <si>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</si>
  <si>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</si>
  <si>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</si>
  <si>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</si>
  <si>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</si>
  <si>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</si>
  <si>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</si>
  <si>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</si>
  <si>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</si>
  <si>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</si>
  <si>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</si>
  <si>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</si>
  <si>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</si>
  <si>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</si>
  <si>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</si>
  <si>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</si>
  <si>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</si>
  <si>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</si>
  <si>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</si>
  <si>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</si>
  <si>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</si>
  <si>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</si>
  <si>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</si>
  <si>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</si>
  <si>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</si>
  <si>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</si>
  <si>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</si>
  <si>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29 de febrero de 2012</t>
  </si>
  <si>
    <t>CAPIZ</t>
  </si>
  <si>
    <t>TRAFO 3</t>
  </si>
  <si>
    <t>132/66/13,2</t>
  </si>
  <si>
    <t>R</t>
  </si>
  <si>
    <t>SI</t>
  </si>
  <si>
    <t>P</t>
  </si>
  <si>
    <t>0,000</t>
  </si>
  <si>
    <t>LUJAN DE CUYO</t>
  </si>
  <si>
    <t>TRAFO 6</t>
  </si>
  <si>
    <t>132/33/13,2</t>
  </si>
  <si>
    <t>ALIMENT. LOS MANANTIALES</t>
  </si>
  <si>
    <t>F</t>
  </si>
  <si>
    <t>ALIMENT. CHACON</t>
  </si>
  <si>
    <t>ALIMENT. CAPIZ</t>
  </si>
  <si>
    <t>ALIMENT. ROSARIO</t>
  </si>
  <si>
    <t>BAJO RIO TUNUYAN</t>
  </si>
  <si>
    <t>LINEA SANTA ROSA</t>
  </si>
  <si>
    <t>SAN JUAN</t>
  </si>
  <si>
    <t>LINEA ELECTRO METALÚRGICA ANDINA</t>
  </si>
  <si>
    <t>MONTECASEROS</t>
  </si>
  <si>
    <t>P - PROGRAMADA  ; R - REDUCCIÓN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</si>
  <si>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</si>
  <si>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F - FORZADA</t>
  </si>
  <si>
    <t xml:space="preserve">SISTEMA DE TRANSPORTE DE ENERGÍA ELÉCTRICA POR DISTRIBUCIÓN TRONCAL </t>
  </si>
  <si>
    <t>INDISPONIBILIDADES FORZADAS DE LÍNEAS - TASA DE FALLA</t>
  </si>
  <si>
    <t>LINEAS</t>
  </si>
  <si>
    <t>Long.
[km]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</si>
  <si>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</si>
  <si>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</si>
  <si>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</si>
  <si>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</si>
  <si>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AÑO/ 100 km</t>
  </si>
  <si>
    <t xml:space="preserve">       DE LA ELECTRICIDAD</t>
  </si>
  <si>
    <t>TOTAL DE PENALIZACIONES A APLICAR</t>
  </si>
  <si>
    <t>Valores remuneratorios según Res. ENRE 329/08 y Res. ENRE 656/08</t>
  </si>
  <si>
    <t>Convenio de Renovación del Acuerdo Instrumental del Acta Acuerdo UNIREN - DISTROCUYO S.A."</t>
  </si>
  <si>
    <t xml:space="preserve">(Dec. PEN Nº 1464/05) </t>
  </si>
  <si>
    <t>Tasa de falla Correspondiente al mes de febrero de 2012</t>
  </si>
  <si>
    <t>ANEXO III al Memorándum  D.T.E.E.  N° 716  /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</si>
</sst>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\a\.m\./\p\.m\."/>
  </numFmts>
  <fonts count="105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407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2" fillId="34" borderId="21" xfId="54" applyFont="1" applyFill="1" applyBorder="1" applyProtection="1">
      <alignment/>
      <protection locked="0"/>
    </xf>
    <xf numFmtId="0" fontId="34" fillId="35" borderId="21" xfId="54" applyFont="1" applyFill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32" fillId="34" borderId="23" xfId="54" applyFont="1" applyFill="1" applyBorder="1" applyProtection="1">
      <alignment/>
      <protection locked="0"/>
    </xf>
    <xf numFmtId="0" fontId="34" fillId="35" borderId="23" xfId="54" applyFont="1" applyFill="1" applyBorder="1" applyProtection="1">
      <alignment/>
      <protection locked="0"/>
    </xf>
    <xf numFmtId="2" fontId="6" fillId="0" borderId="22" xfId="54" applyNumberFormat="1" applyFont="1" applyBorder="1" applyAlignment="1" applyProtection="1">
      <alignment horizontal="center"/>
      <protection locked="0"/>
    </xf>
    <xf numFmtId="4" fontId="34" fillId="35" borderId="23" xfId="54" applyNumberFormat="1" applyFont="1" applyFill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 horizontal="left"/>
      <protection/>
    </xf>
    <xf numFmtId="0" fontId="36" fillId="0" borderId="0" xfId="54" applyFont="1">
      <alignment/>
      <protection/>
    </xf>
    <xf numFmtId="0" fontId="36" fillId="0" borderId="13" xfId="54" applyFont="1" applyBorder="1">
      <alignment/>
      <protection/>
    </xf>
    <xf numFmtId="0" fontId="36" fillId="0" borderId="0" xfId="54" applyFont="1" applyBorder="1" applyAlignment="1">
      <alignment horizontal="center"/>
      <protection/>
    </xf>
    <xf numFmtId="0" fontId="37" fillId="0" borderId="0" xfId="54" applyFont="1" applyBorder="1" applyAlignment="1" applyProtection="1">
      <alignment horizontal="left" vertical="top"/>
      <protection/>
    </xf>
    <xf numFmtId="0" fontId="6" fillId="0" borderId="17" xfId="54" applyFont="1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4" xfId="54" applyFont="1" applyFill="1" applyBorder="1" applyAlignment="1" applyProtection="1">
      <alignment horizontal="center"/>
      <protection/>
    </xf>
    <xf numFmtId="0" fontId="1" fillId="0" borderId="24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5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0" fillId="35" borderId="20" xfId="54" applyFont="1" applyFill="1" applyBorder="1" applyAlignment="1" applyProtection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39" fillId="36" borderId="20" xfId="54" applyFont="1" applyFill="1" applyBorder="1" applyAlignment="1">
      <alignment horizontal="center" vertical="center" wrapText="1"/>
      <protection/>
    </xf>
    <xf numFmtId="0" fontId="39" fillId="37" borderId="15" xfId="54" applyFont="1" applyFill="1" applyBorder="1" applyAlignment="1" applyProtection="1">
      <alignment horizontal="centerContinuous" vertical="center" wrapText="1"/>
      <protection/>
    </xf>
    <xf numFmtId="0" fontId="39" fillId="37" borderId="16" xfId="54" applyFont="1" applyFill="1" applyBorder="1" applyAlignment="1">
      <alignment horizontal="centerContinuous" vertical="center"/>
      <protection/>
    </xf>
    <xf numFmtId="0" fontId="40" fillId="38" borderId="15" xfId="54" applyFont="1" applyFill="1" applyBorder="1" applyAlignment="1" applyProtection="1">
      <alignment horizontal="centerContinuous" vertical="center" wrapText="1"/>
      <protection/>
    </xf>
    <xf numFmtId="0" fontId="40" fillId="38" borderId="16" xfId="54" applyFont="1" applyFill="1" applyBorder="1" applyAlignment="1">
      <alignment horizontal="centerContinuous" vertical="center"/>
      <protection/>
    </xf>
    <xf numFmtId="0" fontId="29" fillId="39" borderId="20" xfId="54" applyFont="1" applyFill="1" applyBorder="1" applyAlignment="1">
      <alignment horizontal="center" vertical="center" wrapText="1"/>
      <protection/>
    </xf>
    <xf numFmtId="0" fontId="39" fillId="40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6" xfId="54" applyFont="1" applyFill="1" applyBorder="1" applyAlignment="1" applyProtection="1">
      <alignment horizontal="center"/>
      <protection locked="0"/>
    </xf>
    <xf numFmtId="0" fontId="6" fillId="0" borderId="21" xfId="54" applyFont="1" applyFill="1" applyBorder="1" applyAlignment="1" applyProtection="1">
      <alignment horizontal="center"/>
      <protection locked="0"/>
    </xf>
    <xf numFmtId="0" fontId="6" fillId="0" borderId="21" xfId="54" applyFont="1" applyFill="1" applyBorder="1" applyProtection="1">
      <alignment/>
      <protection locked="0"/>
    </xf>
    <xf numFmtId="0" fontId="41" fillId="33" borderId="21" xfId="54" applyFont="1" applyFill="1" applyBorder="1" applyProtection="1">
      <alignment/>
      <protection locked="0"/>
    </xf>
    <xf numFmtId="0" fontId="6" fillId="0" borderId="21" xfId="54" applyFont="1" applyFill="1" applyBorder="1" applyAlignment="1">
      <alignment horizontal="center"/>
      <protection/>
    </xf>
    <xf numFmtId="0" fontId="42" fillId="36" borderId="21" xfId="54" applyFont="1" applyFill="1" applyBorder="1" applyProtection="1">
      <alignment/>
      <protection locked="0"/>
    </xf>
    <xf numFmtId="0" fontId="42" fillId="37" borderId="27" xfId="54" applyFont="1" applyFill="1" applyBorder="1" applyAlignment="1" applyProtection="1">
      <alignment horizontal="center"/>
      <protection locked="0"/>
    </xf>
    <xf numFmtId="0" fontId="42" fillId="37" borderId="28" xfId="54" applyFont="1" applyFill="1" applyBorder="1" applyProtection="1">
      <alignment/>
      <protection locked="0"/>
    </xf>
    <xf numFmtId="0" fontId="43" fillId="38" borderId="27" xfId="54" applyFont="1" applyFill="1" applyBorder="1" applyAlignment="1" applyProtection="1">
      <alignment horizontal="center"/>
      <protection locked="0"/>
    </xf>
    <xf numFmtId="0" fontId="43" fillId="38" borderId="28" xfId="54" applyFont="1" applyFill="1" applyBorder="1" applyProtection="1">
      <alignment/>
      <protection locked="0"/>
    </xf>
    <xf numFmtId="0" fontId="33" fillId="39" borderId="21" xfId="54" applyFont="1" applyFill="1" applyBorder="1" applyProtection="1">
      <alignment/>
      <protection locked="0"/>
    </xf>
    <xf numFmtId="0" fontId="42" fillId="40" borderId="21" xfId="54" applyFont="1" applyFill="1" applyBorder="1" applyProtection="1">
      <alignment/>
      <protection locked="0"/>
    </xf>
    <xf numFmtId="0" fontId="35" fillId="0" borderId="21" xfId="54" applyFont="1" applyFill="1" applyBorder="1" applyAlignment="1">
      <alignment horizontal="right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1" fillId="33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2" fillId="36" borderId="23" xfId="54" applyFont="1" applyFill="1" applyBorder="1" applyProtection="1">
      <alignment/>
      <protection locked="0"/>
    </xf>
    <xf numFmtId="0" fontId="42" fillId="37" borderId="30" xfId="54" applyFont="1" applyFill="1" applyBorder="1" applyAlignment="1" applyProtection="1">
      <alignment horizontal="center"/>
      <protection locked="0"/>
    </xf>
    <xf numFmtId="0" fontId="42" fillId="37" borderId="31" xfId="54" applyFont="1" applyFill="1" applyBorder="1" applyProtection="1">
      <alignment/>
      <protection locked="0"/>
    </xf>
    <xf numFmtId="0" fontId="43" fillId="38" borderId="30" xfId="54" applyFont="1" applyFill="1" applyBorder="1" applyAlignment="1" applyProtection="1">
      <alignment horizontal="center"/>
      <protection locked="0"/>
    </xf>
    <xf numFmtId="0" fontId="43" fillId="38" borderId="31" xfId="54" applyFont="1" applyFill="1" applyBorder="1" applyProtection="1">
      <alignment/>
      <protection locked="0"/>
    </xf>
    <xf numFmtId="0" fontId="33" fillId="39" borderId="23" xfId="54" applyFont="1" applyFill="1" applyBorder="1" applyProtection="1">
      <alignment/>
      <protection locked="0"/>
    </xf>
    <xf numFmtId="0" fontId="42" fillId="40" borderId="23" xfId="54" applyFont="1" applyFill="1" applyBorder="1" applyProtection="1">
      <alignment/>
      <protection locked="0"/>
    </xf>
    <xf numFmtId="0" fontId="35" fillId="0" borderId="31" xfId="54" applyFont="1" applyFill="1" applyBorder="1" applyAlignment="1">
      <alignment horizontal="right"/>
      <protection/>
    </xf>
    <xf numFmtId="169" fontId="6" fillId="0" borderId="22" xfId="54" applyNumberFormat="1" applyFont="1" applyBorder="1" applyAlignment="1" applyProtection="1" quotePrefix="1">
      <alignment horizontal="center"/>
      <protection locked="0"/>
    </xf>
    <xf numFmtId="2" fontId="6" fillId="0" borderId="22" xfId="54" applyNumberFormat="1" applyFont="1" applyBorder="1" applyAlignment="1" applyProtection="1" quotePrefix="1">
      <alignment horizontal="center"/>
      <protection locked="0"/>
    </xf>
    <xf numFmtId="172" fontId="41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2" fillId="34" borderId="23" xfId="54" applyNumberFormat="1" applyFont="1" applyFill="1" applyBorder="1" applyAlignment="1" applyProtection="1">
      <alignment horizontal="center"/>
      <protection locked="0"/>
    </xf>
    <xf numFmtId="2" fontId="42" fillId="36" borderId="23" xfId="54" applyNumberFormat="1" applyFont="1" applyFill="1" applyBorder="1" applyAlignment="1" applyProtection="1">
      <alignment horizontal="center"/>
      <protection locked="0"/>
    </xf>
    <xf numFmtId="172" fontId="42" fillId="37" borderId="30" xfId="54" applyNumberFormat="1" applyFont="1" applyFill="1" applyBorder="1" applyAlignment="1" applyProtection="1" quotePrefix="1">
      <alignment horizontal="center"/>
      <protection locked="0"/>
    </xf>
    <xf numFmtId="172" fontId="42" fillId="37" borderId="32" xfId="54" applyNumberFormat="1" applyFont="1" applyFill="1" applyBorder="1" applyAlignment="1" applyProtection="1" quotePrefix="1">
      <alignment horizontal="center"/>
      <protection locked="0"/>
    </xf>
    <xf numFmtId="172" fontId="43" fillId="38" borderId="30" xfId="54" applyNumberFormat="1" applyFont="1" applyFill="1" applyBorder="1" applyAlignment="1" applyProtection="1" quotePrefix="1">
      <alignment horizontal="center"/>
      <protection locked="0"/>
    </xf>
    <xf numFmtId="172" fontId="43" fillId="38" borderId="32" xfId="54" applyNumberFormat="1" applyFont="1" applyFill="1" applyBorder="1" applyAlignment="1" applyProtection="1" quotePrefix="1">
      <alignment horizontal="center"/>
      <protection locked="0"/>
    </xf>
    <xf numFmtId="172" fontId="33" fillId="39" borderId="23" xfId="54" applyNumberFormat="1" applyFont="1" applyFill="1" applyBorder="1" applyAlignment="1" applyProtection="1" quotePrefix="1">
      <alignment horizontal="center"/>
      <protection locked="0"/>
    </xf>
    <xf numFmtId="172" fontId="42" fillId="40" borderId="22" xfId="54" applyNumberFormat="1" applyFont="1" applyFill="1" applyBorder="1" applyAlignment="1" applyProtection="1" quotePrefix="1">
      <alignment horizontal="center"/>
      <protection locked="0"/>
    </xf>
    <xf numFmtId="172" fontId="35" fillId="0" borderId="31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33" xfId="54" applyFont="1" applyFill="1" applyBorder="1">
      <alignment/>
      <protection/>
    </xf>
    <xf numFmtId="0" fontId="41" fillId="33" borderId="33" xfId="54" applyFont="1" applyFill="1" applyBorder="1">
      <alignment/>
      <protection/>
    </xf>
    <xf numFmtId="0" fontId="34" fillId="35" borderId="33" xfId="54" applyFont="1" applyFill="1" applyBorder="1">
      <alignment/>
      <protection/>
    </xf>
    <xf numFmtId="0" fontId="32" fillId="34" borderId="33" xfId="54" applyFont="1" applyFill="1" applyBorder="1">
      <alignment/>
      <protection/>
    </xf>
    <xf numFmtId="0" fontId="42" fillId="36" borderId="33" xfId="54" applyFont="1" applyFill="1" applyBorder="1">
      <alignment/>
      <protection/>
    </xf>
    <xf numFmtId="0" fontId="42" fillId="37" borderId="34" xfId="54" applyFont="1" applyFill="1" applyBorder="1">
      <alignment/>
      <protection/>
    </xf>
    <xf numFmtId="0" fontId="42" fillId="37" borderId="35" xfId="54" applyFont="1" applyFill="1" applyBorder="1">
      <alignment/>
      <protection/>
    </xf>
    <xf numFmtId="0" fontId="43" fillId="38" borderId="34" xfId="54" applyFont="1" applyFill="1" applyBorder="1">
      <alignment/>
      <protection/>
    </xf>
    <xf numFmtId="0" fontId="43" fillId="38" borderId="35" xfId="54" applyFont="1" applyFill="1" applyBorder="1">
      <alignment/>
      <protection/>
    </xf>
    <xf numFmtId="0" fontId="33" fillId="39" borderId="33" xfId="54" applyFont="1" applyFill="1" applyBorder="1">
      <alignment/>
      <protection/>
    </xf>
    <xf numFmtId="0" fontId="42" fillId="40" borderId="33" xfId="54" applyFont="1" applyFill="1" applyBorder="1">
      <alignment/>
      <protection/>
    </xf>
    <xf numFmtId="0" fontId="35" fillId="0" borderId="36" xfId="54" applyFont="1" applyFill="1" applyBorder="1" applyAlignment="1">
      <alignment horizontal="right"/>
      <protection/>
    </xf>
    <xf numFmtId="7" fontId="32" fillId="34" borderId="20" xfId="54" applyNumberFormat="1" applyFont="1" applyFill="1" applyBorder="1" applyAlignment="1">
      <alignment horizontal="center"/>
      <protection/>
    </xf>
    <xf numFmtId="7" fontId="42" fillId="36" borderId="20" xfId="54" applyNumberFormat="1" applyFont="1" applyFill="1" applyBorder="1" applyAlignment="1">
      <alignment horizontal="center"/>
      <protection/>
    </xf>
    <xf numFmtId="7" fontId="42" fillId="37" borderId="20" xfId="54" applyNumberFormat="1" applyFont="1" applyFill="1" applyBorder="1" applyAlignment="1">
      <alignment horizontal="center"/>
      <protection/>
    </xf>
    <xf numFmtId="7" fontId="42" fillId="37" borderId="37" xfId="54" applyNumberFormat="1" applyFont="1" applyFill="1" applyBorder="1" applyAlignment="1">
      <alignment horizontal="center"/>
      <protection/>
    </xf>
    <xf numFmtId="7" fontId="43" fillId="38" borderId="20" xfId="54" applyNumberFormat="1" applyFont="1" applyFill="1" applyBorder="1" applyAlignment="1">
      <alignment horizontal="center"/>
      <protection/>
    </xf>
    <xf numFmtId="7" fontId="33" fillId="39" borderId="20" xfId="54" applyNumberFormat="1" applyFont="1" applyFill="1" applyBorder="1" applyAlignment="1">
      <alignment horizontal="center"/>
      <protection/>
    </xf>
    <xf numFmtId="7" fontId="42" fillId="40" borderId="20" xfId="54" applyNumberFormat="1" applyFont="1" applyFill="1" applyBorder="1" applyAlignment="1">
      <alignment horizontal="center"/>
      <protection/>
    </xf>
    <xf numFmtId="0" fontId="6" fillId="0" borderId="38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36" fillId="0" borderId="13" xfId="54" applyFont="1" applyFill="1" applyBorder="1">
      <alignment/>
      <protection/>
    </xf>
    <xf numFmtId="0" fontId="36" fillId="0" borderId="0" xfId="54" applyFont="1" applyFill="1" applyBorder="1">
      <alignment/>
      <protection/>
    </xf>
    <xf numFmtId="7" fontId="36" fillId="0" borderId="0" xfId="54" applyNumberFormat="1" applyFont="1" applyFill="1" applyBorder="1" applyAlignment="1">
      <alignment horizontal="center"/>
      <protection/>
    </xf>
    <xf numFmtId="7" fontId="36" fillId="0" borderId="0" xfId="54" applyNumberFormat="1" applyFont="1" applyFill="1" applyBorder="1" applyAlignment="1" applyProtection="1">
      <alignment horizontal="right"/>
      <protection locked="0"/>
    </xf>
    <xf numFmtId="0" fontId="36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44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7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45" fillId="0" borderId="37" xfId="54" applyNumberFormat="1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33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39" fillId="40" borderId="20" xfId="54" applyFont="1" applyFill="1" applyBorder="1" applyAlignment="1" applyProtection="1">
      <alignment horizontal="center" vertical="center"/>
      <protection/>
    </xf>
    <xf numFmtId="0" fontId="46" fillId="39" borderId="20" xfId="54" applyFont="1" applyFill="1" applyBorder="1" applyAlignment="1">
      <alignment horizontal="center" vertical="center" wrapText="1"/>
      <protection/>
    </xf>
    <xf numFmtId="0" fontId="39" fillId="38" borderId="15" xfId="54" applyFont="1" applyFill="1" applyBorder="1" applyAlignment="1" applyProtection="1">
      <alignment horizontal="centerContinuous" vertical="center" wrapText="1"/>
      <protection/>
    </xf>
    <xf numFmtId="0" fontId="39" fillId="38" borderId="16" xfId="54" applyFont="1" applyFill="1" applyBorder="1" applyAlignment="1">
      <alignment horizontal="centerContinuous" vertical="center"/>
      <protection/>
    </xf>
    <xf numFmtId="0" fontId="28" fillId="41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1" fillId="33" borderId="21" xfId="54" applyFont="1" applyFill="1" applyBorder="1" applyAlignment="1" applyProtection="1">
      <alignment horizontal="center"/>
      <protection locked="0"/>
    </xf>
    <xf numFmtId="0" fontId="6" fillId="0" borderId="31" xfId="54" applyFont="1" applyFill="1" applyBorder="1" applyAlignment="1" applyProtection="1">
      <alignment horizontal="center"/>
      <protection locked="0"/>
    </xf>
    <xf numFmtId="0" fontId="47" fillId="40" borderId="21" xfId="54" applyFont="1" applyFill="1" applyBorder="1" applyAlignment="1" applyProtection="1">
      <alignment horizontal="center"/>
      <protection locked="0"/>
    </xf>
    <xf numFmtId="0" fontId="48" fillId="39" borderId="21" xfId="54" applyFont="1" applyFill="1" applyBorder="1" applyAlignment="1" applyProtection="1">
      <alignment horizontal="center"/>
      <protection locked="0"/>
    </xf>
    <xf numFmtId="172" fontId="42" fillId="38" borderId="27" xfId="54" applyNumberFormat="1" applyFont="1" applyFill="1" applyBorder="1" applyAlignment="1" applyProtection="1" quotePrefix="1">
      <alignment horizontal="center"/>
      <protection locked="0"/>
    </xf>
    <xf numFmtId="172" fontId="42" fillId="38" borderId="39" xfId="54" applyNumberFormat="1" applyFont="1" applyFill="1" applyBorder="1" applyAlignment="1" applyProtection="1" quotePrefix="1">
      <alignment horizontal="center"/>
      <protection locked="0"/>
    </xf>
    <xf numFmtId="172" fontId="32" fillId="41" borderId="21" xfId="54" applyNumberFormat="1" applyFont="1" applyFill="1" applyBorder="1" applyAlignment="1" applyProtection="1" quotePrefix="1">
      <alignment horizontal="center"/>
      <protection locked="0"/>
    </xf>
    <xf numFmtId="0" fontId="6" fillId="0" borderId="29" xfId="54" applyFont="1" applyFill="1" applyBorder="1" applyAlignment="1" applyProtection="1">
      <alignment horizontal="left"/>
      <protection locked="0"/>
    </xf>
    <xf numFmtId="0" fontId="35" fillId="0" borderId="23" xfId="54" applyFont="1" applyFill="1" applyBorder="1" applyAlignment="1">
      <alignment horizontal="center"/>
      <protection/>
    </xf>
    <xf numFmtId="0" fontId="49" fillId="0" borderId="29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1" fillId="33" borderId="23" xfId="54" applyNumberFormat="1" applyFont="1" applyFill="1" applyBorder="1" applyAlignment="1" applyProtection="1">
      <alignment horizontal="center"/>
      <protection locked="0"/>
    </xf>
    <xf numFmtId="22" fontId="6" fillId="0" borderId="22" xfId="54" applyNumberFormat="1" applyFont="1" applyFill="1" applyBorder="1" applyAlignment="1" applyProtection="1">
      <alignment horizontal="center"/>
      <protection locked="0"/>
    </xf>
    <xf numFmtId="22" fontId="6" fillId="0" borderId="32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47" fillId="40" borderId="23" xfId="54" applyNumberFormat="1" applyFont="1" applyFill="1" applyBorder="1" applyAlignment="1" applyProtection="1">
      <alignment horizontal="center"/>
      <protection locked="0"/>
    </xf>
    <xf numFmtId="2" fontId="48" fillId="39" borderId="23" xfId="54" applyNumberFormat="1" applyFont="1" applyFill="1" applyBorder="1" applyAlignment="1" applyProtection="1">
      <alignment horizontal="center"/>
      <protection locked="0"/>
    </xf>
    <xf numFmtId="172" fontId="42" fillId="38" borderId="30" xfId="54" applyNumberFormat="1" applyFont="1" applyFill="1" applyBorder="1" applyAlignment="1" applyProtection="1" quotePrefix="1">
      <alignment horizontal="center"/>
      <protection locked="0"/>
    </xf>
    <xf numFmtId="172" fontId="42" fillId="38" borderId="32" xfId="54" applyNumberFormat="1" applyFont="1" applyFill="1" applyBorder="1" applyAlignment="1" applyProtection="1" quotePrefix="1">
      <alignment horizontal="center"/>
      <protection locked="0"/>
    </xf>
    <xf numFmtId="172" fontId="32" fillId="41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29" xfId="54" applyNumberFormat="1" applyFont="1" applyFill="1" applyBorder="1" applyAlignment="1" applyProtection="1">
      <alignment horizontal="center"/>
      <protection locked="0"/>
    </xf>
    <xf numFmtId="172" fontId="35" fillId="0" borderId="23" xfId="54" applyNumberFormat="1" applyFont="1" applyFill="1" applyBorder="1" applyAlignment="1">
      <alignment horizontal="center"/>
      <protection/>
    </xf>
    <xf numFmtId="172" fontId="35" fillId="0" borderId="23" xfId="54" applyNumberFormat="1" applyFont="1" applyFill="1" applyBorder="1" applyAlignment="1">
      <alignment horizontal="right"/>
      <protection/>
    </xf>
    <xf numFmtId="0" fontId="31" fillId="33" borderId="33" xfId="54" applyFont="1" applyFill="1" applyBorder="1">
      <alignment/>
      <protection/>
    </xf>
    <xf numFmtId="0" fontId="47" fillId="40" borderId="33" xfId="54" applyFont="1" applyFill="1" applyBorder="1">
      <alignment/>
      <protection/>
    </xf>
    <xf numFmtId="0" fontId="48" fillId="39" borderId="33" xfId="54" applyFont="1" applyFill="1" applyBorder="1">
      <alignment/>
      <protection/>
    </xf>
    <xf numFmtId="0" fontId="42" fillId="38" borderId="34" xfId="54" applyFont="1" applyFill="1" applyBorder="1">
      <alignment/>
      <protection/>
    </xf>
    <xf numFmtId="0" fontId="42" fillId="38" borderId="35" xfId="54" applyFont="1" applyFill="1" applyBorder="1">
      <alignment/>
      <protection/>
    </xf>
    <xf numFmtId="0" fontId="32" fillId="41" borderId="33" xfId="54" applyFont="1" applyFill="1" applyBorder="1">
      <alignment/>
      <protection/>
    </xf>
    <xf numFmtId="0" fontId="35" fillId="0" borderId="36" xfId="54" applyFont="1" applyFill="1" applyBorder="1">
      <alignment/>
      <protection/>
    </xf>
    <xf numFmtId="2" fontId="48" fillId="39" borderId="20" xfId="54" applyNumberFormat="1" applyFont="1" applyFill="1" applyBorder="1" applyAlignment="1">
      <alignment horizontal="center"/>
      <protection/>
    </xf>
    <xf numFmtId="2" fontId="42" fillId="38" borderId="20" xfId="54" applyNumberFormat="1" applyFont="1" applyFill="1" applyBorder="1" applyAlignment="1">
      <alignment horizontal="center"/>
      <protection/>
    </xf>
    <xf numFmtId="2" fontId="32" fillId="41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38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0" fillId="0" borderId="0" xfId="54" applyFont="1" applyAlignment="1">
      <alignment horizontal="right" vertical="top"/>
      <protection/>
    </xf>
    <xf numFmtId="0" fontId="50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1" fillId="0" borderId="0" xfId="54" applyNumberFormat="1" applyFont="1" applyBorder="1" applyAlignment="1">
      <alignment horizontal="left"/>
      <protection/>
    </xf>
    <xf numFmtId="0" fontId="6" fillId="0" borderId="29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 quotePrefix="1">
      <alignment/>
    </xf>
    <xf numFmtId="0" fontId="53" fillId="33" borderId="40" xfId="0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" fillId="42" borderId="0" xfId="0" applyNumberFormat="1" applyFont="1" applyFill="1" applyAlignment="1">
      <alignment/>
    </xf>
    <xf numFmtId="0" fontId="53" fillId="0" borderId="40" xfId="0" applyFont="1" applyFill="1" applyBorder="1" applyAlignment="1">
      <alignment horizontal="center"/>
    </xf>
    <xf numFmtId="0" fontId="1" fillId="42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Border="1" applyAlignment="1">
      <alignment/>
    </xf>
    <xf numFmtId="0" fontId="54" fillId="0" borderId="40" xfId="0" applyFont="1" applyFill="1" applyBorder="1" applyAlignment="1">
      <alignment/>
    </xf>
    <xf numFmtId="0" fontId="54" fillId="0" borderId="41" xfId="0" applyFont="1" applyFill="1" applyBorder="1" applyAlignment="1">
      <alignment/>
    </xf>
    <xf numFmtId="174" fontId="1" fillId="0" borderId="37" xfId="54" applyNumberFormat="1" applyFont="1" applyBorder="1" applyAlignment="1">
      <alignment horizontal="center"/>
      <protection/>
    </xf>
    <xf numFmtId="0" fontId="47" fillId="0" borderId="0" xfId="54" applyFont="1" applyBorder="1">
      <alignment/>
      <protection/>
    </xf>
    <xf numFmtId="0" fontId="47" fillId="0" borderId="0" xfId="54" applyFont="1" applyFill="1" applyBorder="1">
      <alignment/>
      <protection/>
    </xf>
    <xf numFmtId="169" fontId="6" fillId="0" borderId="22" xfId="54" applyNumberFormat="1" applyFont="1" applyBorder="1" applyAlignment="1" applyProtection="1">
      <alignment horizontal="center"/>
      <protection locked="0"/>
    </xf>
    <xf numFmtId="0" fontId="56" fillId="0" borderId="0" xfId="54" applyFont="1" applyBorder="1" applyAlignment="1">
      <alignment horizontal="left"/>
      <protection/>
    </xf>
    <xf numFmtId="0" fontId="56" fillId="0" borderId="24" xfId="54" applyFont="1" applyBorder="1" applyAlignment="1">
      <alignment horizontal="center"/>
      <protection/>
    </xf>
    <xf numFmtId="175" fontId="6" fillId="0" borderId="23" xfId="54" applyNumberFormat="1" applyFont="1" applyFill="1" applyBorder="1" applyAlignment="1" applyProtection="1" quotePrefix="1">
      <alignment horizontal="center"/>
      <protection locked="0"/>
    </xf>
    <xf numFmtId="175" fontId="6" fillId="0" borderId="23" xfId="54" applyNumberFormat="1" applyFont="1" applyFill="1" applyBorder="1" applyAlignment="1" applyProtection="1">
      <alignment horizontal="center"/>
      <protection locked="0"/>
    </xf>
    <xf numFmtId="0" fontId="1" fillId="0" borderId="0" xfId="55">
      <alignment/>
      <protection/>
    </xf>
    <xf numFmtId="0" fontId="50" fillId="0" borderId="0" xfId="55" applyFont="1" applyAlignment="1">
      <alignment horizontal="right" vertical="top"/>
      <protection/>
    </xf>
    <xf numFmtId="0" fontId="58" fillId="0" borderId="0" xfId="55" applyFont="1">
      <alignment/>
      <protection/>
    </xf>
    <xf numFmtId="0" fontId="59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53" fillId="0" borderId="0" xfId="55" applyFont="1" applyAlignment="1">
      <alignment horizontal="centerContinuous" vertical="center"/>
      <protection/>
    </xf>
    <xf numFmtId="0" fontId="53" fillId="0" borderId="0" xfId="55" applyFont="1">
      <alignment/>
      <protection/>
    </xf>
    <xf numFmtId="0" fontId="60" fillId="0" borderId="0" xfId="55" applyFont="1" applyBorder="1" applyAlignment="1">
      <alignment horizontal="centerContinuous"/>
      <protection/>
    </xf>
    <xf numFmtId="0" fontId="61" fillId="0" borderId="0" xfId="55" applyFont="1" applyBorder="1" applyAlignment="1" applyProtection="1">
      <alignment horizontal="left"/>
      <protection/>
    </xf>
    <xf numFmtId="0" fontId="62" fillId="0" borderId="0" xfId="55" applyFont="1" applyBorder="1" applyAlignment="1">
      <alignment horizontal="centerContinuous"/>
      <protection/>
    </xf>
    <xf numFmtId="0" fontId="63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3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64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64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2" xfId="55" applyBorder="1">
      <alignment/>
      <protection/>
    </xf>
    <xf numFmtId="0" fontId="64" fillId="0" borderId="0" xfId="55" applyFont="1" applyBorder="1" applyAlignment="1" applyProtection="1">
      <alignment horizontal="center"/>
      <protection/>
    </xf>
    <xf numFmtId="0" fontId="64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65" fillId="0" borderId="0" xfId="55" applyFont="1" applyAlignment="1">
      <alignment horizontal="centerContinuous" vertical="center"/>
      <protection/>
    </xf>
    <xf numFmtId="0" fontId="65" fillId="0" borderId="13" xfId="55" applyFont="1" applyBorder="1" applyAlignment="1">
      <alignment horizontal="centerContinuous" vertical="center"/>
      <protection/>
    </xf>
    <xf numFmtId="0" fontId="65" fillId="43" borderId="43" xfId="55" applyFont="1" applyFill="1" applyBorder="1" applyAlignment="1" applyProtection="1">
      <alignment horizontal="centerContinuous" vertical="center"/>
      <protection/>
    </xf>
    <xf numFmtId="0" fontId="65" fillId="43" borderId="43" xfId="55" applyFont="1" applyFill="1" applyBorder="1" applyAlignment="1" applyProtection="1">
      <alignment horizontal="centerContinuous" vertical="center" wrapText="1"/>
      <protection/>
    </xf>
    <xf numFmtId="172" fontId="65" fillId="43" borderId="20" xfId="55" applyNumberFormat="1" applyFont="1" applyFill="1" applyBorder="1" applyAlignment="1" applyProtection="1">
      <alignment horizontal="centerContinuous" vertical="center" wrapText="1"/>
      <protection/>
    </xf>
    <xf numFmtId="17" fontId="65" fillId="43" borderId="16" xfId="55" applyNumberFormat="1" applyFont="1" applyFill="1" applyBorder="1" applyAlignment="1">
      <alignment horizontal="center" vertical="center"/>
      <protection/>
    </xf>
    <xf numFmtId="0" fontId="65" fillId="0" borderId="14" xfId="55" applyFont="1" applyBorder="1" applyAlignment="1">
      <alignment vertical="center"/>
      <protection/>
    </xf>
    <xf numFmtId="0" fontId="65" fillId="0" borderId="0" xfId="55" applyFont="1" applyAlignment="1">
      <alignment vertical="center"/>
      <protection/>
    </xf>
    <xf numFmtId="0" fontId="65" fillId="0" borderId="13" xfId="55" applyFont="1" applyBorder="1" applyAlignment="1">
      <alignment vertical="center"/>
      <protection/>
    </xf>
    <xf numFmtId="0" fontId="65" fillId="0" borderId="29" xfId="55" applyFont="1" applyBorder="1" applyAlignment="1">
      <alignment vertical="center"/>
      <protection/>
    </xf>
    <xf numFmtId="0" fontId="65" fillId="0" borderId="44" xfId="55" applyFont="1" applyBorder="1" applyAlignment="1">
      <alignment vertical="center"/>
      <protection/>
    </xf>
    <xf numFmtId="0" fontId="65" fillId="0" borderId="36" xfId="55" applyFont="1" applyBorder="1" applyAlignment="1">
      <alignment vertical="center"/>
      <protection/>
    </xf>
    <xf numFmtId="0" fontId="65" fillId="44" borderId="36" xfId="56" applyFont="1" applyFill="1" applyBorder="1" applyAlignment="1">
      <alignment vertical="center"/>
      <protection/>
    </xf>
    <xf numFmtId="0" fontId="65" fillId="0" borderId="45" xfId="55" applyFont="1" applyBorder="1" applyAlignment="1">
      <alignment vertical="center"/>
      <protection/>
    </xf>
    <xf numFmtId="0" fontId="65" fillId="45" borderId="29" xfId="55" applyFont="1" applyFill="1" applyBorder="1" applyAlignment="1">
      <alignment horizontal="center" vertical="center"/>
      <protection/>
    </xf>
    <xf numFmtId="0" fontId="65" fillId="45" borderId="46" xfId="55" applyFont="1" applyFill="1" applyBorder="1" applyAlignment="1" applyProtection="1">
      <alignment horizontal="center" vertical="center"/>
      <protection/>
    </xf>
    <xf numFmtId="2" fontId="65" fillId="45" borderId="22" xfId="55" applyNumberFormat="1" applyFont="1" applyFill="1" applyBorder="1" applyAlignment="1" applyProtection="1">
      <alignment horizontal="center" vertical="center"/>
      <protection/>
    </xf>
    <xf numFmtId="1" fontId="65" fillId="44" borderId="47" xfId="56" applyNumberFormat="1" applyFont="1" applyFill="1" applyBorder="1" applyAlignment="1">
      <alignment horizontal="center" vertical="center"/>
      <protection/>
    </xf>
    <xf numFmtId="0" fontId="65" fillId="46" borderId="29" xfId="55" applyFont="1" applyFill="1" applyBorder="1" applyAlignment="1">
      <alignment horizontal="center" vertical="center"/>
      <protection/>
    </xf>
    <xf numFmtId="0" fontId="65" fillId="46" borderId="46" xfId="55" applyFont="1" applyFill="1" applyBorder="1" applyAlignment="1" applyProtection="1">
      <alignment horizontal="center" vertical="center"/>
      <protection/>
    </xf>
    <xf numFmtId="2" fontId="65" fillId="46" borderId="22" xfId="55" applyNumberFormat="1" applyFont="1" applyFill="1" applyBorder="1" applyAlignment="1" applyProtection="1">
      <alignment horizontal="center" vertical="center"/>
      <protection/>
    </xf>
    <xf numFmtId="0" fontId="65" fillId="46" borderId="22" xfId="55" applyFont="1" applyFill="1" applyBorder="1" applyAlignment="1">
      <alignment horizontal="center" vertical="center"/>
      <protection/>
    </xf>
    <xf numFmtId="0" fontId="65" fillId="46" borderId="48" xfId="55" applyFont="1" applyFill="1" applyBorder="1" applyAlignment="1" applyProtection="1">
      <alignment horizontal="center" vertical="center"/>
      <protection/>
    </xf>
    <xf numFmtId="2" fontId="65" fillId="46" borderId="47" xfId="55" applyNumberFormat="1" applyFont="1" applyFill="1" applyBorder="1" applyAlignment="1" applyProtection="1">
      <alignment horizontal="center" vertical="center"/>
      <protection/>
    </xf>
    <xf numFmtId="0" fontId="65" fillId="0" borderId="49" xfId="55" applyFont="1" applyBorder="1" applyAlignment="1">
      <alignment horizontal="center" vertical="center"/>
      <protection/>
    </xf>
    <xf numFmtId="0" fontId="65" fillId="0" borderId="50" xfId="55" applyFont="1" applyBorder="1" applyAlignment="1" applyProtection="1">
      <alignment horizontal="left" vertical="center"/>
      <protection/>
    </xf>
    <xf numFmtId="0" fontId="65" fillId="0" borderId="50" xfId="55" applyFont="1" applyBorder="1" applyAlignment="1" applyProtection="1">
      <alignment horizontal="center" vertical="center"/>
      <protection/>
    </xf>
    <xf numFmtId="2" fontId="65" fillId="0" borderId="51" xfId="55" applyNumberFormat="1" applyFont="1" applyBorder="1" applyAlignment="1" applyProtection="1">
      <alignment horizontal="center" vertical="center"/>
      <protection/>
    </xf>
    <xf numFmtId="0" fontId="65" fillId="0" borderId="0" xfId="55" applyFont="1" applyBorder="1" applyAlignment="1">
      <alignment horizontal="center" vertical="center"/>
      <protection/>
    </xf>
    <xf numFmtId="0" fontId="65" fillId="0" borderId="0" xfId="55" applyFont="1" applyBorder="1" applyAlignment="1" applyProtection="1">
      <alignment horizontal="left" vertical="center"/>
      <protection/>
    </xf>
    <xf numFmtId="0" fontId="66" fillId="0" borderId="24" xfId="55" applyFont="1" applyBorder="1" applyAlignment="1" applyProtection="1">
      <alignment horizontal="right" vertical="center"/>
      <protection/>
    </xf>
    <xf numFmtId="172" fontId="66" fillId="0" borderId="51" xfId="55" applyNumberFormat="1" applyFont="1" applyBorder="1" applyAlignment="1" applyProtection="1">
      <alignment horizontal="center" vertical="center"/>
      <protection/>
    </xf>
    <xf numFmtId="1" fontId="65" fillId="0" borderId="20" xfId="55" applyNumberFormat="1" applyFont="1" applyBorder="1" applyAlignment="1">
      <alignment horizontal="center" vertical="center"/>
      <protection/>
    </xf>
    <xf numFmtId="1" fontId="65" fillId="0" borderId="20" xfId="55" applyNumberFormat="1" applyFont="1" applyFill="1" applyBorder="1" applyAlignment="1">
      <alignment horizontal="center" vertical="center"/>
      <protection/>
    </xf>
    <xf numFmtId="0" fontId="65" fillId="0" borderId="0" xfId="55" applyFont="1" applyBorder="1" applyAlignment="1">
      <alignment vertical="center"/>
      <protection/>
    </xf>
    <xf numFmtId="0" fontId="65" fillId="0" borderId="0" xfId="55" applyFont="1" applyBorder="1" applyAlignment="1" applyProtection="1">
      <alignment horizontal="center" vertical="center"/>
      <protection/>
    </xf>
    <xf numFmtId="0" fontId="66" fillId="0" borderId="0" xfId="55" applyFont="1" applyAlignment="1">
      <alignment horizontal="right" vertical="center"/>
      <protection/>
    </xf>
    <xf numFmtId="1" fontId="65" fillId="0" borderId="20" xfId="55" applyNumberFormat="1" applyFont="1" applyBorder="1" applyAlignment="1" applyProtection="1">
      <alignment horizontal="center" vertical="center"/>
      <protection/>
    </xf>
    <xf numFmtId="1" fontId="65" fillId="0" borderId="37" xfId="55" applyNumberFormat="1" applyFont="1" applyBorder="1" applyAlignment="1" applyProtection="1">
      <alignment horizontal="center" vertical="center"/>
      <protection/>
    </xf>
    <xf numFmtId="17" fontId="66" fillId="0" borderId="0" xfId="55" applyNumberFormat="1" applyFont="1" applyBorder="1" applyAlignment="1">
      <alignment horizontal="right" vertical="center"/>
      <protection/>
    </xf>
    <xf numFmtId="2" fontId="66" fillId="47" borderId="51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67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68" fillId="0" borderId="25" xfId="55" applyFont="1" applyBorder="1" applyAlignment="1">
      <alignment horizontal="center"/>
      <protection/>
    </xf>
    <xf numFmtId="2" fontId="69" fillId="0" borderId="25" xfId="55" applyNumberFormat="1" applyFont="1" applyBorder="1" applyAlignment="1">
      <alignment horizontal="center"/>
      <protection/>
    </xf>
    <xf numFmtId="0" fontId="70" fillId="0" borderId="25" xfId="55" applyFont="1" applyBorder="1">
      <alignment/>
      <protection/>
    </xf>
    <xf numFmtId="0" fontId="1" fillId="0" borderId="25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67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4" fillId="0" borderId="0" xfId="54" applyFont="1" applyFill="1" applyBorder="1" applyAlignment="1" applyProtection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1000125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857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28575</xdr:rowOff>
    </xdr:from>
    <xdr:to>
      <xdr:col>1</xdr:col>
      <xdr:colOff>57150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177.87</v>
          </cell>
          <cell r="GP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42.95</v>
          </cell>
          <cell r="G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53.49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188.32</v>
          </cell>
          <cell r="GM21">
            <v>1</v>
          </cell>
          <cell r="GN21">
            <v>2</v>
          </cell>
          <cell r="GQ21">
            <v>1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GS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41.95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52.86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122.13</v>
          </cell>
          <cell r="GU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15.59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19.06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19.06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21.98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21.98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GP32">
            <v>1</v>
          </cell>
          <cell r="GS32">
            <v>2</v>
          </cell>
          <cell r="GT32">
            <v>1</v>
          </cell>
          <cell r="GV32">
            <v>1</v>
          </cell>
          <cell r="GW32">
            <v>1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18.08</v>
          </cell>
          <cell r="GU33">
            <v>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18.08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46.45</v>
          </cell>
          <cell r="GL35">
            <v>1</v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9">
          <cell r="GL39">
            <v>0.8</v>
          </cell>
          <cell r="GM39">
            <v>0.8</v>
          </cell>
          <cell r="GN39">
            <v>0.88</v>
          </cell>
          <cell r="GO39">
            <v>0.88</v>
          </cell>
          <cell r="GP39">
            <v>0.88</v>
          </cell>
          <cell r="GQ39">
            <v>1.02</v>
          </cell>
          <cell r="GR39">
            <v>0.95</v>
          </cell>
          <cell r="GS39">
            <v>0.95</v>
          </cell>
          <cell r="GT39">
            <v>1.09</v>
          </cell>
          <cell r="GU39">
            <v>1.02</v>
          </cell>
          <cell r="GV39">
            <v>1.09</v>
          </cell>
          <cell r="GW39">
            <v>1.17</v>
          </cell>
          <cell r="GX39">
            <v>1.17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Transporte\Transporte\AA%20PROCESO%20AUT\EXCEL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3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29.421875" style="8" customWidth="1"/>
    <col min="2" max="2" width="10.57421875" style="8" customWidth="1"/>
    <col min="3" max="3" width="9.8515625" style="8" customWidth="1"/>
    <col min="4" max="4" width="8.421875" style="8" customWidth="1"/>
    <col min="5" max="5" width="20.00390625" style="8" customWidth="1"/>
    <col min="6" max="6" width="21.140625" style="8" customWidth="1"/>
    <col min="7" max="7" width="20.00390625" style="8" customWidth="1"/>
    <col min="8" max="8" width="15.140625" style="8" customWidth="1"/>
    <col min="9" max="9" width="15.7109375" style="8" customWidth="1"/>
    <col min="10" max="10" width="7.5742187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4" customFormat="1" ht="26.25">
      <c r="B1" s="5"/>
      <c r="K1" s="290"/>
    </row>
    <row r="2" spans="2:10" s="4" customFormat="1" ht="26.25">
      <c r="B2" s="5" t="s">
        <v>156</v>
      </c>
      <c r="C2" s="6"/>
      <c r="D2" s="7"/>
      <c r="E2" s="7"/>
      <c r="F2" s="7"/>
      <c r="G2" s="7"/>
      <c r="H2" s="7"/>
      <c r="I2" s="7"/>
      <c r="J2" s="7"/>
    </row>
    <row r="3" spans="3:19" ht="12.75">
      <c r="C3" s="1"/>
      <c r="D3" s="9"/>
      <c r="E3" s="9"/>
      <c r="F3" s="9"/>
      <c r="G3" s="9"/>
      <c r="H3" s="9"/>
      <c r="I3" s="9"/>
      <c r="J3" s="9"/>
      <c r="P3" s="10"/>
      <c r="Q3" s="10"/>
      <c r="R3" s="10"/>
      <c r="S3" s="10"/>
    </row>
    <row r="4" spans="1:19" s="11" customFormat="1" ht="11.25">
      <c r="A4" s="406" t="s">
        <v>2</v>
      </c>
      <c r="B4" s="40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1" customFormat="1" ht="11.25">
      <c r="A5" s="406" t="s">
        <v>150</v>
      </c>
      <c r="B5" s="40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s="4" customFormat="1" ht="8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16" t="s">
        <v>0</v>
      </c>
      <c r="C7" s="17"/>
      <c r="D7" s="18"/>
      <c r="E7" s="18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5" customFormat="1" ht="19.5">
      <c r="B9" s="16" t="s">
        <v>1</v>
      </c>
      <c r="C9" s="17"/>
      <c r="D9" s="18"/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21"/>
      <c r="E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5" customFormat="1" ht="19.5">
      <c r="B11" s="16" t="s">
        <v>151</v>
      </c>
      <c r="C11" s="17"/>
      <c r="D11" s="18"/>
      <c r="E11" s="18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22" customFormat="1" ht="16.5" thickBot="1">
      <c r="D12" s="23"/>
      <c r="E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s="22" customFormat="1" ht="16.5" thickTop="1">
      <c r="B13" s="25">
        <v>1</v>
      </c>
      <c r="C13" s="26" t="b">
        <v>0</v>
      </c>
      <c r="D13" s="27"/>
      <c r="E13" s="27"/>
      <c r="F13" s="27"/>
      <c r="G13" s="27"/>
      <c r="H13" s="27"/>
      <c r="I13" s="27"/>
      <c r="J13" s="28"/>
      <c r="K13" s="24"/>
      <c r="L13" s="24"/>
      <c r="M13" s="24"/>
      <c r="N13" s="24"/>
      <c r="O13" s="24"/>
      <c r="P13" s="24"/>
      <c r="Q13" s="24"/>
      <c r="R13" s="24"/>
      <c r="S13" s="24"/>
    </row>
    <row r="14" spans="2:19" s="15" customFormat="1" ht="19.5">
      <c r="B14" s="29" t="s">
        <v>117</v>
      </c>
      <c r="C14" s="30"/>
      <c r="D14" s="31"/>
      <c r="E14" s="32"/>
      <c r="F14" s="32"/>
      <c r="G14" s="32"/>
      <c r="H14" s="32"/>
      <c r="I14" s="19"/>
      <c r="J14" s="33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5" customFormat="1" ht="19.5" hidden="1">
      <c r="B15" s="34"/>
      <c r="C15" s="35"/>
      <c r="D15" s="35"/>
      <c r="E15" s="20"/>
      <c r="F15" s="36"/>
      <c r="G15" s="36"/>
      <c r="H15" s="36"/>
      <c r="I15" s="20"/>
      <c r="J15" s="37"/>
      <c r="K15" s="20"/>
      <c r="L15" s="20"/>
      <c r="M15" s="20"/>
      <c r="N15" s="20"/>
      <c r="O15" s="20"/>
      <c r="P15" s="20"/>
      <c r="Q15" s="20"/>
      <c r="R15" s="20"/>
      <c r="S15" s="20"/>
    </row>
    <row r="16" spans="2:19" s="15" customFormat="1" ht="19.5" hidden="1">
      <c r="B16" s="29" t="s">
        <v>4</v>
      </c>
      <c r="C16" s="38"/>
      <c r="D16" s="38"/>
      <c r="E16" s="19"/>
      <c r="F16" s="32"/>
      <c r="G16" s="32"/>
      <c r="H16" s="32"/>
      <c r="I16" s="19"/>
      <c r="J16" s="33"/>
      <c r="K16" s="1"/>
      <c r="L16" s="20"/>
      <c r="M16" s="20"/>
      <c r="N16" s="20"/>
      <c r="O16" s="20"/>
      <c r="P16" s="20"/>
      <c r="Q16" s="20"/>
      <c r="R16" s="20"/>
      <c r="S16" s="20"/>
    </row>
    <row r="17" spans="2:19" s="15" customFormat="1" ht="19.5">
      <c r="B17" s="34"/>
      <c r="C17" s="35"/>
      <c r="D17" s="35"/>
      <c r="E17" s="20"/>
      <c r="F17" s="36"/>
      <c r="G17" s="36"/>
      <c r="H17" s="36"/>
      <c r="I17" s="20"/>
      <c r="J17" s="37"/>
      <c r="K17" s="1"/>
      <c r="L17" s="20"/>
      <c r="M17" s="20"/>
      <c r="N17" s="20"/>
      <c r="O17" s="20"/>
      <c r="P17" s="20"/>
      <c r="Q17" s="20"/>
      <c r="R17" s="20"/>
      <c r="S17" s="20"/>
    </row>
    <row r="18" spans="2:19" ht="13.5">
      <c r="B18" s="42"/>
      <c r="C18" s="43"/>
      <c r="D18" s="44"/>
      <c r="E18" s="10"/>
      <c r="F18" s="45"/>
      <c r="G18" s="45"/>
      <c r="H18" s="45"/>
      <c r="I18" s="46"/>
      <c r="J18" s="47"/>
      <c r="K18" s="10"/>
      <c r="L18" s="10"/>
      <c r="M18" s="10"/>
      <c r="N18" s="10"/>
      <c r="O18" s="10"/>
      <c r="P18" s="10"/>
      <c r="Q18" s="10"/>
      <c r="R18" s="10"/>
      <c r="S18" s="10"/>
    </row>
    <row r="19" spans="2:19" s="15" customFormat="1" ht="19.5">
      <c r="B19" s="34"/>
      <c r="C19" s="39" t="s">
        <v>5</v>
      </c>
      <c r="D19" s="40" t="s">
        <v>6</v>
      </c>
      <c r="E19" s="20"/>
      <c r="F19" s="36"/>
      <c r="G19" s="36"/>
      <c r="H19" s="36"/>
      <c r="I19" s="41"/>
      <c r="J19" s="37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3.5">
      <c r="B20" s="42"/>
      <c r="C20" s="43"/>
      <c r="D20" s="43"/>
      <c r="E20" s="10"/>
      <c r="F20" s="45"/>
      <c r="G20" s="45"/>
      <c r="H20" s="45"/>
      <c r="I20" s="48"/>
      <c r="J20" s="47"/>
      <c r="K20" s="10"/>
      <c r="L20" s="10"/>
      <c r="M20" s="10"/>
      <c r="N20" s="10"/>
      <c r="O20" s="10"/>
      <c r="P20" s="10"/>
      <c r="Q20" s="10"/>
      <c r="R20" s="10"/>
      <c r="S20" s="10"/>
    </row>
    <row r="21" spans="2:19" s="15" customFormat="1" ht="19.5">
      <c r="B21" s="34"/>
      <c r="C21" s="39"/>
      <c r="D21" s="39" t="s">
        <v>7</v>
      </c>
      <c r="E21" s="49" t="s">
        <v>8</v>
      </c>
      <c r="F21" s="36"/>
      <c r="G21" s="36"/>
      <c r="H21" s="36"/>
      <c r="I21" s="41">
        <f>'T-02 (1)'!AC43</f>
        <v>1341.9</v>
      </c>
      <c r="J21" s="37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3.5">
      <c r="B22" s="42"/>
      <c r="C22" s="43"/>
      <c r="D22" s="43"/>
      <c r="E22" s="10"/>
      <c r="F22" s="45"/>
      <c r="G22" s="45"/>
      <c r="H22" s="45"/>
      <c r="I22" s="48"/>
      <c r="J22" s="47"/>
      <c r="K22" s="10"/>
      <c r="L22" s="10"/>
      <c r="M22" s="10"/>
      <c r="N22" s="10"/>
      <c r="O22" s="10"/>
      <c r="P22" s="10"/>
      <c r="Q22" s="10"/>
      <c r="R22" s="10"/>
      <c r="S22" s="10"/>
    </row>
    <row r="23" spans="2:19" s="15" customFormat="1" ht="19.5">
      <c r="B23" s="34"/>
      <c r="C23" s="39"/>
      <c r="D23" s="39" t="s">
        <v>9</v>
      </c>
      <c r="E23" s="49" t="s">
        <v>10</v>
      </c>
      <c r="F23" s="36"/>
      <c r="G23" s="36"/>
      <c r="H23" s="36"/>
      <c r="I23" s="41">
        <f>'SA-02 (1)'!V43</f>
        <v>6250.24</v>
      </c>
      <c r="J23" s="37"/>
      <c r="K23" s="20"/>
      <c r="L23" s="20"/>
      <c r="M23" s="20"/>
      <c r="N23" s="20"/>
      <c r="O23" s="20"/>
      <c r="P23" s="20"/>
      <c r="Q23" s="20"/>
      <c r="R23" s="20"/>
      <c r="S23" s="20"/>
    </row>
    <row r="24" spans="2:19" s="15" customFormat="1" ht="19.5">
      <c r="B24" s="34"/>
      <c r="C24" s="35"/>
      <c r="D24" s="35"/>
      <c r="E24" s="49"/>
      <c r="F24" s="36"/>
      <c r="G24" s="36"/>
      <c r="H24" s="36"/>
      <c r="I24" s="41"/>
      <c r="J24" s="37"/>
      <c r="K24" s="20"/>
      <c r="L24" s="20"/>
      <c r="M24" s="20"/>
      <c r="N24" s="20"/>
      <c r="O24" s="20"/>
      <c r="P24" s="20"/>
      <c r="Q24" s="20"/>
      <c r="R24" s="20"/>
      <c r="S24" s="20"/>
    </row>
    <row r="25" spans="2:19" s="15" customFormat="1" ht="19.5">
      <c r="B25" s="34"/>
      <c r="C25" s="35"/>
      <c r="D25" s="35"/>
      <c r="E25" s="20"/>
      <c r="F25" s="36"/>
      <c r="G25" s="36"/>
      <c r="H25" s="36"/>
      <c r="I25" s="50"/>
      <c r="J25" s="37"/>
      <c r="K25" s="20"/>
      <c r="L25" s="20"/>
      <c r="M25" s="20"/>
      <c r="N25" s="20"/>
      <c r="O25" s="20"/>
      <c r="P25" s="20"/>
      <c r="Q25" s="20"/>
      <c r="R25" s="20"/>
      <c r="S25" s="20"/>
    </row>
    <row r="26" spans="2:19" s="15" customFormat="1" ht="20.25" thickBot="1">
      <c r="B26" s="34"/>
      <c r="C26" s="35"/>
      <c r="D26" s="35"/>
      <c r="E26" s="20"/>
      <c r="F26" s="36"/>
      <c r="G26" s="36"/>
      <c r="H26" s="36"/>
      <c r="I26" s="20"/>
      <c r="J26" s="37"/>
      <c r="K26" s="20"/>
      <c r="L26" s="20"/>
      <c r="M26" s="20"/>
      <c r="N26" s="20"/>
      <c r="O26" s="20"/>
      <c r="P26" s="20"/>
      <c r="Q26" s="20"/>
      <c r="R26" s="20"/>
      <c r="S26" s="20"/>
    </row>
    <row r="27" spans="2:19" s="15" customFormat="1" ht="20.25" thickBot="1" thickTop="1">
      <c r="B27" s="34"/>
      <c r="C27" s="39"/>
      <c r="D27" s="39"/>
      <c r="F27" s="51" t="s">
        <v>11</v>
      </c>
      <c r="G27" s="52">
        <f>SUM(I21:I23)</f>
        <v>7592.139999999999</v>
      </c>
      <c r="H27" s="53"/>
      <c r="J27" s="37"/>
      <c r="K27" s="20"/>
      <c r="L27" s="20"/>
      <c r="M27" s="20"/>
      <c r="N27" s="20"/>
      <c r="O27" s="20"/>
      <c r="P27" s="20"/>
      <c r="Q27" s="20"/>
      <c r="R27" s="20"/>
      <c r="S27" s="20"/>
    </row>
    <row r="28" spans="2:19" s="15" customFormat="1" ht="19.5" thickTop="1">
      <c r="B28" s="34"/>
      <c r="C28" s="39"/>
      <c r="D28" s="39"/>
      <c r="F28" s="292"/>
      <c r="G28" s="53"/>
      <c r="H28" s="53"/>
      <c r="J28" s="37"/>
      <c r="K28" s="20"/>
      <c r="L28" s="20"/>
      <c r="M28" s="20"/>
      <c r="N28" s="20"/>
      <c r="O28" s="20"/>
      <c r="P28" s="20"/>
      <c r="Q28" s="20"/>
      <c r="R28" s="20"/>
      <c r="S28" s="20"/>
    </row>
    <row r="29" spans="2:19" s="15" customFormat="1" ht="18.75">
      <c r="B29" s="34"/>
      <c r="C29" s="293" t="s">
        <v>152</v>
      </c>
      <c r="D29" s="39"/>
      <c r="F29" s="292"/>
      <c r="G29" s="53"/>
      <c r="H29" s="53"/>
      <c r="J29" s="37"/>
      <c r="K29" s="20"/>
      <c r="L29" s="20"/>
      <c r="M29" s="20"/>
      <c r="N29" s="20"/>
      <c r="O29" s="20"/>
      <c r="P29" s="20"/>
      <c r="Q29" s="20"/>
      <c r="R29" s="20"/>
      <c r="S29" s="20"/>
    </row>
    <row r="30" spans="2:19" s="15" customFormat="1" ht="18.75">
      <c r="B30" s="34"/>
      <c r="C30" s="293" t="s">
        <v>153</v>
      </c>
      <c r="D30" s="39"/>
      <c r="F30" s="292"/>
      <c r="G30" s="53"/>
      <c r="H30" s="53"/>
      <c r="J30" s="37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15" customFormat="1" ht="18.75">
      <c r="B31" s="34"/>
      <c r="C31" s="293" t="s">
        <v>154</v>
      </c>
      <c r="D31" s="39"/>
      <c r="F31" s="292"/>
      <c r="G31" s="53"/>
      <c r="H31" s="53"/>
      <c r="J31" s="37"/>
      <c r="K31" s="20"/>
      <c r="L31" s="20"/>
      <c r="M31" s="20"/>
      <c r="N31" s="20"/>
      <c r="O31" s="20"/>
      <c r="P31" s="20"/>
      <c r="Q31" s="20"/>
      <c r="R31" s="20"/>
      <c r="S31" s="20"/>
    </row>
    <row r="32" spans="2:19" s="22" customFormat="1" ht="16.5" thickBot="1">
      <c r="B32" s="54"/>
      <c r="C32" s="55"/>
      <c r="D32" s="55"/>
      <c r="E32" s="56"/>
      <c r="F32" s="56"/>
      <c r="G32" s="56"/>
      <c r="H32" s="56"/>
      <c r="I32" s="56"/>
      <c r="J32" s="57"/>
      <c r="K32" s="24"/>
      <c r="L32" s="24"/>
      <c r="M32" s="58"/>
      <c r="N32" s="59"/>
      <c r="O32" s="59"/>
      <c r="P32" s="60"/>
      <c r="Q32" s="61"/>
      <c r="R32" s="24"/>
      <c r="S32" s="24"/>
    </row>
    <row r="33" spans="4:19" ht="13.5" thickTop="1">
      <c r="D33" s="10"/>
      <c r="F33" s="10"/>
      <c r="G33" s="10"/>
      <c r="H33" s="10"/>
      <c r="I33" s="10"/>
      <c r="J33" s="10"/>
      <c r="K33" s="10"/>
      <c r="L33" s="10"/>
      <c r="M33" s="62"/>
      <c r="N33" s="63"/>
      <c r="O33" s="63"/>
      <c r="P33" s="10"/>
      <c r="Q33" s="3"/>
      <c r="R33" s="10"/>
      <c r="S33" s="10"/>
    </row>
    <row r="34" spans="4:19" ht="12.75">
      <c r="D34" s="10"/>
      <c r="F34" s="10"/>
      <c r="G34" s="10"/>
      <c r="H34" s="10"/>
      <c r="I34" s="10"/>
      <c r="J34" s="10"/>
      <c r="K34" s="10"/>
      <c r="L34" s="10"/>
      <c r="M34" s="10"/>
      <c r="N34" s="64"/>
      <c r="O34" s="64"/>
      <c r="P34" s="65"/>
      <c r="Q34" s="3"/>
      <c r="R34" s="10"/>
      <c r="S34" s="10"/>
    </row>
    <row r="35" spans="4:19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4"/>
      <c r="O35" s="64"/>
      <c r="P35" s="65"/>
      <c r="Q35" s="3"/>
      <c r="R35" s="10"/>
      <c r="S35" s="10"/>
    </row>
    <row r="36" spans="4:19" ht="12.75">
      <c r="D36" s="10"/>
      <c r="E36" s="10"/>
      <c r="L36" s="10"/>
      <c r="M36" s="10"/>
      <c r="N36" s="10"/>
      <c r="O36" s="10"/>
      <c r="P36" s="10"/>
      <c r="Q36" s="10"/>
      <c r="R36" s="10"/>
      <c r="S36" s="10"/>
    </row>
    <row r="37" spans="4:19" ht="12.75">
      <c r="D37" s="10"/>
      <c r="E37" s="10"/>
      <c r="P37" s="10"/>
      <c r="Q37" s="10"/>
      <c r="R37" s="10"/>
      <c r="S37" s="10"/>
    </row>
    <row r="38" spans="4:19" ht="12.75">
      <c r="D38" s="10"/>
      <c r="E38" s="10"/>
      <c r="P38" s="10"/>
      <c r="Q38" s="10"/>
      <c r="R38" s="10"/>
      <c r="S38" s="10"/>
    </row>
    <row r="39" spans="4:19" ht="12.75">
      <c r="D39" s="10"/>
      <c r="E39" s="10"/>
      <c r="P39" s="10"/>
      <c r="Q39" s="10"/>
      <c r="R39" s="10"/>
      <c r="S39" s="10"/>
    </row>
    <row r="40" spans="4:19" ht="12.75">
      <c r="D40" s="10"/>
      <c r="E40" s="10"/>
      <c r="P40" s="10"/>
      <c r="Q40" s="10"/>
      <c r="R40" s="10"/>
      <c r="S40" s="10"/>
    </row>
    <row r="41" spans="4:19" ht="12.75">
      <c r="D41" s="10"/>
      <c r="E41" s="10"/>
      <c r="P41" s="10"/>
      <c r="Q41" s="10"/>
      <c r="R41" s="10"/>
      <c r="S41" s="10"/>
    </row>
    <row r="42" spans="16:19" ht="12.75">
      <c r="P42" s="10"/>
      <c r="Q42" s="10"/>
      <c r="R42" s="10"/>
      <c r="S42" s="10"/>
    </row>
    <row r="43" spans="16:19" ht="12.75">
      <c r="P43" s="10"/>
      <c r="Q43" s="10"/>
      <c r="R43" s="10"/>
      <c r="S43" s="10"/>
    </row>
  </sheetData>
  <sheetProtection/>
  <mergeCells count="2">
    <mergeCell ref="A4:B4"/>
    <mergeCell ref="A5:B5"/>
  </mergeCells>
  <printOptions/>
  <pageMargins left="0.3937007874015748" right="0.99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70" zoomScaleNormal="70" zoomScalePageLayoutView="0" workbookViewId="0" topLeftCell="A1">
      <selection activeCell="A37" sqref="A37"/>
    </sheetView>
  </sheetViews>
  <sheetFormatPr defaultColWidth="11.421875" defaultRowHeight="12.75"/>
  <cols>
    <col min="1" max="1" width="18.71093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13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4" customFormat="1" ht="32.2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291"/>
    </row>
    <row r="2" spans="2:30" s="4" customFormat="1" ht="26.25">
      <c r="B2" s="66" t="str">
        <f>+'TOT-0212'!B2</f>
        <v>ANEXO III al Memorándum  D.T.E.E.  N° 716  / 2013</v>
      </c>
      <c r="C2" s="99"/>
      <c r="D2" s="99"/>
      <c r="E2" s="99"/>
      <c r="F2" s="99"/>
      <c r="G2" s="7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2:30" s="8" customFormat="1" ht="12" customHeight="1">
      <c r="B3" s="67"/>
      <c r="C3" s="100"/>
      <c r="D3" s="100"/>
      <c r="E3" s="100"/>
      <c r="F3" s="100"/>
      <c r="G3" s="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s="11" customFormat="1" ht="11.25">
      <c r="A4" s="101" t="s">
        <v>2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0" s="11" customFormat="1" ht="11.25">
      <c r="A5" s="101" t="s">
        <v>3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2:30" s="8" customFormat="1" ht="16.5" customHeight="1" thickBo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2:30" s="8" customFormat="1" ht="16.5" customHeight="1" thickTop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7"/>
    </row>
    <row r="8" spans="2:30" s="71" customFormat="1" ht="20.25">
      <c r="B8" s="108"/>
      <c r="C8" s="109"/>
      <c r="D8" s="109"/>
      <c r="E8" s="109"/>
      <c r="F8" s="110" t="s">
        <v>12</v>
      </c>
      <c r="H8" s="109"/>
      <c r="I8" s="111"/>
      <c r="J8" s="111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2"/>
    </row>
    <row r="9" spans="2:30" s="8" customFormat="1" ht="16.5" customHeight="1">
      <c r="B9" s="113"/>
      <c r="C9" s="62"/>
      <c r="D9" s="62"/>
      <c r="E9" s="62"/>
      <c r="F9" s="62"/>
      <c r="G9" s="62"/>
      <c r="H9" s="62"/>
      <c r="I9" s="104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114"/>
    </row>
    <row r="10" spans="2:30" s="71" customFormat="1" ht="20.25">
      <c r="B10" s="108"/>
      <c r="C10" s="109"/>
      <c r="D10" s="109"/>
      <c r="E10" s="109"/>
      <c r="F10" s="110" t="s">
        <v>25</v>
      </c>
      <c r="G10" s="109"/>
      <c r="H10" s="109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2"/>
    </row>
    <row r="11" spans="2:30" s="8" customFormat="1" ht="16.5" customHeight="1">
      <c r="B11" s="113"/>
      <c r="C11" s="62"/>
      <c r="D11" s="62"/>
      <c r="E11" s="62"/>
      <c r="F11" s="115"/>
      <c r="G11" s="62"/>
      <c r="H11" s="62"/>
      <c r="I11" s="10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114"/>
    </row>
    <row r="12" spans="2:30" s="71" customFormat="1" ht="20.25">
      <c r="B12" s="108"/>
      <c r="C12" s="109"/>
      <c r="D12" s="109"/>
      <c r="E12" s="109"/>
      <c r="F12" s="116" t="s">
        <v>26</v>
      </c>
      <c r="G12" s="110"/>
      <c r="H12" s="111"/>
      <c r="I12" s="111"/>
      <c r="J12" s="117"/>
      <c r="K12" s="109"/>
      <c r="L12" s="111"/>
      <c r="M12" s="111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12"/>
    </row>
    <row r="13" spans="2:30" s="8" customFormat="1" ht="16.5" customHeight="1">
      <c r="B13" s="113"/>
      <c r="C13" s="62"/>
      <c r="D13" s="62"/>
      <c r="E13" s="62"/>
      <c r="F13" s="118"/>
      <c r="G13" s="118"/>
      <c r="H13" s="118"/>
      <c r="I13" s="119"/>
      <c r="J13" s="12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114"/>
    </row>
    <row r="14" spans="2:30" s="15" customFormat="1" ht="19.5">
      <c r="B14" s="121" t="str">
        <f>+'TOT-0212'!B14</f>
        <v>Desde el 01 al 29 de febrero de 2012</v>
      </c>
      <c r="C14" s="76"/>
      <c r="D14" s="76"/>
      <c r="E14" s="76"/>
      <c r="F14" s="122"/>
      <c r="G14" s="122"/>
      <c r="H14" s="122"/>
      <c r="I14" s="122"/>
      <c r="J14" s="122"/>
      <c r="K14" s="77"/>
      <c r="L14" s="77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</row>
    <row r="15" spans="2:30" s="8" customFormat="1" ht="16.5" customHeight="1" thickBot="1">
      <c r="B15" s="113"/>
      <c r="C15" s="62"/>
      <c r="D15" s="62"/>
      <c r="E15" s="62"/>
      <c r="F15" s="62"/>
      <c r="G15" s="62"/>
      <c r="H15" s="62"/>
      <c r="I15" s="124"/>
      <c r="J15" s="62"/>
      <c r="K15" s="125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114"/>
    </row>
    <row r="16" spans="2:30" s="8" customFormat="1" ht="16.5" customHeight="1" thickBot="1" thickTop="1">
      <c r="B16" s="113"/>
      <c r="C16" s="62"/>
      <c r="D16" s="62"/>
      <c r="E16" s="62"/>
      <c r="F16" s="126" t="s">
        <v>27</v>
      </c>
      <c r="G16" s="127"/>
      <c r="H16" s="128"/>
      <c r="I16" s="129">
        <v>1.314</v>
      </c>
      <c r="J16" s="104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114"/>
    </row>
    <row r="17" spans="2:30" s="8" customFormat="1" ht="16.5" customHeight="1" thickBot="1" thickTop="1">
      <c r="B17" s="113"/>
      <c r="C17" s="62"/>
      <c r="D17" s="62"/>
      <c r="E17" s="62"/>
      <c r="F17" s="130" t="s">
        <v>28</v>
      </c>
      <c r="G17" s="131"/>
      <c r="H17" s="131"/>
      <c r="I17" s="132">
        <f>30*'TOT-0212'!B13</f>
        <v>30</v>
      </c>
      <c r="J17" s="133" t="str">
        <f>IF(I17=30," ",IF(I17=60,"     Coeficiente duplicado por tasa de falla &gt;4 Sal. x año/100 km.","    REVISAR COEFICIENTE"))</f>
        <v> </v>
      </c>
      <c r="K17" s="133" t="str">
        <f>IF(I17=30," ",IF(I17=60,"    Coeficiente duplicado por tasa de falla &gt;4 Sal. x año/100 km.","    REVISAR COEFICIENTE"))</f>
        <v> 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134"/>
      <c r="X17" s="62"/>
      <c r="Y17" s="134"/>
      <c r="Z17" s="134"/>
      <c r="AA17" s="134"/>
      <c r="AB17" s="134"/>
      <c r="AC17" s="134"/>
      <c r="AD17" s="114"/>
    </row>
    <row r="18" spans="2:30" s="8" customFormat="1" ht="16.5" customHeight="1" thickBot="1" thickTop="1">
      <c r="B18" s="113"/>
      <c r="C18" s="62"/>
      <c r="D18" s="313">
        <v>4</v>
      </c>
      <c r="E18" s="313">
        <v>5</v>
      </c>
      <c r="F18" s="313">
        <v>6</v>
      </c>
      <c r="G18" s="313">
        <v>7</v>
      </c>
      <c r="H18" s="313">
        <v>8</v>
      </c>
      <c r="I18" s="313">
        <v>9</v>
      </c>
      <c r="J18" s="313">
        <v>10</v>
      </c>
      <c r="K18" s="313">
        <v>11</v>
      </c>
      <c r="L18" s="313">
        <v>12</v>
      </c>
      <c r="M18" s="313">
        <v>13</v>
      </c>
      <c r="N18" s="313">
        <v>14</v>
      </c>
      <c r="O18" s="313">
        <v>15</v>
      </c>
      <c r="P18" s="313">
        <v>16</v>
      </c>
      <c r="Q18" s="313">
        <v>17</v>
      </c>
      <c r="R18" s="313">
        <v>18</v>
      </c>
      <c r="S18" s="313">
        <v>19</v>
      </c>
      <c r="T18" s="313">
        <v>20</v>
      </c>
      <c r="U18" s="313">
        <v>21</v>
      </c>
      <c r="V18" s="313">
        <v>22</v>
      </c>
      <c r="W18" s="313">
        <v>23</v>
      </c>
      <c r="X18" s="313">
        <v>24</v>
      </c>
      <c r="Y18" s="313">
        <v>25</v>
      </c>
      <c r="Z18" s="313">
        <v>26</v>
      </c>
      <c r="AA18" s="313">
        <v>27</v>
      </c>
      <c r="AB18" s="313">
        <v>28</v>
      </c>
      <c r="AC18" s="313">
        <v>29</v>
      </c>
      <c r="AD18" s="114"/>
    </row>
    <row r="19" spans="2:30" s="135" customFormat="1" ht="34.5" customHeight="1" thickBot="1" thickTop="1">
      <c r="B19" s="136"/>
      <c r="C19" s="295" t="s">
        <v>13</v>
      </c>
      <c r="D19" s="295" t="s">
        <v>61</v>
      </c>
      <c r="E19" s="295" t="s">
        <v>62</v>
      </c>
      <c r="F19" s="137" t="s">
        <v>29</v>
      </c>
      <c r="G19" s="138" t="s">
        <v>30</v>
      </c>
      <c r="H19" s="139" t="s">
        <v>31</v>
      </c>
      <c r="I19" s="140" t="s">
        <v>14</v>
      </c>
      <c r="J19" s="141" t="s">
        <v>15</v>
      </c>
      <c r="K19" s="138" t="s">
        <v>16</v>
      </c>
      <c r="L19" s="138" t="s">
        <v>17</v>
      </c>
      <c r="M19" s="137" t="s">
        <v>32</v>
      </c>
      <c r="N19" s="137" t="s">
        <v>33</v>
      </c>
      <c r="O19" s="82" t="s">
        <v>60</v>
      </c>
      <c r="P19" s="138" t="s">
        <v>34</v>
      </c>
      <c r="Q19" s="137" t="s">
        <v>18</v>
      </c>
      <c r="R19" s="138" t="s">
        <v>35</v>
      </c>
      <c r="S19" s="142" t="s">
        <v>36</v>
      </c>
      <c r="T19" s="143" t="s">
        <v>19</v>
      </c>
      <c r="U19" s="144" t="s">
        <v>20</v>
      </c>
      <c r="V19" s="145" t="s">
        <v>37</v>
      </c>
      <c r="W19" s="146"/>
      <c r="X19" s="147" t="s">
        <v>38</v>
      </c>
      <c r="Y19" s="148"/>
      <c r="Z19" s="149" t="s">
        <v>21</v>
      </c>
      <c r="AA19" s="150" t="s">
        <v>22</v>
      </c>
      <c r="AB19" s="140" t="s">
        <v>39</v>
      </c>
      <c r="AC19" s="140" t="s">
        <v>24</v>
      </c>
      <c r="AD19" s="151"/>
    </row>
    <row r="20" spans="2:30" s="8" customFormat="1" ht="16.5" customHeight="1" thickTop="1">
      <c r="B20" s="113"/>
      <c r="C20" s="152"/>
      <c r="D20" s="152"/>
      <c r="E20" s="152"/>
      <c r="F20" s="153"/>
      <c r="G20" s="154"/>
      <c r="H20" s="154"/>
      <c r="I20" s="154"/>
      <c r="J20" s="155"/>
      <c r="K20" s="153"/>
      <c r="L20" s="154"/>
      <c r="M20" s="156"/>
      <c r="N20" s="156"/>
      <c r="O20" s="154"/>
      <c r="P20" s="154"/>
      <c r="Q20" s="154"/>
      <c r="R20" s="154"/>
      <c r="S20" s="85"/>
      <c r="T20" s="84"/>
      <c r="U20" s="157"/>
      <c r="V20" s="158"/>
      <c r="W20" s="159"/>
      <c r="X20" s="160"/>
      <c r="Y20" s="161"/>
      <c r="Z20" s="162"/>
      <c r="AA20" s="163"/>
      <c r="AB20" s="154"/>
      <c r="AC20" s="164"/>
      <c r="AD20" s="114"/>
    </row>
    <row r="21" spans="2:30" s="8" customFormat="1" ht="16.5" customHeight="1">
      <c r="B21" s="113"/>
      <c r="C21" s="165"/>
      <c r="D21" s="165"/>
      <c r="E21" s="165"/>
      <c r="F21" s="166"/>
      <c r="G21" s="166"/>
      <c r="H21" s="166"/>
      <c r="I21" s="166"/>
      <c r="J21" s="167"/>
      <c r="K21" s="168"/>
      <c r="L21" s="166"/>
      <c r="M21" s="169"/>
      <c r="N21" s="169"/>
      <c r="O21" s="166"/>
      <c r="P21" s="166"/>
      <c r="Q21" s="166"/>
      <c r="R21" s="166"/>
      <c r="S21" s="89"/>
      <c r="T21" s="88"/>
      <c r="U21" s="170"/>
      <c r="V21" s="171"/>
      <c r="W21" s="172"/>
      <c r="X21" s="173"/>
      <c r="Y21" s="174"/>
      <c r="Z21" s="175"/>
      <c r="AA21" s="176"/>
      <c r="AB21" s="166"/>
      <c r="AC21" s="177"/>
      <c r="AD21" s="114"/>
    </row>
    <row r="22" spans="2:30" s="8" customFormat="1" ht="16.5" customHeight="1">
      <c r="B22" s="113"/>
      <c r="C22" s="165">
        <v>1</v>
      </c>
      <c r="D22" s="165">
        <v>244171</v>
      </c>
      <c r="E22" s="165">
        <v>4269</v>
      </c>
      <c r="F22" s="86" t="s">
        <v>118</v>
      </c>
      <c r="G22" s="87" t="s">
        <v>119</v>
      </c>
      <c r="H22" s="178">
        <v>20</v>
      </c>
      <c r="I22" s="90" t="s">
        <v>120</v>
      </c>
      <c r="J22" s="180">
        <f aca="true" t="shared" si="0" ref="J22:J41">H22*$I$16</f>
        <v>26.28</v>
      </c>
      <c r="K22" s="181">
        <v>40949.433333333334</v>
      </c>
      <c r="L22" s="181">
        <v>40949.584027777775</v>
      </c>
      <c r="M22" s="182">
        <f aca="true" t="shared" si="1" ref="M22:M41">IF(F22="","",(L22-K22)*24)</f>
        <v>3.6166666665812954</v>
      </c>
      <c r="N22" s="183">
        <f aca="true" t="shared" si="2" ref="N22:N41">IF(F22="","",ROUND((L22-K22)*24*60,0))</f>
        <v>217</v>
      </c>
      <c r="O22" s="184" t="s">
        <v>121</v>
      </c>
      <c r="P22" s="185" t="str">
        <f aca="true" t="shared" si="3" ref="P22:P41">IF(F22="","",IF(OR(O22="P",O22="RP"),"--","NO"))</f>
        <v>NO</v>
      </c>
      <c r="Q22" s="185">
        <v>33</v>
      </c>
      <c r="R22" s="184" t="s">
        <v>122</v>
      </c>
      <c r="S22" s="91">
        <f aca="true" t="shared" si="4" ref="S22:S41">$I$17*IF(OR(O22="P",O22="RP"),0.1,1)*IF(R22="SI",1,0.1)</f>
        <v>30</v>
      </c>
      <c r="T22" s="186" t="str">
        <f aca="true" t="shared" si="5" ref="T22:T41">IF(O22="P",J22*S22*ROUND(N22/60,2),"--")</f>
        <v>--</v>
      </c>
      <c r="U22" s="187" t="str">
        <f aca="true" t="shared" si="6" ref="U22:U41">IF(O22="RP",J22*S22*ROUND(N22/60,2)*Q22/100,"--")</f>
        <v>--</v>
      </c>
      <c r="V22" s="188" t="str">
        <f aca="true" t="shared" si="7" ref="V22:V41">IF(AND(O22="F",P22="NO"),J22*S22,"--")</f>
        <v>--</v>
      </c>
      <c r="W22" s="189" t="str">
        <f aca="true" t="shared" si="8" ref="W22:W41">IF(O22="F",J22*S22*ROUND(N22/60,2),"--")</f>
        <v>--</v>
      </c>
      <c r="X22" s="190">
        <f aca="true" t="shared" si="9" ref="X22:X41">IF(AND(O22="R",P22="NO"),J22*S22*Q22/100,"--")</f>
        <v>260.172</v>
      </c>
      <c r="Y22" s="191">
        <f aca="true" t="shared" si="10" ref="Y22:Y41">IF(O22="R",J22*S22*ROUND(N22/60,2)*Q22/100,"--")</f>
        <v>941.8226400000001</v>
      </c>
      <c r="Z22" s="192" t="str">
        <f aca="true" t="shared" si="11" ref="Z22:Z41">IF(O22="RF",J22*S22*ROUND(N22/60,2),"--")</f>
        <v>--</v>
      </c>
      <c r="AA22" s="193" t="str">
        <f aca="true" t="shared" si="12" ref="AA22:AA41">IF(O22="RR",J22*S22*ROUND(N22/60,2)*Q22/100,"--")</f>
        <v>--</v>
      </c>
      <c r="AB22" s="184" t="s">
        <v>122</v>
      </c>
      <c r="AC22" s="194">
        <f aca="true" t="shared" si="13" ref="AC22:AC41">IF(F22="","",SUM(T22:AA22)*IF(AB22="SI",1,2))</f>
        <v>1201.9946400000001</v>
      </c>
      <c r="AD22" s="195"/>
    </row>
    <row r="23" spans="2:30" s="8" customFormat="1" ht="16.5" customHeight="1">
      <c r="B23" s="113"/>
      <c r="C23" s="165">
        <v>2</v>
      </c>
      <c r="D23" s="165">
        <v>244522</v>
      </c>
      <c r="E23" s="165">
        <v>4759</v>
      </c>
      <c r="F23" s="86" t="s">
        <v>137</v>
      </c>
      <c r="G23" s="87" t="s">
        <v>119</v>
      </c>
      <c r="H23" s="314">
        <v>30</v>
      </c>
      <c r="I23" s="90" t="s">
        <v>120</v>
      </c>
      <c r="J23" s="180">
        <f t="shared" si="0"/>
        <v>39.42</v>
      </c>
      <c r="K23" s="181">
        <v>40956.60763888889</v>
      </c>
      <c r="L23" s="181">
        <v>40956.731944444444</v>
      </c>
      <c r="M23" s="182">
        <f t="shared" si="1"/>
        <v>2.983333333279006</v>
      </c>
      <c r="N23" s="183">
        <f t="shared" si="2"/>
        <v>179</v>
      </c>
      <c r="O23" s="184" t="s">
        <v>123</v>
      </c>
      <c r="P23" s="185" t="str">
        <f t="shared" si="3"/>
        <v>--</v>
      </c>
      <c r="Q23" s="184" t="s">
        <v>124</v>
      </c>
      <c r="R23" s="184" t="str">
        <f aca="true" t="shared" si="14" ref="R23:R41">IF(F23="","","NO")</f>
        <v>NO</v>
      </c>
      <c r="S23" s="91">
        <f t="shared" si="4"/>
        <v>0.30000000000000004</v>
      </c>
      <c r="T23" s="186">
        <f t="shared" si="5"/>
        <v>35.24148000000001</v>
      </c>
      <c r="U23" s="187" t="str">
        <f t="shared" si="6"/>
        <v>--</v>
      </c>
      <c r="V23" s="188" t="str">
        <f t="shared" si="7"/>
        <v>--</v>
      </c>
      <c r="W23" s="189" t="str">
        <f t="shared" si="8"/>
        <v>--</v>
      </c>
      <c r="X23" s="190" t="str">
        <f t="shared" si="9"/>
        <v>--</v>
      </c>
      <c r="Y23" s="191" t="str">
        <f t="shared" si="10"/>
        <v>--</v>
      </c>
      <c r="Z23" s="192" t="str">
        <f t="shared" si="11"/>
        <v>--</v>
      </c>
      <c r="AA23" s="193" t="str">
        <f t="shared" si="12"/>
        <v>--</v>
      </c>
      <c r="AB23" s="184" t="s">
        <v>122</v>
      </c>
      <c r="AC23" s="194">
        <f t="shared" si="13"/>
        <v>35.24148000000001</v>
      </c>
      <c r="AD23" s="195"/>
    </row>
    <row r="24" spans="2:30" s="8" customFormat="1" ht="16.5" customHeight="1">
      <c r="B24" s="113"/>
      <c r="C24" s="165">
        <v>3</v>
      </c>
      <c r="D24" s="165">
        <v>244850</v>
      </c>
      <c r="E24" s="165">
        <v>3405</v>
      </c>
      <c r="F24" s="86" t="s">
        <v>125</v>
      </c>
      <c r="G24" s="87" t="s">
        <v>126</v>
      </c>
      <c r="H24" s="178">
        <v>40</v>
      </c>
      <c r="I24" s="90" t="s">
        <v>127</v>
      </c>
      <c r="J24" s="180">
        <f t="shared" si="0"/>
        <v>52.56</v>
      </c>
      <c r="K24" s="181">
        <v>40962.40902777778</v>
      </c>
      <c r="L24" s="181">
        <v>40962.52291666667</v>
      </c>
      <c r="M24" s="182">
        <f t="shared" si="1"/>
        <v>2.733333333337214</v>
      </c>
      <c r="N24" s="183">
        <f t="shared" si="2"/>
        <v>164</v>
      </c>
      <c r="O24" s="184" t="s">
        <v>123</v>
      </c>
      <c r="P24" s="185" t="str">
        <f t="shared" si="3"/>
        <v>--</v>
      </c>
      <c r="Q24" s="184" t="s">
        <v>124</v>
      </c>
      <c r="R24" s="184" t="str">
        <f t="shared" si="14"/>
        <v>NO</v>
      </c>
      <c r="S24" s="91">
        <f t="shared" si="4"/>
        <v>0.30000000000000004</v>
      </c>
      <c r="T24" s="186">
        <f t="shared" si="5"/>
        <v>43.046640000000004</v>
      </c>
      <c r="U24" s="187" t="str">
        <f t="shared" si="6"/>
        <v>--</v>
      </c>
      <c r="V24" s="188" t="str">
        <f t="shared" si="7"/>
        <v>--</v>
      </c>
      <c r="W24" s="189" t="str">
        <f t="shared" si="8"/>
        <v>--</v>
      </c>
      <c r="X24" s="190" t="str">
        <f t="shared" si="9"/>
        <v>--</v>
      </c>
      <c r="Y24" s="191" t="str">
        <f t="shared" si="10"/>
        <v>--</v>
      </c>
      <c r="Z24" s="192" t="str">
        <f t="shared" si="11"/>
        <v>--</v>
      </c>
      <c r="AA24" s="193" t="str">
        <f t="shared" si="12"/>
        <v>--</v>
      </c>
      <c r="AB24" s="184" t="s">
        <v>122</v>
      </c>
      <c r="AC24" s="194">
        <f t="shared" si="13"/>
        <v>43.046640000000004</v>
      </c>
      <c r="AD24" s="114"/>
    </row>
    <row r="25" spans="2:30" s="8" customFormat="1" ht="16.5" customHeight="1">
      <c r="B25" s="113"/>
      <c r="C25" s="165">
        <v>4</v>
      </c>
      <c r="D25" s="165">
        <v>244851</v>
      </c>
      <c r="E25" s="165">
        <v>4759</v>
      </c>
      <c r="F25" s="86" t="s">
        <v>137</v>
      </c>
      <c r="G25" s="87" t="s">
        <v>119</v>
      </c>
      <c r="H25" s="314">
        <v>30</v>
      </c>
      <c r="I25" s="90" t="s">
        <v>120</v>
      </c>
      <c r="J25" s="180">
        <f t="shared" si="0"/>
        <v>39.42</v>
      </c>
      <c r="K25" s="181">
        <v>40962.620833333334</v>
      </c>
      <c r="L25" s="181">
        <v>40962.736805555556</v>
      </c>
      <c r="M25" s="182">
        <f t="shared" si="1"/>
        <v>2.7833333333255723</v>
      </c>
      <c r="N25" s="183">
        <f t="shared" si="2"/>
        <v>167</v>
      </c>
      <c r="O25" s="184" t="s">
        <v>123</v>
      </c>
      <c r="P25" s="185" t="str">
        <f t="shared" si="3"/>
        <v>--</v>
      </c>
      <c r="Q25" s="184" t="s">
        <v>124</v>
      </c>
      <c r="R25" s="184" t="str">
        <f t="shared" si="14"/>
        <v>NO</v>
      </c>
      <c r="S25" s="91">
        <f t="shared" si="4"/>
        <v>0.30000000000000004</v>
      </c>
      <c r="T25" s="186">
        <f t="shared" si="5"/>
        <v>32.87628</v>
      </c>
      <c r="U25" s="187" t="str">
        <f t="shared" si="6"/>
        <v>--</v>
      </c>
      <c r="V25" s="188" t="str">
        <f t="shared" si="7"/>
        <v>--</v>
      </c>
      <c r="W25" s="189" t="str">
        <f t="shared" si="8"/>
        <v>--</v>
      </c>
      <c r="X25" s="190" t="str">
        <f t="shared" si="9"/>
        <v>--</v>
      </c>
      <c r="Y25" s="191" t="str">
        <f t="shared" si="10"/>
        <v>--</v>
      </c>
      <c r="Z25" s="192" t="str">
        <f t="shared" si="11"/>
        <v>--</v>
      </c>
      <c r="AA25" s="193" t="str">
        <f t="shared" si="12"/>
        <v>--</v>
      </c>
      <c r="AB25" s="184" t="s">
        <v>122</v>
      </c>
      <c r="AC25" s="194">
        <f t="shared" si="13"/>
        <v>32.87628</v>
      </c>
      <c r="AD25" s="114"/>
    </row>
    <row r="26" spans="2:30" s="8" customFormat="1" ht="16.5" customHeight="1">
      <c r="B26" s="113"/>
      <c r="C26" s="165">
        <v>5</v>
      </c>
      <c r="D26" s="165">
        <v>245143</v>
      </c>
      <c r="E26" s="165">
        <v>4759</v>
      </c>
      <c r="F26" s="86" t="s">
        <v>137</v>
      </c>
      <c r="G26" s="87" t="s">
        <v>119</v>
      </c>
      <c r="H26" s="314">
        <v>30</v>
      </c>
      <c r="I26" s="90" t="s">
        <v>120</v>
      </c>
      <c r="J26" s="180">
        <f t="shared" si="0"/>
        <v>39.42</v>
      </c>
      <c r="K26" s="181">
        <v>40967.614583333336</v>
      </c>
      <c r="L26" s="181">
        <v>40967.71597222222</v>
      </c>
      <c r="M26" s="182">
        <f t="shared" si="1"/>
        <v>2.43333333323244</v>
      </c>
      <c r="N26" s="183">
        <f t="shared" si="2"/>
        <v>146</v>
      </c>
      <c r="O26" s="184" t="s">
        <v>123</v>
      </c>
      <c r="P26" s="185" t="str">
        <f t="shared" si="3"/>
        <v>--</v>
      </c>
      <c r="Q26" s="184" t="s">
        <v>124</v>
      </c>
      <c r="R26" s="184" t="str">
        <f t="shared" si="14"/>
        <v>NO</v>
      </c>
      <c r="S26" s="91">
        <f t="shared" si="4"/>
        <v>0.30000000000000004</v>
      </c>
      <c r="T26" s="186">
        <f t="shared" si="5"/>
        <v>28.737180000000006</v>
      </c>
      <c r="U26" s="187" t="str">
        <f t="shared" si="6"/>
        <v>--</v>
      </c>
      <c r="V26" s="188" t="str">
        <f t="shared" si="7"/>
        <v>--</v>
      </c>
      <c r="W26" s="189" t="str">
        <f t="shared" si="8"/>
        <v>--</v>
      </c>
      <c r="X26" s="190" t="str">
        <f t="shared" si="9"/>
        <v>--</v>
      </c>
      <c r="Y26" s="191" t="str">
        <f t="shared" si="10"/>
        <v>--</v>
      </c>
      <c r="Z26" s="192" t="str">
        <f t="shared" si="11"/>
        <v>--</v>
      </c>
      <c r="AA26" s="193" t="str">
        <f t="shared" si="12"/>
        <v>--</v>
      </c>
      <c r="AB26" s="184" t="s">
        <v>122</v>
      </c>
      <c r="AC26" s="194">
        <f t="shared" si="13"/>
        <v>28.737180000000006</v>
      </c>
      <c r="AD26" s="114"/>
    </row>
    <row r="27" spans="2:30" s="8" customFormat="1" ht="16.5" customHeight="1">
      <c r="B27" s="113"/>
      <c r="C27" s="165"/>
      <c r="D27" s="165"/>
      <c r="E27" s="165"/>
      <c r="F27" s="86"/>
      <c r="G27" s="87"/>
      <c r="H27" s="178"/>
      <c r="I27" s="179"/>
      <c r="J27" s="180">
        <f t="shared" si="0"/>
        <v>0</v>
      </c>
      <c r="K27" s="181"/>
      <c r="L27" s="181"/>
      <c r="M27" s="182">
        <f t="shared" si="1"/>
      </c>
      <c r="N27" s="183">
        <f t="shared" si="2"/>
      </c>
      <c r="O27" s="184"/>
      <c r="P27" s="185">
        <f t="shared" si="3"/>
      </c>
      <c r="Q27" s="185">
        <f aca="true" t="shared" si="15" ref="Q27:Q41">IF(F27="","","--")</f>
      </c>
      <c r="R27" s="184">
        <f t="shared" si="14"/>
      </c>
      <c r="S27" s="91">
        <f t="shared" si="4"/>
        <v>3</v>
      </c>
      <c r="T27" s="186" t="str">
        <f t="shared" si="5"/>
        <v>--</v>
      </c>
      <c r="U27" s="187" t="str">
        <f t="shared" si="6"/>
        <v>--</v>
      </c>
      <c r="V27" s="188" t="str">
        <f t="shared" si="7"/>
        <v>--</v>
      </c>
      <c r="W27" s="189" t="str">
        <f t="shared" si="8"/>
        <v>--</v>
      </c>
      <c r="X27" s="190" t="str">
        <f t="shared" si="9"/>
        <v>--</v>
      </c>
      <c r="Y27" s="191" t="str">
        <f t="shared" si="10"/>
        <v>--</v>
      </c>
      <c r="Z27" s="192" t="str">
        <f t="shared" si="11"/>
        <v>--</v>
      </c>
      <c r="AA27" s="193" t="str">
        <f t="shared" si="12"/>
        <v>--</v>
      </c>
      <c r="AB27" s="184">
        <f aca="true" t="shared" si="16" ref="AB27:AB41">IF(F27="","","SI")</f>
      </c>
      <c r="AC27" s="194">
        <f t="shared" si="13"/>
      </c>
      <c r="AD27" s="114"/>
    </row>
    <row r="28" spans="2:30" s="8" customFormat="1" ht="16.5" customHeight="1">
      <c r="B28" s="113"/>
      <c r="C28" s="165"/>
      <c r="D28" s="165"/>
      <c r="E28" s="165"/>
      <c r="F28" s="86"/>
      <c r="G28" s="87"/>
      <c r="H28" s="178"/>
      <c r="I28" s="179"/>
      <c r="J28" s="180">
        <f t="shared" si="0"/>
        <v>0</v>
      </c>
      <c r="K28" s="181"/>
      <c r="L28" s="181"/>
      <c r="M28" s="182">
        <f t="shared" si="1"/>
      </c>
      <c r="N28" s="183">
        <f t="shared" si="2"/>
      </c>
      <c r="O28" s="184"/>
      <c r="P28" s="185">
        <f t="shared" si="3"/>
      </c>
      <c r="Q28" s="185">
        <f t="shared" si="15"/>
      </c>
      <c r="R28" s="184">
        <f t="shared" si="14"/>
      </c>
      <c r="S28" s="91">
        <f t="shared" si="4"/>
        <v>3</v>
      </c>
      <c r="T28" s="186" t="str">
        <f t="shared" si="5"/>
        <v>--</v>
      </c>
      <c r="U28" s="187" t="str">
        <f t="shared" si="6"/>
        <v>--</v>
      </c>
      <c r="V28" s="188" t="str">
        <f t="shared" si="7"/>
        <v>--</v>
      </c>
      <c r="W28" s="189" t="str">
        <f t="shared" si="8"/>
        <v>--</v>
      </c>
      <c r="X28" s="190" t="str">
        <f t="shared" si="9"/>
        <v>--</v>
      </c>
      <c r="Y28" s="191" t="str">
        <f t="shared" si="10"/>
        <v>--</v>
      </c>
      <c r="Z28" s="192" t="str">
        <f t="shared" si="11"/>
        <v>--</v>
      </c>
      <c r="AA28" s="193" t="str">
        <f t="shared" si="12"/>
        <v>--</v>
      </c>
      <c r="AB28" s="184">
        <f t="shared" si="16"/>
      </c>
      <c r="AC28" s="194">
        <f t="shared" si="13"/>
      </c>
      <c r="AD28" s="114"/>
    </row>
    <row r="29" spans="2:30" s="8" customFormat="1" ht="16.5" customHeight="1">
      <c r="B29" s="113"/>
      <c r="C29" s="165"/>
      <c r="D29" s="165"/>
      <c r="E29" s="165"/>
      <c r="F29" s="86"/>
      <c r="G29" s="87"/>
      <c r="H29" s="178"/>
      <c r="I29" s="179"/>
      <c r="J29" s="180">
        <f t="shared" si="0"/>
        <v>0</v>
      </c>
      <c r="K29" s="181"/>
      <c r="L29" s="181"/>
      <c r="M29" s="182">
        <f t="shared" si="1"/>
      </c>
      <c r="N29" s="183">
        <f t="shared" si="2"/>
      </c>
      <c r="O29" s="184"/>
      <c r="P29" s="185">
        <f t="shared" si="3"/>
      </c>
      <c r="Q29" s="185">
        <f t="shared" si="15"/>
      </c>
      <c r="R29" s="184">
        <f t="shared" si="14"/>
      </c>
      <c r="S29" s="91">
        <f t="shared" si="4"/>
        <v>3</v>
      </c>
      <c r="T29" s="186" t="str">
        <f t="shared" si="5"/>
        <v>--</v>
      </c>
      <c r="U29" s="187" t="str">
        <f t="shared" si="6"/>
        <v>--</v>
      </c>
      <c r="V29" s="188" t="str">
        <f t="shared" si="7"/>
        <v>--</v>
      </c>
      <c r="W29" s="189" t="str">
        <f t="shared" si="8"/>
        <v>--</v>
      </c>
      <c r="X29" s="190" t="str">
        <f t="shared" si="9"/>
        <v>--</v>
      </c>
      <c r="Y29" s="191" t="str">
        <f t="shared" si="10"/>
        <v>--</v>
      </c>
      <c r="Z29" s="192" t="str">
        <f t="shared" si="11"/>
        <v>--</v>
      </c>
      <c r="AA29" s="193" t="str">
        <f t="shared" si="12"/>
        <v>--</v>
      </c>
      <c r="AB29" s="184">
        <f t="shared" si="16"/>
      </c>
      <c r="AC29" s="194">
        <f t="shared" si="13"/>
      </c>
      <c r="AD29" s="114"/>
    </row>
    <row r="30" spans="2:30" s="8" customFormat="1" ht="16.5" customHeight="1">
      <c r="B30" s="113"/>
      <c r="C30" s="165"/>
      <c r="D30" s="165"/>
      <c r="E30" s="165"/>
      <c r="F30" s="86"/>
      <c r="G30" s="87"/>
      <c r="H30" s="178"/>
      <c r="I30" s="179"/>
      <c r="J30" s="180">
        <f t="shared" si="0"/>
        <v>0</v>
      </c>
      <c r="K30" s="181"/>
      <c r="L30" s="181"/>
      <c r="M30" s="182">
        <f t="shared" si="1"/>
      </c>
      <c r="N30" s="183">
        <f t="shared" si="2"/>
      </c>
      <c r="O30" s="184"/>
      <c r="P30" s="185">
        <f t="shared" si="3"/>
      </c>
      <c r="Q30" s="185">
        <f t="shared" si="15"/>
      </c>
      <c r="R30" s="184">
        <f t="shared" si="14"/>
      </c>
      <c r="S30" s="91">
        <f t="shared" si="4"/>
        <v>3</v>
      </c>
      <c r="T30" s="186" t="str">
        <f t="shared" si="5"/>
        <v>--</v>
      </c>
      <c r="U30" s="187" t="str">
        <f t="shared" si="6"/>
        <v>--</v>
      </c>
      <c r="V30" s="188" t="str">
        <f t="shared" si="7"/>
        <v>--</v>
      </c>
      <c r="W30" s="189" t="str">
        <f t="shared" si="8"/>
        <v>--</v>
      </c>
      <c r="X30" s="190" t="str">
        <f t="shared" si="9"/>
        <v>--</v>
      </c>
      <c r="Y30" s="191" t="str">
        <f t="shared" si="10"/>
        <v>--</v>
      </c>
      <c r="Z30" s="192" t="str">
        <f t="shared" si="11"/>
        <v>--</v>
      </c>
      <c r="AA30" s="193" t="str">
        <f t="shared" si="12"/>
        <v>--</v>
      </c>
      <c r="AB30" s="184">
        <f t="shared" si="16"/>
      </c>
      <c r="AC30" s="194">
        <f t="shared" si="13"/>
      </c>
      <c r="AD30" s="114"/>
    </row>
    <row r="31" spans="2:30" s="8" customFormat="1" ht="16.5" customHeight="1">
      <c r="B31" s="113"/>
      <c r="C31" s="165"/>
      <c r="D31" s="165"/>
      <c r="E31" s="165"/>
      <c r="F31" s="86"/>
      <c r="G31" s="87"/>
      <c r="H31" s="178"/>
      <c r="I31" s="179"/>
      <c r="J31" s="180">
        <f t="shared" si="0"/>
        <v>0</v>
      </c>
      <c r="K31" s="181"/>
      <c r="L31" s="181"/>
      <c r="M31" s="182">
        <f t="shared" si="1"/>
      </c>
      <c r="N31" s="183">
        <f t="shared" si="2"/>
      </c>
      <c r="O31" s="184"/>
      <c r="P31" s="185">
        <f t="shared" si="3"/>
      </c>
      <c r="Q31" s="185">
        <f t="shared" si="15"/>
      </c>
      <c r="R31" s="184">
        <f t="shared" si="14"/>
      </c>
      <c r="S31" s="91">
        <f t="shared" si="4"/>
        <v>3</v>
      </c>
      <c r="T31" s="186" t="str">
        <f t="shared" si="5"/>
        <v>--</v>
      </c>
      <c r="U31" s="187" t="str">
        <f t="shared" si="6"/>
        <v>--</v>
      </c>
      <c r="V31" s="188" t="str">
        <f t="shared" si="7"/>
        <v>--</v>
      </c>
      <c r="W31" s="189" t="str">
        <f t="shared" si="8"/>
        <v>--</v>
      </c>
      <c r="X31" s="190" t="str">
        <f t="shared" si="9"/>
        <v>--</v>
      </c>
      <c r="Y31" s="191" t="str">
        <f t="shared" si="10"/>
        <v>--</v>
      </c>
      <c r="Z31" s="192" t="str">
        <f t="shared" si="11"/>
        <v>--</v>
      </c>
      <c r="AA31" s="193" t="str">
        <f t="shared" si="12"/>
        <v>--</v>
      </c>
      <c r="AB31" s="184">
        <f t="shared" si="16"/>
      </c>
      <c r="AC31" s="194">
        <f t="shared" si="13"/>
      </c>
      <c r="AD31" s="114"/>
    </row>
    <row r="32" spans="2:30" s="8" customFormat="1" ht="16.5" customHeight="1">
      <c r="B32" s="113"/>
      <c r="C32" s="165"/>
      <c r="D32" s="165"/>
      <c r="E32" s="165"/>
      <c r="F32" s="86"/>
      <c r="G32" s="87"/>
      <c r="H32" s="178"/>
      <c r="I32" s="179"/>
      <c r="J32" s="180">
        <f t="shared" si="0"/>
        <v>0</v>
      </c>
      <c r="K32" s="181"/>
      <c r="L32" s="181"/>
      <c r="M32" s="182">
        <f t="shared" si="1"/>
      </c>
      <c r="N32" s="183">
        <f t="shared" si="2"/>
      </c>
      <c r="O32" s="184"/>
      <c r="P32" s="185">
        <f t="shared" si="3"/>
      </c>
      <c r="Q32" s="185">
        <f t="shared" si="15"/>
      </c>
      <c r="R32" s="184">
        <f t="shared" si="14"/>
      </c>
      <c r="S32" s="91">
        <f t="shared" si="4"/>
        <v>3</v>
      </c>
      <c r="T32" s="186" t="str">
        <f t="shared" si="5"/>
        <v>--</v>
      </c>
      <c r="U32" s="187" t="str">
        <f t="shared" si="6"/>
        <v>--</v>
      </c>
      <c r="V32" s="188" t="str">
        <f t="shared" si="7"/>
        <v>--</v>
      </c>
      <c r="W32" s="189" t="str">
        <f t="shared" si="8"/>
        <v>--</v>
      </c>
      <c r="X32" s="190" t="str">
        <f t="shared" si="9"/>
        <v>--</v>
      </c>
      <c r="Y32" s="191" t="str">
        <f t="shared" si="10"/>
        <v>--</v>
      </c>
      <c r="Z32" s="192" t="str">
        <f t="shared" si="11"/>
        <v>--</v>
      </c>
      <c r="AA32" s="193" t="str">
        <f t="shared" si="12"/>
        <v>--</v>
      </c>
      <c r="AB32" s="184">
        <f t="shared" si="16"/>
      </c>
      <c r="AC32" s="194">
        <f t="shared" si="13"/>
      </c>
      <c r="AD32" s="114"/>
    </row>
    <row r="33" spans="2:30" s="8" customFormat="1" ht="16.5" customHeight="1">
      <c r="B33" s="113"/>
      <c r="C33" s="165"/>
      <c r="D33" s="165"/>
      <c r="E33" s="165"/>
      <c r="F33" s="86"/>
      <c r="G33" s="87"/>
      <c r="H33" s="178"/>
      <c r="I33" s="179"/>
      <c r="J33" s="180">
        <f t="shared" si="0"/>
        <v>0</v>
      </c>
      <c r="K33" s="181"/>
      <c r="L33" s="181"/>
      <c r="M33" s="182">
        <f t="shared" si="1"/>
      </c>
      <c r="N33" s="183">
        <f t="shared" si="2"/>
      </c>
      <c r="O33" s="184"/>
      <c r="P33" s="185">
        <f t="shared" si="3"/>
      </c>
      <c r="Q33" s="185">
        <f t="shared" si="15"/>
      </c>
      <c r="R33" s="184">
        <f t="shared" si="14"/>
      </c>
      <c r="S33" s="91">
        <f t="shared" si="4"/>
        <v>3</v>
      </c>
      <c r="T33" s="186" t="str">
        <f t="shared" si="5"/>
        <v>--</v>
      </c>
      <c r="U33" s="187" t="str">
        <f t="shared" si="6"/>
        <v>--</v>
      </c>
      <c r="V33" s="188" t="str">
        <f t="shared" si="7"/>
        <v>--</v>
      </c>
      <c r="W33" s="189" t="str">
        <f t="shared" si="8"/>
        <v>--</v>
      </c>
      <c r="X33" s="190" t="str">
        <f t="shared" si="9"/>
        <v>--</v>
      </c>
      <c r="Y33" s="191" t="str">
        <f t="shared" si="10"/>
        <v>--</v>
      </c>
      <c r="Z33" s="192" t="str">
        <f t="shared" si="11"/>
        <v>--</v>
      </c>
      <c r="AA33" s="193" t="str">
        <f t="shared" si="12"/>
        <v>--</v>
      </c>
      <c r="AB33" s="184">
        <f t="shared" si="16"/>
      </c>
      <c r="AC33" s="194">
        <f t="shared" si="13"/>
      </c>
      <c r="AD33" s="114"/>
    </row>
    <row r="34" spans="2:30" s="8" customFormat="1" ht="16.5" customHeight="1">
      <c r="B34" s="113"/>
      <c r="C34" s="165"/>
      <c r="D34" s="165"/>
      <c r="E34" s="165"/>
      <c r="F34" s="86"/>
      <c r="G34" s="87"/>
      <c r="H34" s="178"/>
      <c r="I34" s="179"/>
      <c r="J34" s="180">
        <f t="shared" si="0"/>
        <v>0</v>
      </c>
      <c r="K34" s="181"/>
      <c r="L34" s="181"/>
      <c r="M34" s="182">
        <f t="shared" si="1"/>
      </c>
      <c r="N34" s="183">
        <f t="shared" si="2"/>
      </c>
      <c r="O34" s="184"/>
      <c r="P34" s="185">
        <f t="shared" si="3"/>
      </c>
      <c r="Q34" s="185">
        <f t="shared" si="15"/>
      </c>
      <c r="R34" s="184">
        <f t="shared" si="14"/>
      </c>
      <c r="S34" s="91">
        <f t="shared" si="4"/>
        <v>3</v>
      </c>
      <c r="T34" s="186" t="str">
        <f t="shared" si="5"/>
        <v>--</v>
      </c>
      <c r="U34" s="187" t="str">
        <f t="shared" si="6"/>
        <v>--</v>
      </c>
      <c r="V34" s="188" t="str">
        <f t="shared" si="7"/>
        <v>--</v>
      </c>
      <c r="W34" s="189" t="str">
        <f t="shared" si="8"/>
        <v>--</v>
      </c>
      <c r="X34" s="190" t="str">
        <f t="shared" si="9"/>
        <v>--</v>
      </c>
      <c r="Y34" s="191" t="str">
        <f t="shared" si="10"/>
        <v>--</v>
      </c>
      <c r="Z34" s="192" t="str">
        <f t="shared" si="11"/>
        <v>--</v>
      </c>
      <c r="AA34" s="193" t="str">
        <f t="shared" si="12"/>
        <v>--</v>
      </c>
      <c r="AB34" s="184">
        <f t="shared" si="16"/>
      </c>
      <c r="AC34" s="194">
        <f t="shared" si="13"/>
      </c>
      <c r="AD34" s="114"/>
    </row>
    <row r="35" spans="2:30" s="8" customFormat="1" ht="16.5" customHeight="1">
      <c r="B35" s="113"/>
      <c r="C35" s="165"/>
      <c r="D35" s="165"/>
      <c r="E35" s="165"/>
      <c r="F35" s="86"/>
      <c r="G35" s="87"/>
      <c r="H35" s="178"/>
      <c r="I35" s="179"/>
      <c r="J35" s="180">
        <f t="shared" si="0"/>
        <v>0</v>
      </c>
      <c r="K35" s="181"/>
      <c r="L35" s="181"/>
      <c r="M35" s="182">
        <f t="shared" si="1"/>
      </c>
      <c r="N35" s="183">
        <f t="shared" si="2"/>
      </c>
      <c r="O35" s="184"/>
      <c r="P35" s="185">
        <f t="shared" si="3"/>
      </c>
      <c r="Q35" s="185">
        <f t="shared" si="15"/>
      </c>
      <c r="R35" s="184">
        <f t="shared" si="14"/>
      </c>
      <c r="S35" s="91">
        <f t="shared" si="4"/>
        <v>3</v>
      </c>
      <c r="T35" s="186" t="str">
        <f t="shared" si="5"/>
        <v>--</v>
      </c>
      <c r="U35" s="187" t="str">
        <f t="shared" si="6"/>
        <v>--</v>
      </c>
      <c r="V35" s="188" t="str">
        <f t="shared" si="7"/>
        <v>--</v>
      </c>
      <c r="W35" s="189" t="str">
        <f t="shared" si="8"/>
        <v>--</v>
      </c>
      <c r="X35" s="190" t="str">
        <f t="shared" si="9"/>
        <v>--</v>
      </c>
      <c r="Y35" s="191" t="str">
        <f t="shared" si="10"/>
        <v>--</v>
      </c>
      <c r="Z35" s="192" t="str">
        <f t="shared" si="11"/>
        <v>--</v>
      </c>
      <c r="AA35" s="193" t="str">
        <f t="shared" si="12"/>
        <v>--</v>
      </c>
      <c r="AB35" s="184">
        <f t="shared" si="16"/>
      </c>
      <c r="AC35" s="194">
        <f t="shared" si="13"/>
      </c>
      <c r="AD35" s="114"/>
    </row>
    <row r="36" spans="2:30" s="8" customFormat="1" ht="16.5" customHeight="1">
      <c r="B36" s="113"/>
      <c r="C36" s="165"/>
      <c r="D36" s="165"/>
      <c r="E36" s="165"/>
      <c r="F36" s="86"/>
      <c r="G36" s="87"/>
      <c r="H36" s="178"/>
      <c r="I36" s="179"/>
      <c r="J36" s="180">
        <f t="shared" si="0"/>
        <v>0</v>
      </c>
      <c r="K36" s="181"/>
      <c r="L36" s="181"/>
      <c r="M36" s="182">
        <f t="shared" si="1"/>
      </c>
      <c r="N36" s="183">
        <f t="shared" si="2"/>
      </c>
      <c r="O36" s="184"/>
      <c r="P36" s="185">
        <f t="shared" si="3"/>
      </c>
      <c r="Q36" s="185">
        <f t="shared" si="15"/>
      </c>
      <c r="R36" s="184">
        <f t="shared" si="14"/>
      </c>
      <c r="S36" s="91">
        <f t="shared" si="4"/>
        <v>3</v>
      </c>
      <c r="T36" s="186" t="str">
        <f t="shared" si="5"/>
        <v>--</v>
      </c>
      <c r="U36" s="187" t="str">
        <f t="shared" si="6"/>
        <v>--</v>
      </c>
      <c r="V36" s="188" t="str">
        <f t="shared" si="7"/>
        <v>--</v>
      </c>
      <c r="W36" s="189" t="str">
        <f t="shared" si="8"/>
        <v>--</v>
      </c>
      <c r="X36" s="190" t="str">
        <f t="shared" si="9"/>
        <v>--</v>
      </c>
      <c r="Y36" s="191" t="str">
        <f t="shared" si="10"/>
        <v>--</v>
      </c>
      <c r="Z36" s="192" t="str">
        <f t="shared" si="11"/>
        <v>--</v>
      </c>
      <c r="AA36" s="193" t="str">
        <f t="shared" si="12"/>
        <v>--</v>
      </c>
      <c r="AB36" s="184">
        <f t="shared" si="16"/>
      </c>
      <c r="AC36" s="194">
        <f t="shared" si="13"/>
      </c>
      <c r="AD36" s="114"/>
    </row>
    <row r="37" spans="2:30" s="8" customFormat="1" ht="16.5" customHeight="1">
      <c r="B37" s="113"/>
      <c r="C37" s="165"/>
      <c r="D37" s="165"/>
      <c r="E37" s="165"/>
      <c r="F37" s="86"/>
      <c r="G37" s="87"/>
      <c r="H37" s="178"/>
      <c r="I37" s="179"/>
      <c r="J37" s="180">
        <f t="shared" si="0"/>
        <v>0</v>
      </c>
      <c r="K37" s="181"/>
      <c r="L37" s="181"/>
      <c r="M37" s="182">
        <f t="shared" si="1"/>
      </c>
      <c r="N37" s="183">
        <f t="shared" si="2"/>
      </c>
      <c r="O37" s="184"/>
      <c r="P37" s="185">
        <f t="shared" si="3"/>
      </c>
      <c r="Q37" s="185">
        <f t="shared" si="15"/>
      </c>
      <c r="R37" s="184">
        <f t="shared" si="14"/>
      </c>
      <c r="S37" s="91">
        <f t="shared" si="4"/>
        <v>3</v>
      </c>
      <c r="T37" s="186" t="str">
        <f t="shared" si="5"/>
        <v>--</v>
      </c>
      <c r="U37" s="187" t="str">
        <f t="shared" si="6"/>
        <v>--</v>
      </c>
      <c r="V37" s="188" t="str">
        <f t="shared" si="7"/>
        <v>--</v>
      </c>
      <c r="W37" s="189" t="str">
        <f t="shared" si="8"/>
        <v>--</v>
      </c>
      <c r="X37" s="190" t="str">
        <f t="shared" si="9"/>
        <v>--</v>
      </c>
      <c r="Y37" s="191" t="str">
        <f t="shared" si="10"/>
        <v>--</v>
      </c>
      <c r="Z37" s="192" t="str">
        <f t="shared" si="11"/>
        <v>--</v>
      </c>
      <c r="AA37" s="193" t="str">
        <f t="shared" si="12"/>
        <v>--</v>
      </c>
      <c r="AB37" s="184">
        <f t="shared" si="16"/>
      </c>
      <c r="AC37" s="194">
        <f t="shared" si="13"/>
      </c>
      <c r="AD37" s="114"/>
    </row>
    <row r="38" spans="2:30" s="8" customFormat="1" ht="16.5" customHeight="1">
      <c r="B38" s="113"/>
      <c r="C38" s="165"/>
      <c r="D38" s="165"/>
      <c r="E38" s="165"/>
      <c r="F38" s="86"/>
      <c r="G38" s="87"/>
      <c r="H38" s="178"/>
      <c r="I38" s="179"/>
      <c r="J38" s="180">
        <f t="shared" si="0"/>
        <v>0</v>
      </c>
      <c r="K38" s="181"/>
      <c r="L38" s="181"/>
      <c r="M38" s="182">
        <f t="shared" si="1"/>
      </c>
      <c r="N38" s="183">
        <f t="shared" si="2"/>
      </c>
      <c r="O38" s="184"/>
      <c r="P38" s="185">
        <f t="shared" si="3"/>
      </c>
      <c r="Q38" s="185">
        <f t="shared" si="15"/>
      </c>
      <c r="R38" s="184">
        <f t="shared" si="14"/>
      </c>
      <c r="S38" s="91">
        <f t="shared" si="4"/>
        <v>3</v>
      </c>
      <c r="T38" s="186" t="str">
        <f t="shared" si="5"/>
        <v>--</v>
      </c>
      <c r="U38" s="187" t="str">
        <f t="shared" si="6"/>
        <v>--</v>
      </c>
      <c r="V38" s="188" t="str">
        <f t="shared" si="7"/>
        <v>--</v>
      </c>
      <c r="W38" s="189" t="str">
        <f t="shared" si="8"/>
        <v>--</v>
      </c>
      <c r="X38" s="190" t="str">
        <f t="shared" si="9"/>
        <v>--</v>
      </c>
      <c r="Y38" s="191" t="str">
        <f t="shared" si="10"/>
        <v>--</v>
      </c>
      <c r="Z38" s="192" t="str">
        <f t="shared" si="11"/>
        <v>--</v>
      </c>
      <c r="AA38" s="193" t="str">
        <f t="shared" si="12"/>
        <v>--</v>
      </c>
      <c r="AB38" s="184">
        <f t="shared" si="16"/>
      </c>
      <c r="AC38" s="194">
        <f t="shared" si="13"/>
      </c>
      <c r="AD38" s="114"/>
    </row>
    <row r="39" spans="2:30" s="8" customFormat="1" ht="16.5" customHeight="1">
      <c r="B39" s="113"/>
      <c r="C39" s="165"/>
      <c r="D39" s="165"/>
      <c r="E39" s="165"/>
      <c r="F39" s="86"/>
      <c r="G39" s="87"/>
      <c r="H39" s="178"/>
      <c r="I39" s="179"/>
      <c r="J39" s="180">
        <f t="shared" si="0"/>
        <v>0</v>
      </c>
      <c r="K39" s="181"/>
      <c r="L39" s="181"/>
      <c r="M39" s="182">
        <f t="shared" si="1"/>
      </c>
      <c r="N39" s="183">
        <f t="shared" si="2"/>
      </c>
      <c r="O39" s="184"/>
      <c r="P39" s="185">
        <f t="shared" si="3"/>
      </c>
      <c r="Q39" s="185">
        <f t="shared" si="15"/>
      </c>
      <c r="R39" s="184">
        <f t="shared" si="14"/>
      </c>
      <c r="S39" s="91">
        <f t="shared" si="4"/>
        <v>3</v>
      </c>
      <c r="T39" s="186" t="str">
        <f t="shared" si="5"/>
        <v>--</v>
      </c>
      <c r="U39" s="187" t="str">
        <f t="shared" si="6"/>
        <v>--</v>
      </c>
      <c r="V39" s="188" t="str">
        <f t="shared" si="7"/>
        <v>--</v>
      </c>
      <c r="W39" s="189" t="str">
        <f t="shared" si="8"/>
        <v>--</v>
      </c>
      <c r="X39" s="190" t="str">
        <f t="shared" si="9"/>
        <v>--</v>
      </c>
      <c r="Y39" s="191" t="str">
        <f t="shared" si="10"/>
        <v>--</v>
      </c>
      <c r="Z39" s="192" t="str">
        <f t="shared" si="11"/>
        <v>--</v>
      </c>
      <c r="AA39" s="193" t="str">
        <f t="shared" si="12"/>
        <v>--</v>
      </c>
      <c r="AB39" s="184">
        <f t="shared" si="16"/>
      </c>
      <c r="AC39" s="194">
        <f t="shared" si="13"/>
      </c>
      <c r="AD39" s="114"/>
    </row>
    <row r="40" spans="2:30" s="8" customFormat="1" ht="16.5" customHeight="1">
      <c r="B40" s="113"/>
      <c r="C40" s="165"/>
      <c r="D40" s="165"/>
      <c r="E40" s="165"/>
      <c r="F40" s="86"/>
      <c r="G40" s="87"/>
      <c r="H40" s="178"/>
      <c r="I40" s="179"/>
      <c r="J40" s="180">
        <f t="shared" si="0"/>
        <v>0</v>
      </c>
      <c r="K40" s="181"/>
      <c r="L40" s="181"/>
      <c r="M40" s="182">
        <f t="shared" si="1"/>
      </c>
      <c r="N40" s="183">
        <f t="shared" si="2"/>
      </c>
      <c r="O40" s="184"/>
      <c r="P40" s="185">
        <f t="shared" si="3"/>
      </c>
      <c r="Q40" s="185">
        <f t="shared" si="15"/>
      </c>
      <c r="R40" s="184">
        <f t="shared" si="14"/>
      </c>
      <c r="S40" s="91">
        <f t="shared" si="4"/>
        <v>3</v>
      </c>
      <c r="T40" s="186" t="str">
        <f t="shared" si="5"/>
        <v>--</v>
      </c>
      <c r="U40" s="187" t="str">
        <f t="shared" si="6"/>
        <v>--</v>
      </c>
      <c r="V40" s="188" t="str">
        <f t="shared" si="7"/>
        <v>--</v>
      </c>
      <c r="W40" s="189" t="str">
        <f t="shared" si="8"/>
        <v>--</v>
      </c>
      <c r="X40" s="190" t="str">
        <f t="shared" si="9"/>
        <v>--</v>
      </c>
      <c r="Y40" s="191" t="str">
        <f t="shared" si="10"/>
        <v>--</v>
      </c>
      <c r="Z40" s="192" t="str">
        <f t="shared" si="11"/>
        <v>--</v>
      </c>
      <c r="AA40" s="193" t="str">
        <f t="shared" si="12"/>
        <v>--</v>
      </c>
      <c r="AB40" s="184">
        <f t="shared" si="16"/>
      </c>
      <c r="AC40" s="194">
        <f t="shared" si="13"/>
      </c>
      <c r="AD40" s="114"/>
    </row>
    <row r="41" spans="2:30" s="8" customFormat="1" ht="16.5" customHeight="1">
      <c r="B41" s="113"/>
      <c r="C41" s="165"/>
      <c r="D41" s="165"/>
      <c r="E41" s="165"/>
      <c r="F41" s="86"/>
      <c r="G41" s="87"/>
      <c r="H41" s="178"/>
      <c r="I41" s="179"/>
      <c r="J41" s="180">
        <f t="shared" si="0"/>
        <v>0</v>
      </c>
      <c r="K41" s="181"/>
      <c r="L41" s="181"/>
      <c r="M41" s="182">
        <f t="shared" si="1"/>
      </c>
      <c r="N41" s="183">
        <f t="shared" si="2"/>
      </c>
      <c r="O41" s="184"/>
      <c r="P41" s="185">
        <f t="shared" si="3"/>
      </c>
      <c r="Q41" s="185">
        <f t="shared" si="15"/>
      </c>
      <c r="R41" s="184">
        <f t="shared" si="14"/>
      </c>
      <c r="S41" s="91">
        <f t="shared" si="4"/>
        <v>3</v>
      </c>
      <c r="T41" s="186" t="str">
        <f t="shared" si="5"/>
        <v>--</v>
      </c>
      <c r="U41" s="187" t="str">
        <f t="shared" si="6"/>
        <v>--</v>
      </c>
      <c r="V41" s="188" t="str">
        <f t="shared" si="7"/>
        <v>--</v>
      </c>
      <c r="W41" s="189" t="str">
        <f t="shared" si="8"/>
        <v>--</v>
      </c>
      <c r="X41" s="190" t="str">
        <f t="shared" si="9"/>
        <v>--</v>
      </c>
      <c r="Y41" s="191" t="str">
        <f t="shared" si="10"/>
        <v>--</v>
      </c>
      <c r="Z41" s="192" t="str">
        <f t="shared" si="11"/>
        <v>--</v>
      </c>
      <c r="AA41" s="193" t="str">
        <f t="shared" si="12"/>
        <v>--</v>
      </c>
      <c r="AB41" s="184">
        <f t="shared" si="16"/>
      </c>
      <c r="AC41" s="194">
        <f t="shared" si="13"/>
      </c>
      <c r="AD41" s="114"/>
    </row>
    <row r="42" spans="2:30" s="8" customFormat="1" ht="16.5" customHeight="1" thickBot="1">
      <c r="B42" s="113"/>
      <c r="C42" s="196"/>
      <c r="D42" s="196"/>
      <c r="E42" s="196"/>
      <c r="F42" s="196"/>
      <c r="G42" s="196"/>
      <c r="H42" s="196"/>
      <c r="I42" s="196"/>
      <c r="J42" s="197"/>
      <c r="K42" s="196"/>
      <c r="L42" s="196"/>
      <c r="M42" s="196"/>
      <c r="N42" s="196"/>
      <c r="O42" s="196"/>
      <c r="P42" s="196"/>
      <c r="Q42" s="196"/>
      <c r="R42" s="196"/>
      <c r="S42" s="198"/>
      <c r="T42" s="199"/>
      <c r="U42" s="200"/>
      <c r="V42" s="201"/>
      <c r="W42" s="202"/>
      <c r="X42" s="203"/>
      <c r="Y42" s="204"/>
      <c r="Z42" s="205"/>
      <c r="AA42" s="206"/>
      <c r="AB42" s="196"/>
      <c r="AC42" s="207"/>
      <c r="AD42" s="114"/>
    </row>
    <row r="43" spans="2:30" s="8" customFormat="1" ht="16.5" customHeight="1" thickBot="1" thickTop="1">
      <c r="B43" s="113"/>
      <c r="C43" s="316" t="s">
        <v>139</v>
      </c>
      <c r="D43" s="315" t="s">
        <v>138</v>
      </c>
      <c r="E43" s="95"/>
      <c r="F43" s="9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208">
        <f>SUM(T20:T42)</f>
        <v>139.90158000000002</v>
      </c>
      <c r="U43" s="209">
        <f>SUM(U20:U42)</f>
        <v>0</v>
      </c>
      <c r="V43" s="210">
        <f>SUM(V20:V42)</f>
        <v>0</v>
      </c>
      <c r="W43" s="211">
        <f>SUM(W22:W42)</f>
        <v>0</v>
      </c>
      <c r="X43" s="212">
        <f>SUM(X20:X42)</f>
        <v>260.172</v>
      </c>
      <c r="Y43" s="212">
        <f>SUM(Y22:Y42)</f>
        <v>941.8226400000001</v>
      </c>
      <c r="Z43" s="213">
        <f>SUM(Z20:Z42)</f>
        <v>0</v>
      </c>
      <c r="AA43" s="214">
        <f>SUM(AA22:AA42)</f>
        <v>0</v>
      </c>
      <c r="AB43" s="215"/>
      <c r="AC43" s="216">
        <f>ROUND(SUM(AC20:AC42),2)</f>
        <v>1341.9</v>
      </c>
      <c r="AD43" s="114"/>
    </row>
    <row r="44" spans="2:30" s="93" customFormat="1" ht="9.75" thickTop="1">
      <c r="B44" s="217"/>
      <c r="C44" s="95"/>
      <c r="D44" s="95"/>
      <c r="E44" s="95"/>
      <c r="F44" s="96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219"/>
      <c r="V44" s="219"/>
      <c r="W44" s="219"/>
      <c r="X44" s="219"/>
      <c r="Y44" s="219"/>
      <c r="Z44" s="219"/>
      <c r="AA44" s="219"/>
      <c r="AB44" s="218"/>
      <c r="AC44" s="220"/>
      <c r="AD44" s="221"/>
    </row>
    <row r="45" spans="2:30" s="8" customFormat="1" ht="16.5" customHeight="1" thickBot="1"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2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99" top="0.7874015748031497" bottom="0.7874015748031497" header="0.5118110236220472" footer="0.5118110236220472"/>
  <pageSetup fitToHeight="1" fitToWidth="1" horizontalDpi="300" verticalDpi="300" orientation="landscape" paperSize="9" scale="54" r:id="rId3"/>
  <headerFooter alignWithMargins="0">
    <oddFooter>&amp;L&amp;"Times New Roman,Normal"&amp;F-&amp;A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">
      <selection activeCell="A37" sqref="A37"/>
    </sheetView>
  </sheetViews>
  <sheetFormatPr defaultColWidth="11.421875" defaultRowHeight="12.75"/>
  <cols>
    <col min="1" max="1" width="18.281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9.4218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4" customFormat="1" ht="30.75" customHeight="1">
      <c r="A1" s="226"/>
      <c r="W1" s="290"/>
    </row>
    <row r="2" spans="1:23" s="4" customFormat="1" ht="26.25">
      <c r="A2" s="226"/>
      <c r="B2" s="66" t="str">
        <f>+'TOT-0212'!B2</f>
        <v>ANEXO III al Memorándum  D.T.E.E.  N° 716  / 2013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8" customFormat="1" ht="12.75">
      <c r="A3" s="227"/>
      <c r="B3" s="6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" s="11" customFormat="1" ht="11.25">
      <c r="A4" s="101" t="s">
        <v>2</v>
      </c>
      <c r="B4" s="228"/>
    </row>
    <row r="5" spans="1:2" s="11" customFormat="1" ht="11.25">
      <c r="A5" s="101" t="s">
        <v>3</v>
      </c>
      <c r="B5" s="228"/>
    </row>
    <row r="6" s="8" customFormat="1" ht="16.5" customHeight="1" thickBot="1"/>
    <row r="7" spans="2:23" s="8" customFormat="1" ht="16.5" customHeight="1" thickTop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</row>
    <row r="8" spans="2:23" s="71" customFormat="1" ht="20.25">
      <c r="B8" s="72"/>
      <c r="F8" s="73" t="s">
        <v>40</v>
      </c>
      <c r="P8" s="74"/>
      <c r="Q8" s="74"/>
      <c r="R8" s="74"/>
      <c r="S8" s="74"/>
      <c r="T8" s="74"/>
      <c r="U8" s="74"/>
      <c r="V8" s="74"/>
      <c r="W8" s="75"/>
    </row>
    <row r="9" spans="2:23" s="8" customFormat="1" ht="16.5" customHeight="1">
      <c r="B9" s="42"/>
      <c r="F9" s="10"/>
      <c r="G9" s="10"/>
      <c r="H9" s="10"/>
      <c r="I9" s="79"/>
      <c r="J9" s="79"/>
      <c r="K9" s="79"/>
      <c r="L9" s="79"/>
      <c r="M9" s="79"/>
      <c r="P9" s="10"/>
      <c r="Q9" s="10"/>
      <c r="R9" s="10"/>
      <c r="S9" s="10"/>
      <c r="T9" s="10"/>
      <c r="U9" s="10"/>
      <c r="V9" s="10"/>
      <c r="W9" s="47"/>
    </row>
    <row r="10" spans="2:23" s="71" customFormat="1" ht="20.25">
      <c r="B10" s="72"/>
      <c r="F10" s="73" t="s">
        <v>41</v>
      </c>
      <c r="G10" s="73"/>
      <c r="H10" s="74"/>
      <c r="I10" s="73"/>
      <c r="J10" s="73"/>
      <c r="K10" s="73"/>
      <c r="L10" s="73"/>
      <c r="M10" s="73"/>
      <c r="P10" s="74"/>
      <c r="Q10" s="74"/>
      <c r="R10" s="74"/>
      <c r="S10" s="74"/>
      <c r="T10" s="74"/>
      <c r="U10" s="74"/>
      <c r="V10" s="74"/>
      <c r="W10" s="75"/>
    </row>
    <row r="11" spans="2:23" s="8" customFormat="1" ht="16.5" customHeight="1">
      <c r="B11" s="42"/>
      <c r="C11" s="10"/>
      <c r="D11" s="10"/>
      <c r="E11" s="10"/>
      <c r="F11" s="229"/>
      <c r="G11" s="79"/>
      <c r="H11" s="10"/>
      <c r="I11" s="79"/>
      <c r="J11" s="79"/>
      <c r="K11" s="79"/>
      <c r="L11" s="79"/>
      <c r="M11" s="79"/>
      <c r="P11" s="10"/>
      <c r="Q11" s="10"/>
      <c r="R11" s="10"/>
      <c r="S11" s="10"/>
      <c r="T11" s="10"/>
      <c r="U11" s="10"/>
      <c r="V11" s="10"/>
      <c r="W11" s="47"/>
    </row>
    <row r="12" spans="2:23" s="15" customFormat="1" ht="19.5">
      <c r="B12" s="29" t="str">
        <f>+'TOT-0212'!B14</f>
        <v>Desde el 01 al 29 de febrero de 2012</v>
      </c>
      <c r="C12" s="230"/>
      <c r="D12" s="230"/>
      <c r="E12" s="230"/>
      <c r="F12" s="32"/>
      <c r="G12" s="32"/>
      <c r="H12" s="32"/>
      <c r="I12" s="32"/>
      <c r="J12" s="7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78"/>
    </row>
    <row r="13" spans="2:23" s="8" customFormat="1" ht="16.5" customHeight="1" thickBot="1">
      <c r="B13" s="42"/>
      <c r="C13" s="10"/>
      <c r="D13" s="10"/>
      <c r="E13" s="10"/>
      <c r="I13" s="80"/>
      <c r="K13" s="10"/>
      <c r="L13" s="10"/>
      <c r="M13" s="10"/>
      <c r="N13" s="80"/>
      <c r="O13" s="80"/>
      <c r="P13" s="80"/>
      <c r="Q13" s="10"/>
      <c r="R13" s="10"/>
      <c r="S13" s="10"/>
      <c r="T13" s="10"/>
      <c r="U13" s="10"/>
      <c r="V13" s="10"/>
      <c r="W13" s="47"/>
    </row>
    <row r="14" spans="2:23" s="8" customFormat="1" ht="16.5" customHeight="1" thickBot="1" thickTop="1">
      <c r="B14" s="42"/>
      <c r="C14" s="10"/>
      <c r="D14" s="10"/>
      <c r="E14" s="10"/>
      <c r="F14" s="231" t="s">
        <v>42</v>
      </c>
      <c r="G14" s="232">
        <v>34.972</v>
      </c>
      <c r="H14" s="233">
        <f>60*'TOT-0212'!B13</f>
        <v>60</v>
      </c>
      <c r="I14" s="80"/>
      <c r="J14" s="133" t="str">
        <f>IF(H14=60," ",IF(H14=120,"    Coeficiente duplicado por tasa de falla &gt;4 Sal. x año/100 km.","    REVISAR COEFICIENTE"))</f>
        <v> </v>
      </c>
      <c r="K14" s="10"/>
      <c r="L14" s="10"/>
      <c r="M14" s="10"/>
      <c r="N14" s="80"/>
      <c r="O14" s="80"/>
      <c r="P14" s="80"/>
      <c r="Q14" s="10"/>
      <c r="R14" s="10"/>
      <c r="S14" s="10"/>
      <c r="T14" s="10"/>
      <c r="U14" s="10"/>
      <c r="V14" s="10"/>
      <c r="W14" s="47"/>
    </row>
    <row r="15" spans="2:23" s="8" customFormat="1" ht="16.5" customHeight="1" thickBot="1" thickTop="1">
      <c r="B15" s="42"/>
      <c r="C15" s="10"/>
      <c r="D15" s="10"/>
      <c r="E15" s="10"/>
      <c r="F15" s="231" t="s">
        <v>43</v>
      </c>
      <c r="G15" s="232">
        <v>17.488</v>
      </c>
      <c r="H15" s="233">
        <f>50*'TOT-0212'!B13</f>
        <v>50</v>
      </c>
      <c r="J15" s="133" t="str">
        <f>IF(H15=50," ",IF(H15=100,"    Coeficiente duplicado por tasa de falla &gt;4 Sal. x año/100 km.","    REVISAR COEFICIENTE"))</f>
        <v> </v>
      </c>
      <c r="S15" s="10"/>
      <c r="T15" s="10"/>
      <c r="U15" s="10"/>
      <c r="V15" s="234"/>
      <c r="W15" s="47"/>
    </row>
    <row r="16" spans="2:23" s="8" customFormat="1" ht="16.5" customHeight="1" thickBot="1" thickTop="1">
      <c r="B16" s="42"/>
      <c r="C16" s="10"/>
      <c r="D16" s="10"/>
      <c r="E16" s="10"/>
      <c r="F16" s="235" t="s">
        <v>44</v>
      </c>
      <c r="G16" s="236">
        <v>13.12</v>
      </c>
      <c r="H16" s="237">
        <f>25*'TOT-0212'!B13</f>
        <v>25</v>
      </c>
      <c r="J16" s="133" t="str">
        <f>IF(H16=25," ",IF(H16=50,"    Coeficiente duplicado por tasa de falla &gt;4 Sal. x año/100 km.","    REVISAR COEFICIENTE"))</f>
        <v> </v>
      </c>
      <c r="K16" s="81"/>
      <c r="L16" s="81"/>
      <c r="M16" s="10"/>
      <c r="P16" s="238"/>
      <c r="Q16" s="239"/>
      <c r="R16" s="3"/>
      <c r="S16" s="10"/>
      <c r="T16" s="10"/>
      <c r="U16" s="10"/>
      <c r="V16" s="234"/>
      <c r="W16" s="47"/>
    </row>
    <row r="17" spans="2:23" s="8" customFormat="1" ht="16.5" customHeight="1" thickBot="1" thickTop="1">
      <c r="B17" s="42"/>
      <c r="C17" s="10"/>
      <c r="D17" s="10"/>
      <c r="E17" s="10"/>
      <c r="F17" s="240" t="s">
        <v>45</v>
      </c>
      <c r="G17" s="311">
        <v>13.12</v>
      </c>
      <c r="H17" s="241">
        <f>20*'TOT-0212'!B13</f>
        <v>20</v>
      </c>
      <c r="J17" s="133" t="str">
        <f>IF(H17=20," ",IF(H17=40,"    Coeficiente duplicado por tasa de falla &gt;4 Sal. x año/100 km.","    REVISAR COEFICIENTE"))</f>
        <v> </v>
      </c>
      <c r="K17" s="81"/>
      <c r="L17" s="81"/>
      <c r="M17" s="10"/>
      <c r="P17" s="238"/>
      <c r="Q17" s="239"/>
      <c r="R17" s="3"/>
      <c r="S17" s="10"/>
      <c r="T17" s="10"/>
      <c r="U17" s="10"/>
      <c r="V17" s="234"/>
      <c r="W17" s="47"/>
    </row>
    <row r="18" spans="2:23" s="8" customFormat="1" ht="16.5" customHeight="1" thickBot="1" thickTop="1">
      <c r="B18" s="42"/>
      <c r="C18" s="10"/>
      <c r="D18" s="312">
        <v>4</v>
      </c>
      <c r="E18" s="312">
        <v>5</v>
      </c>
      <c r="F18" s="312">
        <v>6</v>
      </c>
      <c r="G18" s="312">
        <v>7</v>
      </c>
      <c r="H18" s="312">
        <v>8</v>
      </c>
      <c r="I18" s="312">
        <v>9</v>
      </c>
      <c r="J18" s="312">
        <v>10</v>
      </c>
      <c r="K18" s="312">
        <v>11</v>
      </c>
      <c r="L18" s="312">
        <v>12</v>
      </c>
      <c r="M18" s="312">
        <v>13</v>
      </c>
      <c r="N18" s="312">
        <v>14</v>
      </c>
      <c r="O18" s="312">
        <v>15</v>
      </c>
      <c r="P18" s="312">
        <v>16</v>
      </c>
      <c r="Q18" s="312">
        <v>17</v>
      </c>
      <c r="R18" s="312">
        <v>18</v>
      </c>
      <c r="S18" s="312">
        <v>19</v>
      </c>
      <c r="T18" s="312">
        <v>20</v>
      </c>
      <c r="U18" s="312">
        <v>21</v>
      </c>
      <c r="V18" s="312">
        <v>22</v>
      </c>
      <c r="W18" s="47"/>
    </row>
    <row r="19" spans="2:23" s="242" customFormat="1" ht="34.5" customHeight="1" thickBot="1" thickTop="1">
      <c r="B19" s="243"/>
      <c r="C19" s="295" t="s">
        <v>13</v>
      </c>
      <c r="D19" s="295" t="s">
        <v>61</v>
      </c>
      <c r="E19" s="295" t="s">
        <v>62</v>
      </c>
      <c r="F19" s="137" t="s">
        <v>29</v>
      </c>
      <c r="G19" s="244" t="s">
        <v>30</v>
      </c>
      <c r="H19" s="245" t="s">
        <v>14</v>
      </c>
      <c r="I19" s="83" t="s">
        <v>15</v>
      </c>
      <c r="J19" s="138" t="s">
        <v>16</v>
      </c>
      <c r="K19" s="244" t="s">
        <v>17</v>
      </c>
      <c r="L19" s="137" t="s">
        <v>32</v>
      </c>
      <c r="M19" s="137" t="s">
        <v>33</v>
      </c>
      <c r="N19" s="82" t="s">
        <v>60</v>
      </c>
      <c r="O19" s="138" t="s">
        <v>34</v>
      </c>
      <c r="P19" s="246" t="s">
        <v>46</v>
      </c>
      <c r="Q19" s="247" t="s">
        <v>47</v>
      </c>
      <c r="R19" s="248" t="s">
        <v>37</v>
      </c>
      <c r="S19" s="249"/>
      <c r="T19" s="250" t="s">
        <v>21</v>
      </c>
      <c r="U19" s="140" t="s">
        <v>23</v>
      </c>
      <c r="V19" s="140" t="s">
        <v>24</v>
      </c>
      <c r="W19" s="251"/>
    </row>
    <row r="20" spans="2:23" s="8" customFormat="1" ht="16.5" customHeight="1" thickTop="1">
      <c r="B20" s="42"/>
      <c r="C20" s="166"/>
      <c r="D20" s="294"/>
      <c r="E20" s="294"/>
      <c r="F20" s="165"/>
      <c r="G20" s="165"/>
      <c r="H20" s="252"/>
      <c r="I20" s="253"/>
      <c r="J20" s="168"/>
      <c r="K20" s="254"/>
      <c r="L20" s="169"/>
      <c r="M20" s="169"/>
      <c r="N20" s="168"/>
      <c r="O20" s="168"/>
      <c r="P20" s="255"/>
      <c r="Q20" s="256"/>
      <c r="R20" s="257"/>
      <c r="S20" s="258"/>
      <c r="T20" s="259"/>
      <c r="U20" s="260"/>
      <c r="V20" s="261"/>
      <c r="W20" s="114"/>
    </row>
    <row r="21" spans="2:23" s="8" customFormat="1" ht="16.5" customHeight="1">
      <c r="B21" s="42"/>
      <c r="C21" s="168"/>
      <c r="D21" s="165"/>
      <c r="E21" s="165"/>
      <c r="F21" s="262"/>
      <c r="G21" s="262"/>
      <c r="H21" s="263"/>
      <c r="I21" s="264"/>
      <c r="J21" s="265"/>
      <c r="K21" s="266"/>
      <c r="L21" s="182"/>
      <c r="M21" s="267"/>
      <c r="N21" s="184"/>
      <c r="O21" s="184"/>
      <c r="P21" s="268"/>
      <c r="Q21" s="269"/>
      <c r="R21" s="270"/>
      <c r="S21" s="271"/>
      <c r="T21" s="272"/>
      <c r="U21" s="273"/>
      <c r="V21" s="274"/>
      <c r="W21" s="114"/>
    </row>
    <row r="22" spans="2:23" s="8" customFormat="1" ht="16.5" customHeight="1">
      <c r="B22" s="42"/>
      <c r="C22" s="168">
        <v>6</v>
      </c>
      <c r="D22" s="165">
        <v>244172</v>
      </c>
      <c r="E22" s="165">
        <v>890</v>
      </c>
      <c r="F22" s="165" t="s">
        <v>118</v>
      </c>
      <c r="G22" s="165" t="s">
        <v>128</v>
      </c>
      <c r="H22" s="317">
        <v>13.199999809265137</v>
      </c>
      <c r="I22" s="264">
        <f aca="true" t="shared" si="0" ref="I22:I41">IF(H22=220,$G$14,IF(AND(H22&lt;=132,H22&gt;=66),$G$15,IF(AND(H22&lt;66,H22&gt;=33),$G$16,$G$17)))</f>
        <v>13.12</v>
      </c>
      <c r="J22" s="265">
        <v>40949.433333333334</v>
      </c>
      <c r="K22" s="266">
        <v>40949.5875</v>
      </c>
      <c r="L22" s="182">
        <f aca="true" t="shared" si="1" ref="L22:L41">IF(F22="","",(K22-J22)*24)</f>
        <v>3.7000000000116415</v>
      </c>
      <c r="M22" s="267">
        <f aca="true" t="shared" si="2" ref="M22:M41">IF(F22="","",ROUND((K22-J22)*24*60,0))</f>
        <v>222</v>
      </c>
      <c r="N22" s="184" t="s">
        <v>129</v>
      </c>
      <c r="O22" s="184" t="str">
        <f aca="true" t="shared" si="3" ref="O22:O41">IF(F22="","",IF(OR(N22="P",N22="RP"),"--","NO"))</f>
        <v>NO</v>
      </c>
      <c r="P22" s="268">
        <f aca="true" t="shared" si="4" ref="P22:P41">IF(H22=220,$H$14,IF(AND(H22&lt;=132,H22&gt;=66),$H$15,IF(AND(H22&lt;66,H22&gt;13.2),$H$16,$H$17)))</f>
        <v>20</v>
      </c>
      <c r="Q22" s="269" t="str">
        <f aca="true" t="shared" si="5" ref="Q22:Q41">IF(N22="P",I22*P22*ROUND(M22/60,2)*0.1,"--")</f>
        <v>--</v>
      </c>
      <c r="R22" s="270">
        <f aca="true" t="shared" si="6" ref="R22:R41">IF(AND(N22="F",O22="NO"),I22*P22,"--")</f>
        <v>262.4</v>
      </c>
      <c r="S22" s="271">
        <f aca="true" t="shared" si="7" ref="S22:S41">IF(N22="F",I22*P22*ROUND(M22/60,2),"--")</f>
        <v>970.88</v>
      </c>
      <c r="T22" s="272" t="str">
        <f aca="true" t="shared" si="8" ref="T22:T41">IF(N22="RF",I22*P22*ROUND(M22/60,2),"--")</f>
        <v>--</v>
      </c>
      <c r="U22" s="273" t="s">
        <v>122</v>
      </c>
      <c r="V22" s="275">
        <f aca="true" t="shared" si="9" ref="V22:V41">IF(F22="","",SUM(Q22:T22)*IF(U22="SI",1,2)*IF(H22="500/220",0,1))</f>
        <v>1233.28</v>
      </c>
      <c r="W22" s="195"/>
    </row>
    <row r="23" spans="2:23" s="8" customFormat="1" ht="16.5" customHeight="1">
      <c r="B23" s="42"/>
      <c r="C23" s="168">
        <v>7</v>
      </c>
      <c r="D23" s="165">
        <v>244173</v>
      </c>
      <c r="E23" s="165">
        <v>888</v>
      </c>
      <c r="F23" s="165" t="s">
        <v>118</v>
      </c>
      <c r="G23" s="165" t="s">
        <v>130</v>
      </c>
      <c r="H23" s="318">
        <v>13.199999809265137</v>
      </c>
      <c r="I23" s="264">
        <f t="shared" si="0"/>
        <v>13.12</v>
      </c>
      <c r="J23" s="265">
        <v>40949.433333333334</v>
      </c>
      <c r="K23" s="266">
        <v>40949.61041666667</v>
      </c>
      <c r="L23" s="182">
        <f t="shared" si="1"/>
        <v>4.250000000058208</v>
      </c>
      <c r="M23" s="267">
        <f t="shared" si="2"/>
        <v>255</v>
      </c>
      <c r="N23" s="184" t="s">
        <v>129</v>
      </c>
      <c r="O23" s="184" t="str">
        <f t="shared" si="3"/>
        <v>NO</v>
      </c>
      <c r="P23" s="268">
        <f t="shared" si="4"/>
        <v>20</v>
      </c>
      <c r="Q23" s="269" t="str">
        <f t="shared" si="5"/>
        <v>--</v>
      </c>
      <c r="R23" s="270">
        <f t="shared" si="6"/>
        <v>262.4</v>
      </c>
      <c r="S23" s="271">
        <f t="shared" si="7"/>
        <v>1115.1999999999998</v>
      </c>
      <c r="T23" s="272" t="str">
        <f t="shared" si="8"/>
        <v>--</v>
      </c>
      <c r="U23" s="273" t="s">
        <v>122</v>
      </c>
      <c r="V23" s="275">
        <f t="shared" si="9"/>
        <v>1377.6</v>
      </c>
      <c r="W23" s="195"/>
    </row>
    <row r="24" spans="2:23" s="8" customFormat="1" ht="16.5" customHeight="1">
      <c r="B24" s="42"/>
      <c r="C24" s="168">
        <v>8</v>
      </c>
      <c r="D24" s="165">
        <v>244174</v>
      </c>
      <c r="E24" s="165">
        <v>889</v>
      </c>
      <c r="F24" s="165" t="s">
        <v>118</v>
      </c>
      <c r="G24" s="165" t="s">
        <v>131</v>
      </c>
      <c r="H24" s="318">
        <v>13.199999809265137</v>
      </c>
      <c r="I24" s="264">
        <f t="shared" si="0"/>
        <v>13.12</v>
      </c>
      <c r="J24" s="265">
        <v>40949.433333333334</v>
      </c>
      <c r="K24" s="266">
        <v>40949.64791666667</v>
      </c>
      <c r="L24" s="182">
        <f t="shared" si="1"/>
        <v>5.150000000023283</v>
      </c>
      <c r="M24" s="267">
        <f t="shared" si="2"/>
        <v>309</v>
      </c>
      <c r="N24" s="184" t="s">
        <v>129</v>
      </c>
      <c r="O24" s="184" t="str">
        <f t="shared" si="3"/>
        <v>NO</v>
      </c>
      <c r="P24" s="268">
        <f t="shared" si="4"/>
        <v>20</v>
      </c>
      <c r="Q24" s="269" t="str">
        <f t="shared" si="5"/>
        <v>--</v>
      </c>
      <c r="R24" s="270">
        <f t="shared" si="6"/>
        <v>262.4</v>
      </c>
      <c r="S24" s="271">
        <f t="shared" si="7"/>
        <v>1351.36</v>
      </c>
      <c r="T24" s="272" t="str">
        <f t="shared" si="8"/>
        <v>--</v>
      </c>
      <c r="U24" s="273" t="s">
        <v>122</v>
      </c>
      <c r="V24" s="275">
        <f t="shared" si="9"/>
        <v>1613.7599999999998</v>
      </c>
      <c r="W24" s="195"/>
    </row>
    <row r="25" spans="2:23" s="8" customFormat="1" ht="16.5" customHeight="1">
      <c r="B25" s="42"/>
      <c r="C25" s="168">
        <v>9</v>
      </c>
      <c r="D25" s="165">
        <v>244175</v>
      </c>
      <c r="E25" s="165">
        <v>4021</v>
      </c>
      <c r="F25" s="165" t="s">
        <v>118</v>
      </c>
      <c r="G25" s="165" t="s">
        <v>132</v>
      </c>
      <c r="H25" s="318">
        <v>13.199999809265137</v>
      </c>
      <c r="I25" s="264">
        <f t="shared" si="0"/>
        <v>13.12</v>
      </c>
      <c r="J25" s="265">
        <v>40949.433333333334</v>
      </c>
      <c r="K25" s="266">
        <v>40949.64861111111</v>
      </c>
      <c r="L25" s="182">
        <f t="shared" si="1"/>
        <v>5.166666666569654</v>
      </c>
      <c r="M25" s="267">
        <f t="shared" si="2"/>
        <v>310</v>
      </c>
      <c r="N25" s="184" t="s">
        <v>129</v>
      </c>
      <c r="O25" s="184" t="str">
        <f t="shared" si="3"/>
        <v>NO</v>
      </c>
      <c r="P25" s="268">
        <f t="shared" si="4"/>
        <v>20</v>
      </c>
      <c r="Q25" s="269" t="str">
        <f t="shared" si="5"/>
        <v>--</v>
      </c>
      <c r="R25" s="270">
        <f t="shared" si="6"/>
        <v>262.4</v>
      </c>
      <c r="S25" s="271">
        <f t="shared" si="7"/>
        <v>1356.608</v>
      </c>
      <c r="T25" s="272" t="str">
        <f t="shared" si="8"/>
        <v>--</v>
      </c>
      <c r="U25" s="273" t="s">
        <v>122</v>
      </c>
      <c r="V25" s="275">
        <f t="shared" si="9"/>
        <v>1619.0079999999998</v>
      </c>
      <c r="W25" s="195"/>
    </row>
    <row r="26" spans="2:23" s="8" customFormat="1" ht="16.5" customHeight="1">
      <c r="B26" s="42"/>
      <c r="C26" s="168">
        <v>10</v>
      </c>
      <c r="D26" s="165">
        <v>244176</v>
      </c>
      <c r="E26" s="165">
        <v>880</v>
      </c>
      <c r="F26" s="165" t="s">
        <v>133</v>
      </c>
      <c r="G26" s="165" t="s">
        <v>134</v>
      </c>
      <c r="H26" s="318">
        <v>66</v>
      </c>
      <c r="I26" s="264">
        <f t="shared" si="0"/>
        <v>17.488</v>
      </c>
      <c r="J26" s="265">
        <v>40951.288194444445</v>
      </c>
      <c r="K26" s="266">
        <v>40951.39097222222</v>
      </c>
      <c r="L26" s="182">
        <f t="shared" si="1"/>
        <v>2.4666666666744277</v>
      </c>
      <c r="M26" s="267">
        <f t="shared" si="2"/>
        <v>148</v>
      </c>
      <c r="N26" s="184" t="s">
        <v>123</v>
      </c>
      <c r="O26" s="184" t="str">
        <f t="shared" si="3"/>
        <v>--</v>
      </c>
      <c r="P26" s="268">
        <f t="shared" si="4"/>
        <v>50</v>
      </c>
      <c r="Q26" s="269">
        <f t="shared" si="5"/>
        <v>215.97680000000003</v>
      </c>
      <c r="R26" s="270" t="str">
        <f t="shared" si="6"/>
        <v>--</v>
      </c>
      <c r="S26" s="271" t="str">
        <f t="shared" si="7"/>
        <v>--</v>
      </c>
      <c r="T26" s="272" t="str">
        <f t="shared" si="8"/>
        <v>--</v>
      </c>
      <c r="U26" s="273" t="s">
        <v>122</v>
      </c>
      <c r="V26" s="275">
        <f t="shared" si="9"/>
        <v>215.97680000000003</v>
      </c>
      <c r="W26" s="195"/>
    </row>
    <row r="27" spans="2:23" s="8" customFormat="1" ht="16.5" customHeight="1">
      <c r="B27" s="42"/>
      <c r="C27" s="168">
        <v>11</v>
      </c>
      <c r="D27" s="165">
        <v>245144</v>
      </c>
      <c r="E27" s="165">
        <v>919</v>
      </c>
      <c r="F27" s="165" t="s">
        <v>135</v>
      </c>
      <c r="G27" s="165" t="s">
        <v>136</v>
      </c>
      <c r="H27" s="318">
        <v>132</v>
      </c>
      <c r="I27" s="264">
        <f t="shared" si="0"/>
        <v>17.488</v>
      </c>
      <c r="J27" s="265">
        <v>40968.37847222222</v>
      </c>
      <c r="K27" s="266">
        <v>40968.46944444445</v>
      </c>
      <c r="L27" s="182">
        <f t="shared" si="1"/>
        <v>2.1833333334652707</v>
      </c>
      <c r="M27" s="267">
        <f t="shared" si="2"/>
        <v>131</v>
      </c>
      <c r="N27" s="184" t="s">
        <v>123</v>
      </c>
      <c r="O27" s="184" t="str">
        <f t="shared" si="3"/>
        <v>--</v>
      </c>
      <c r="P27" s="268">
        <f t="shared" si="4"/>
        <v>50</v>
      </c>
      <c r="Q27" s="269">
        <f t="shared" si="5"/>
        <v>190.6192</v>
      </c>
      <c r="R27" s="270" t="str">
        <f t="shared" si="6"/>
        <v>--</v>
      </c>
      <c r="S27" s="271" t="str">
        <f t="shared" si="7"/>
        <v>--</v>
      </c>
      <c r="T27" s="272" t="str">
        <f t="shared" si="8"/>
        <v>--</v>
      </c>
      <c r="U27" s="273" t="s">
        <v>122</v>
      </c>
      <c r="V27" s="275">
        <f t="shared" si="9"/>
        <v>190.6192</v>
      </c>
      <c r="W27" s="195"/>
    </row>
    <row r="28" spans="2:23" s="8" customFormat="1" ht="16.5" customHeight="1">
      <c r="B28" s="42"/>
      <c r="C28" s="168"/>
      <c r="D28" s="165"/>
      <c r="E28" s="165"/>
      <c r="F28" s="262"/>
      <c r="G28" s="262"/>
      <c r="H28" s="263"/>
      <c r="I28" s="264">
        <f t="shared" si="0"/>
        <v>13.12</v>
      </c>
      <c r="J28" s="265"/>
      <c r="K28" s="266"/>
      <c r="L28" s="182">
        <f t="shared" si="1"/>
      </c>
      <c r="M28" s="267">
        <f t="shared" si="2"/>
      </c>
      <c r="N28" s="184"/>
      <c r="O28" s="184">
        <f t="shared" si="3"/>
      </c>
      <c r="P28" s="268">
        <f t="shared" si="4"/>
        <v>20</v>
      </c>
      <c r="Q28" s="269" t="str">
        <f t="shared" si="5"/>
        <v>--</v>
      </c>
      <c r="R28" s="270" t="str">
        <f t="shared" si="6"/>
        <v>--</v>
      </c>
      <c r="S28" s="271" t="str">
        <f t="shared" si="7"/>
        <v>--</v>
      </c>
      <c r="T28" s="272" t="str">
        <f t="shared" si="8"/>
        <v>--</v>
      </c>
      <c r="U28" s="273">
        <f aca="true" t="shared" si="10" ref="U28:U41">IF(F28="","","SI")</f>
      </c>
      <c r="V28" s="275">
        <f t="shared" si="9"/>
      </c>
      <c r="W28" s="195"/>
    </row>
    <row r="29" spans="2:23" s="8" customFormat="1" ht="16.5" customHeight="1">
      <c r="B29" s="42"/>
      <c r="C29" s="168"/>
      <c r="D29" s="165"/>
      <c r="E29" s="165"/>
      <c r="F29" s="262"/>
      <c r="G29" s="262"/>
      <c r="H29" s="263"/>
      <c r="I29" s="264">
        <f t="shared" si="0"/>
        <v>13.12</v>
      </c>
      <c r="J29" s="265"/>
      <c r="K29" s="266"/>
      <c r="L29" s="182">
        <f t="shared" si="1"/>
      </c>
      <c r="M29" s="267">
        <f t="shared" si="2"/>
      </c>
      <c r="N29" s="184"/>
      <c r="O29" s="184">
        <f t="shared" si="3"/>
      </c>
      <c r="P29" s="268">
        <f t="shared" si="4"/>
        <v>20</v>
      </c>
      <c r="Q29" s="269" t="str">
        <f t="shared" si="5"/>
        <v>--</v>
      </c>
      <c r="R29" s="270" t="str">
        <f t="shared" si="6"/>
        <v>--</v>
      </c>
      <c r="S29" s="271" t="str">
        <f t="shared" si="7"/>
        <v>--</v>
      </c>
      <c r="T29" s="272" t="str">
        <f t="shared" si="8"/>
        <v>--</v>
      </c>
      <c r="U29" s="273">
        <f t="shared" si="10"/>
      </c>
      <c r="V29" s="275">
        <f t="shared" si="9"/>
      </c>
      <c r="W29" s="195"/>
    </row>
    <row r="30" spans="2:23" s="8" customFormat="1" ht="16.5" customHeight="1">
      <c r="B30" s="42"/>
      <c r="C30" s="168"/>
      <c r="D30" s="165"/>
      <c r="E30" s="165"/>
      <c r="F30" s="262"/>
      <c r="G30" s="262"/>
      <c r="H30" s="263"/>
      <c r="I30" s="264">
        <f t="shared" si="0"/>
        <v>13.12</v>
      </c>
      <c r="J30" s="265"/>
      <c r="K30" s="266"/>
      <c r="L30" s="182">
        <f t="shared" si="1"/>
      </c>
      <c r="M30" s="267">
        <f t="shared" si="2"/>
      </c>
      <c r="N30" s="184"/>
      <c r="O30" s="184">
        <f t="shared" si="3"/>
      </c>
      <c r="P30" s="268">
        <f t="shared" si="4"/>
        <v>20</v>
      </c>
      <c r="Q30" s="269" t="str">
        <f t="shared" si="5"/>
        <v>--</v>
      </c>
      <c r="R30" s="270" t="str">
        <f t="shared" si="6"/>
        <v>--</v>
      </c>
      <c r="S30" s="271" t="str">
        <f t="shared" si="7"/>
        <v>--</v>
      </c>
      <c r="T30" s="272" t="str">
        <f t="shared" si="8"/>
        <v>--</v>
      </c>
      <c r="U30" s="273">
        <f t="shared" si="10"/>
      </c>
      <c r="V30" s="275">
        <f t="shared" si="9"/>
      </c>
      <c r="W30" s="195"/>
    </row>
    <row r="31" spans="2:23" s="8" customFormat="1" ht="16.5" customHeight="1">
      <c r="B31" s="42"/>
      <c r="C31" s="168"/>
      <c r="D31" s="165"/>
      <c r="E31" s="165"/>
      <c r="F31" s="262"/>
      <c r="G31" s="262"/>
      <c r="H31" s="263"/>
      <c r="I31" s="264">
        <f t="shared" si="0"/>
        <v>13.12</v>
      </c>
      <c r="J31" s="265"/>
      <c r="K31" s="266"/>
      <c r="L31" s="182">
        <f t="shared" si="1"/>
      </c>
      <c r="M31" s="267">
        <f t="shared" si="2"/>
      </c>
      <c r="N31" s="184"/>
      <c r="O31" s="184">
        <f t="shared" si="3"/>
      </c>
      <c r="P31" s="268">
        <f t="shared" si="4"/>
        <v>20</v>
      </c>
      <c r="Q31" s="269" t="str">
        <f t="shared" si="5"/>
        <v>--</v>
      </c>
      <c r="R31" s="270" t="str">
        <f t="shared" si="6"/>
        <v>--</v>
      </c>
      <c r="S31" s="271" t="str">
        <f t="shared" si="7"/>
        <v>--</v>
      </c>
      <c r="T31" s="272" t="str">
        <f t="shared" si="8"/>
        <v>--</v>
      </c>
      <c r="U31" s="273">
        <f t="shared" si="10"/>
      </c>
      <c r="V31" s="275">
        <f t="shared" si="9"/>
      </c>
      <c r="W31" s="195"/>
    </row>
    <row r="32" spans="2:23" s="8" customFormat="1" ht="16.5" customHeight="1">
      <c r="B32" s="42"/>
      <c r="C32" s="168"/>
      <c r="D32" s="165"/>
      <c r="E32" s="165"/>
      <c r="F32" s="262"/>
      <c r="G32" s="262"/>
      <c r="H32" s="263"/>
      <c r="I32" s="264">
        <f t="shared" si="0"/>
        <v>13.12</v>
      </c>
      <c r="J32" s="265"/>
      <c r="K32" s="266"/>
      <c r="L32" s="182">
        <f t="shared" si="1"/>
      </c>
      <c r="M32" s="267">
        <f t="shared" si="2"/>
      </c>
      <c r="N32" s="184"/>
      <c r="O32" s="184">
        <f t="shared" si="3"/>
      </c>
      <c r="P32" s="268">
        <f t="shared" si="4"/>
        <v>20</v>
      </c>
      <c r="Q32" s="269" t="str">
        <f t="shared" si="5"/>
        <v>--</v>
      </c>
      <c r="R32" s="270" t="str">
        <f t="shared" si="6"/>
        <v>--</v>
      </c>
      <c r="S32" s="271" t="str">
        <f t="shared" si="7"/>
        <v>--</v>
      </c>
      <c r="T32" s="272" t="str">
        <f t="shared" si="8"/>
        <v>--</v>
      </c>
      <c r="U32" s="273">
        <f t="shared" si="10"/>
      </c>
      <c r="V32" s="275">
        <f t="shared" si="9"/>
      </c>
      <c r="W32" s="195"/>
    </row>
    <row r="33" spans="2:23" s="8" customFormat="1" ht="16.5" customHeight="1">
      <c r="B33" s="42"/>
      <c r="C33" s="168"/>
      <c r="D33" s="165"/>
      <c r="E33" s="165"/>
      <c r="F33" s="262"/>
      <c r="G33" s="262"/>
      <c r="H33" s="263"/>
      <c r="I33" s="264">
        <f t="shared" si="0"/>
        <v>13.12</v>
      </c>
      <c r="J33" s="265"/>
      <c r="K33" s="266"/>
      <c r="L33" s="182">
        <f t="shared" si="1"/>
      </c>
      <c r="M33" s="267">
        <f t="shared" si="2"/>
      </c>
      <c r="N33" s="184"/>
      <c r="O33" s="184">
        <f t="shared" si="3"/>
      </c>
      <c r="P33" s="268">
        <f t="shared" si="4"/>
        <v>20</v>
      </c>
      <c r="Q33" s="269" t="str">
        <f t="shared" si="5"/>
        <v>--</v>
      </c>
      <c r="R33" s="270" t="str">
        <f t="shared" si="6"/>
        <v>--</v>
      </c>
      <c r="S33" s="271" t="str">
        <f t="shared" si="7"/>
        <v>--</v>
      </c>
      <c r="T33" s="272" t="str">
        <f t="shared" si="8"/>
        <v>--</v>
      </c>
      <c r="U33" s="273">
        <f t="shared" si="10"/>
      </c>
      <c r="V33" s="275">
        <f t="shared" si="9"/>
      </c>
      <c r="W33" s="195"/>
    </row>
    <row r="34" spans="2:23" s="8" customFormat="1" ht="16.5" customHeight="1">
      <c r="B34" s="42"/>
      <c r="C34" s="168"/>
      <c r="D34" s="165"/>
      <c r="E34" s="165"/>
      <c r="F34" s="262"/>
      <c r="G34" s="262"/>
      <c r="H34" s="263"/>
      <c r="I34" s="264">
        <f t="shared" si="0"/>
        <v>13.12</v>
      </c>
      <c r="J34" s="265"/>
      <c r="K34" s="266"/>
      <c r="L34" s="182">
        <f t="shared" si="1"/>
      </c>
      <c r="M34" s="267">
        <f t="shared" si="2"/>
      </c>
      <c r="N34" s="184"/>
      <c r="O34" s="184">
        <f t="shared" si="3"/>
      </c>
      <c r="P34" s="268">
        <f t="shared" si="4"/>
        <v>20</v>
      </c>
      <c r="Q34" s="269" t="str">
        <f t="shared" si="5"/>
        <v>--</v>
      </c>
      <c r="R34" s="270" t="str">
        <f t="shared" si="6"/>
        <v>--</v>
      </c>
      <c r="S34" s="271" t="str">
        <f t="shared" si="7"/>
        <v>--</v>
      </c>
      <c r="T34" s="272" t="str">
        <f t="shared" si="8"/>
        <v>--</v>
      </c>
      <c r="U34" s="273">
        <f t="shared" si="10"/>
      </c>
      <c r="V34" s="275">
        <f t="shared" si="9"/>
      </c>
      <c r="W34" s="195"/>
    </row>
    <row r="35" spans="2:23" s="8" customFormat="1" ht="16.5" customHeight="1">
      <c r="B35" s="42"/>
      <c r="C35" s="168"/>
      <c r="D35" s="165"/>
      <c r="E35" s="165"/>
      <c r="F35" s="262"/>
      <c r="G35" s="262"/>
      <c r="H35" s="263"/>
      <c r="I35" s="264">
        <f t="shared" si="0"/>
        <v>13.12</v>
      </c>
      <c r="J35" s="265"/>
      <c r="K35" s="266"/>
      <c r="L35" s="182">
        <f t="shared" si="1"/>
      </c>
      <c r="M35" s="267">
        <f t="shared" si="2"/>
      </c>
      <c r="N35" s="184"/>
      <c r="O35" s="184">
        <f t="shared" si="3"/>
      </c>
      <c r="P35" s="268">
        <f t="shared" si="4"/>
        <v>20</v>
      </c>
      <c r="Q35" s="269" t="str">
        <f t="shared" si="5"/>
        <v>--</v>
      </c>
      <c r="R35" s="270" t="str">
        <f t="shared" si="6"/>
        <v>--</v>
      </c>
      <c r="S35" s="271" t="str">
        <f t="shared" si="7"/>
        <v>--</v>
      </c>
      <c r="T35" s="272" t="str">
        <f t="shared" si="8"/>
        <v>--</v>
      </c>
      <c r="U35" s="273">
        <f t="shared" si="10"/>
      </c>
      <c r="V35" s="275">
        <f t="shared" si="9"/>
      </c>
      <c r="W35" s="195"/>
    </row>
    <row r="36" spans="2:23" s="8" customFormat="1" ht="16.5" customHeight="1">
      <c r="B36" s="42"/>
      <c r="C36" s="168"/>
      <c r="D36" s="165"/>
      <c r="E36" s="165"/>
      <c r="F36" s="262"/>
      <c r="G36" s="262"/>
      <c r="H36" s="263"/>
      <c r="I36" s="264">
        <f t="shared" si="0"/>
        <v>13.12</v>
      </c>
      <c r="J36" s="265"/>
      <c r="K36" s="266"/>
      <c r="L36" s="182">
        <f t="shared" si="1"/>
      </c>
      <c r="M36" s="267">
        <f t="shared" si="2"/>
      </c>
      <c r="N36" s="184"/>
      <c r="O36" s="184">
        <f t="shared" si="3"/>
      </c>
      <c r="P36" s="268">
        <f t="shared" si="4"/>
        <v>20</v>
      </c>
      <c r="Q36" s="269" t="str">
        <f t="shared" si="5"/>
        <v>--</v>
      </c>
      <c r="R36" s="270" t="str">
        <f t="shared" si="6"/>
        <v>--</v>
      </c>
      <c r="S36" s="271" t="str">
        <f t="shared" si="7"/>
        <v>--</v>
      </c>
      <c r="T36" s="272" t="str">
        <f t="shared" si="8"/>
        <v>--</v>
      </c>
      <c r="U36" s="273">
        <f t="shared" si="10"/>
      </c>
      <c r="V36" s="275">
        <f t="shared" si="9"/>
      </c>
      <c r="W36" s="195"/>
    </row>
    <row r="37" spans="2:23" s="8" customFormat="1" ht="16.5" customHeight="1">
      <c r="B37" s="42"/>
      <c r="C37" s="168"/>
      <c r="D37" s="165"/>
      <c r="E37" s="165"/>
      <c r="F37" s="262"/>
      <c r="G37" s="262"/>
      <c r="H37" s="263"/>
      <c r="I37" s="264">
        <f t="shared" si="0"/>
        <v>13.12</v>
      </c>
      <c r="J37" s="265"/>
      <c r="K37" s="266"/>
      <c r="L37" s="182">
        <f t="shared" si="1"/>
      </c>
      <c r="M37" s="267">
        <f t="shared" si="2"/>
      </c>
      <c r="N37" s="184"/>
      <c r="O37" s="184">
        <f t="shared" si="3"/>
      </c>
      <c r="P37" s="268">
        <f t="shared" si="4"/>
        <v>20</v>
      </c>
      <c r="Q37" s="269" t="str">
        <f t="shared" si="5"/>
        <v>--</v>
      </c>
      <c r="R37" s="270" t="str">
        <f t="shared" si="6"/>
        <v>--</v>
      </c>
      <c r="S37" s="271" t="str">
        <f t="shared" si="7"/>
        <v>--</v>
      </c>
      <c r="T37" s="272" t="str">
        <f t="shared" si="8"/>
        <v>--</v>
      </c>
      <c r="U37" s="273">
        <f t="shared" si="10"/>
      </c>
      <c r="V37" s="275">
        <f t="shared" si="9"/>
      </c>
      <c r="W37" s="195"/>
    </row>
    <row r="38" spans="2:23" s="8" customFormat="1" ht="16.5" customHeight="1">
      <c r="B38" s="42"/>
      <c r="C38" s="168"/>
      <c r="D38" s="165"/>
      <c r="E38" s="165"/>
      <c r="F38" s="262"/>
      <c r="G38" s="262"/>
      <c r="H38" s="263"/>
      <c r="I38" s="264">
        <f t="shared" si="0"/>
        <v>13.12</v>
      </c>
      <c r="J38" s="265"/>
      <c r="K38" s="266"/>
      <c r="L38" s="182">
        <f t="shared" si="1"/>
      </c>
      <c r="M38" s="267">
        <f t="shared" si="2"/>
      </c>
      <c r="N38" s="184"/>
      <c r="O38" s="184">
        <f t="shared" si="3"/>
      </c>
      <c r="P38" s="268">
        <f t="shared" si="4"/>
        <v>20</v>
      </c>
      <c r="Q38" s="269" t="str">
        <f t="shared" si="5"/>
        <v>--</v>
      </c>
      <c r="R38" s="270" t="str">
        <f t="shared" si="6"/>
        <v>--</v>
      </c>
      <c r="S38" s="271" t="str">
        <f t="shared" si="7"/>
        <v>--</v>
      </c>
      <c r="T38" s="272" t="str">
        <f t="shared" si="8"/>
        <v>--</v>
      </c>
      <c r="U38" s="273">
        <f t="shared" si="10"/>
      </c>
      <c r="V38" s="275">
        <f t="shared" si="9"/>
      </c>
      <c r="W38" s="195"/>
    </row>
    <row r="39" spans="2:23" s="8" customFormat="1" ht="16.5" customHeight="1">
      <c r="B39" s="42"/>
      <c r="C39" s="168"/>
      <c r="D39" s="165"/>
      <c r="E39" s="165"/>
      <c r="F39" s="262"/>
      <c r="G39" s="262"/>
      <c r="H39" s="263"/>
      <c r="I39" s="264">
        <f t="shared" si="0"/>
        <v>13.12</v>
      </c>
      <c r="J39" s="265"/>
      <c r="K39" s="266"/>
      <c r="L39" s="182">
        <f t="shared" si="1"/>
      </c>
      <c r="M39" s="267">
        <f t="shared" si="2"/>
      </c>
      <c r="N39" s="184"/>
      <c r="O39" s="184">
        <f t="shared" si="3"/>
      </c>
      <c r="P39" s="268">
        <f t="shared" si="4"/>
        <v>20</v>
      </c>
      <c r="Q39" s="269" t="str">
        <f t="shared" si="5"/>
        <v>--</v>
      </c>
      <c r="R39" s="270" t="str">
        <f t="shared" si="6"/>
        <v>--</v>
      </c>
      <c r="S39" s="271" t="str">
        <f t="shared" si="7"/>
        <v>--</v>
      </c>
      <c r="T39" s="272" t="str">
        <f t="shared" si="8"/>
        <v>--</v>
      </c>
      <c r="U39" s="273">
        <f t="shared" si="10"/>
      </c>
      <c r="V39" s="275">
        <f t="shared" si="9"/>
      </c>
      <c r="W39" s="195"/>
    </row>
    <row r="40" spans="2:23" s="8" customFormat="1" ht="16.5" customHeight="1">
      <c r="B40" s="42"/>
      <c r="C40" s="168"/>
      <c r="D40" s="165"/>
      <c r="E40" s="165"/>
      <c r="F40" s="262"/>
      <c r="G40" s="262"/>
      <c r="H40" s="263"/>
      <c r="I40" s="264">
        <f t="shared" si="0"/>
        <v>13.12</v>
      </c>
      <c r="J40" s="265"/>
      <c r="K40" s="266"/>
      <c r="L40" s="182">
        <f t="shared" si="1"/>
      </c>
      <c r="M40" s="267">
        <f t="shared" si="2"/>
      </c>
      <c r="N40" s="184"/>
      <c r="O40" s="184">
        <f t="shared" si="3"/>
      </c>
      <c r="P40" s="268">
        <f t="shared" si="4"/>
        <v>20</v>
      </c>
      <c r="Q40" s="269" t="str">
        <f t="shared" si="5"/>
        <v>--</v>
      </c>
      <c r="R40" s="270" t="str">
        <f t="shared" si="6"/>
        <v>--</v>
      </c>
      <c r="S40" s="271" t="str">
        <f t="shared" si="7"/>
        <v>--</v>
      </c>
      <c r="T40" s="272" t="str">
        <f t="shared" si="8"/>
        <v>--</v>
      </c>
      <c r="U40" s="273">
        <f t="shared" si="10"/>
      </c>
      <c r="V40" s="275">
        <f t="shared" si="9"/>
      </c>
      <c r="W40" s="195"/>
    </row>
    <row r="41" spans="2:23" s="8" customFormat="1" ht="16.5" customHeight="1">
      <c r="B41" s="42"/>
      <c r="C41" s="168"/>
      <c r="D41" s="165"/>
      <c r="E41" s="165"/>
      <c r="F41" s="262"/>
      <c r="G41" s="262"/>
      <c r="H41" s="263"/>
      <c r="I41" s="264">
        <f t="shared" si="0"/>
        <v>13.12</v>
      </c>
      <c r="J41" s="265"/>
      <c r="K41" s="266"/>
      <c r="L41" s="182">
        <f t="shared" si="1"/>
      </c>
      <c r="M41" s="267">
        <f t="shared" si="2"/>
      </c>
      <c r="N41" s="184"/>
      <c r="O41" s="184">
        <f t="shared" si="3"/>
      </c>
      <c r="P41" s="268">
        <f t="shared" si="4"/>
        <v>20</v>
      </c>
      <c r="Q41" s="269" t="str">
        <f t="shared" si="5"/>
        <v>--</v>
      </c>
      <c r="R41" s="270" t="str">
        <f t="shared" si="6"/>
        <v>--</v>
      </c>
      <c r="S41" s="271" t="str">
        <f t="shared" si="7"/>
        <v>--</v>
      </c>
      <c r="T41" s="272" t="str">
        <f t="shared" si="8"/>
        <v>--</v>
      </c>
      <c r="U41" s="273">
        <f t="shared" si="10"/>
      </c>
      <c r="V41" s="275">
        <f t="shared" si="9"/>
      </c>
      <c r="W41" s="195"/>
    </row>
    <row r="42" spans="2:23" s="8" customFormat="1" ht="16.5" customHeight="1" thickBot="1">
      <c r="B42" s="42"/>
      <c r="C42" s="196"/>
      <c r="D42" s="196"/>
      <c r="E42" s="196"/>
      <c r="F42" s="196"/>
      <c r="G42" s="196"/>
      <c r="H42" s="196"/>
      <c r="I42" s="276"/>
      <c r="J42" s="196"/>
      <c r="K42" s="196"/>
      <c r="L42" s="196"/>
      <c r="M42" s="196"/>
      <c r="N42" s="196"/>
      <c r="O42" s="196"/>
      <c r="P42" s="277"/>
      <c r="Q42" s="278"/>
      <c r="R42" s="279"/>
      <c r="S42" s="280"/>
      <c r="T42" s="281"/>
      <c r="U42" s="196"/>
      <c r="V42" s="282"/>
      <c r="W42" s="195"/>
    </row>
    <row r="43" spans="2:23" s="8" customFormat="1" ht="16.5" customHeight="1" thickBot="1" thickTop="1">
      <c r="B43" s="42"/>
      <c r="C43" s="316" t="s">
        <v>139</v>
      </c>
      <c r="D43" s="315" t="s">
        <v>140</v>
      </c>
      <c r="E43" s="95"/>
      <c r="F43" s="9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83">
        <f>SUM(Q20:Q42)</f>
        <v>406.596</v>
      </c>
      <c r="R43" s="284">
        <f>SUM(R20:R42)</f>
        <v>1049.6</v>
      </c>
      <c r="S43" s="284">
        <f>SUM(S20:S42)</f>
        <v>4794.048</v>
      </c>
      <c r="T43" s="285">
        <f>SUM(T20:T42)</f>
        <v>0</v>
      </c>
      <c r="U43" s="286"/>
      <c r="V43" s="287">
        <f>ROUND(SUM(V20:V42),2)</f>
        <v>6250.24</v>
      </c>
      <c r="W43" s="195"/>
    </row>
    <row r="44" spans="2:23" s="93" customFormat="1" ht="9.75" thickTop="1">
      <c r="B44" s="94"/>
      <c r="C44" s="95"/>
      <c r="D44" s="95"/>
      <c r="E44" s="95"/>
      <c r="F44" s="96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9"/>
      <c r="V44" s="288"/>
      <c r="W44" s="221"/>
    </row>
    <row r="45" spans="2:23" s="8" customFormat="1" ht="16.5" customHeight="1" thickBot="1">
      <c r="B45" s="97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4"/>
    </row>
    <row r="46" spans="2:23" ht="16.5" customHeight="1" thickTop="1"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</row>
    <row r="47" spans="3:6" ht="16.5" customHeight="1">
      <c r="C47" s="289"/>
      <c r="D47" s="289"/>
      <c r="E47" s="289"/>
      <c r="F47" s="289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99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44"/>
  <sheetViews>
    <sheetView zoomScale="60" zoomScaleNormal="60" zoomScalePageLayoutView="0" workbookViewId="0" topLeftCell="A1">
      <selection activeCell="A37" sqref="A37"/>
    </sheetView>
  </sheetViews>
  <sheetFormatPr defaultColWidth="11.421875" defaultRowHeight="12.75"/>
  <cols>
    <col min="1" max="1" width="22.7109375" style="319" customWidth="1"/>
    <col min="2" max="2" width="15.7109375" style="319" customWidth="1"/>
    <col min="3" max="3" width="5.7109375" style="319" customWidth="1"/>
    <col min="4" max="4" width="56.421875" style="319" customWidth="1"/>
    <col min="5" max="5" width="10.421875" style="319" customWidth="1"/>
    <col min="6" max="6" width="14.140625" style="319" customWidth="1"/>
    <col min="7" max="19" width="10.7109375" style="319" customWidth="1"/>
    <col min="20" max="20" width="15.7109375" style="319" customWidth="1"/>
    <col min="21" max="16384" width="11.421875" style="319" customWidth="1"/>
  </cols>
  <sheetData>
    <row r="1" ht="38.25" customHeight="1">
      <c r="T1" s="320"/>
    </row>
    <row r="2" spans="2:20" s="321" customFormat="1" ht="39" customHeight="1">
      <c r="B2" s="322" t="str">
        <f>'TOT-0212'!B2</f>
        <v>ANEXO III al Memorándum  D.T.E.E.  N° 716  / 2013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1:2" s="325" customFormat="1" ht="11.25" customHeight="1">
      <c r="A3" s="323" t="s">
        <v>2</v>
      </c>
      <c r="B3" s="324"/>
    </row>
    <row r="4" spans="1:4" s="325" customFormat="1" ht="11.25" customHeight="1">
      <c r="A4" s="323" t="s">
        <v>3</v>
      </c>
      <c r="B4" s="324"/>
      <c r="D4" s="326"/>
    </row>
    <row r="5" spans="1:4" ht="10.5" customHeight="1">
      <c r="A5" s="327"/>
      <c r="D5" s="328"/>
    </row>
    <row r="6" spans="1:20" ht="26.25">
      <c r="A6" s="327"/>
      <c r="B6" s="329" t="s">
        <v>141</v>
      </c>
      <c r="C6" s="330"/>
      <c r="D6" s="328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4" ht="18.75" customHeight="1">
      <c r="A7" s="327"/>
      <c r="D7" s="328"/>
    </row>
    <row r="8" spans="1:20" ht="26.25">
      <c r="A8" s="327"/>
      <c r="B8" s="331" t="s">
        <v>1</v>
      </c>
      <c r="C8" s="330"/>
      <c r="D8" s="328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</row>
    <row r="9" spans="1:4" ht="18.75" customHeight="1">
      <c r="A9" s="327"/>
      <c r="D9" s="328"/>
    </row>
    <row r="10" spans="1:20" ht="26.25">
      <c r="A10" s="327"/>
      <c r="B10" s="331" t="s">
        <v>142</v>
      </c>
      <c r="C10" s="330"/>
      <c r="D10" s="328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</row>
    <row r="11" ht="18.75" customHeight="1" thickBot="1"/>
    <row r="12" spans="2:20" ht="18.75" customHeight="1" thickTop="1">
      <c r="B12" s="332"/>
      <c r="C12" s="333"/>
      <c r="D12" s="334"/>
      <c r="E12" s="334"/>
      <c r="F12" s="334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5"/>
    </row>
    <row r="13" spans="2:20" ht="30" customHeight="1">
      <c r="B13" s="336" t="s">
        <v>155</v>
      </c>
      <c r="C13" s="330"/>
      <c r="D13" s="337"/>
      <c r="E13" s="337"/>
      <c r="F13" s="337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9"/>
    </row>
    <row r="14" spans="2:20" ht="18.75" customHeight="1" thickBot="1">
      <c r="B14" s="340"/>
      <c r="C14" s="341"/>
      <c r="D14" s="342"/>
      <c r="E14" s="342"/>
      <c r="F14" s="343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5"/>
    </row>
    <row r="15" spans="1:20" s="353" customFormat="1" ht="34.5" customHeight="1" thickBot="1" thickTop="1">
      <c r="A15" s="346"/>
      <c r="B15" s="347"/>
      <c r="C15" s="348"/>
      <c r="D15" s="348" t="s">
        <v>143</v>
      </c>
      <c r="E15" s="349" t="s">
        <v>14</v>
      </c>
      <c r="F15" s="350" t="s">
        <v>144</v>
      </c>
      <c r="G15" s="351">
        <v>40575</v>
      </c>
      <c r="H15" s="351">
        <v>40603</v>
      </c>
      <c r="I15" s="351">
        <v>40634</v>
      </c>
      <c r="J15" s="351">
        <v>40664</v>
      </c>
      <c r="K15" s="351">
        <v>40695</v>
      </c>
      <c r="L15" s="351">
        <v>40725</v>
      </c>
      <c r="M15" s="351">
        <v>40756</v>
      </c>
      <c r="N15" s="351">
        <v>40787</v>
      </c>
      <c r="O15" s="351">
        <v>40817</v>
      </c>
      <c r="P15" s="351">
        <v>40848</v>
      </c>
      <c r="Q15" s="351">
        <v>40878</v>
      </c>
      <c r="R15" s="351">
        <v>40909</v>
      </c>
      <c r="S15" s="351">
        <v>40940</v>
      </c>
      <c r="T15" s="352"/>
    </row>
    <row r="16" spans="2:20" s="353" customFormat="1" ht="24.75" customHeight="1" thickTop="1">
      <c r="B16" s="354"/>
      <c r="C16" s="355"/>
      <c r="D16" s="356"/>
      <c r="E16" s="356"/>
      <c r="F16" s="357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9"/>
      <c r="T16" s="352"/>
    </row>
    <row r="17" spans="2:20" s="353" customFormat="1" ht="24.75" customHeight="1">
      <c r="B17" s="354"/>
      <c r="C17" s="360">
        <f>IF('[2]Tasa de Falla'!C17=0,"",'[2]Tasa de Falla'!C17)</f>
        <v>1</v>
      </c>
      <c r="D17" s="360" t="str">
        <f>IF('[2]Tasa de Falla'!D17=0,"",'[2]Tasa de Falla'!D17)</f>
        <v>AGUA DEL TORO - CRUZ DE PIEDRA</v>
      </c>
      <c r="E17" s="360">
        <f>IF('[2]Tasa de Falla'!E17=0,"",'[2]Tasa de Falla'!E17)</f>
        <v>220</v>
      </c>
      <c r="F17" s="360">
        <f>IF('[2]Tasa de Falla'!F17=0,"",'[2]Tasa de Falla'!F17)</f>
        <v>177.87</v>
      </c>
      <c r="G17" s="363">
        <f>IF('[2]Tasa de Falla'!GL17=0,"",'[2]Tasa de Falla'!GL17)</f>
      </c>
      <c r="H17" s="363">
        <f>IF('[2]Tasa de Falla'!GM17=0,"",'[2]Tasa de Falla'!GM17)</f>
      </c>
      <c r="I17" s="363">
        <f>IF('[2]Tasa de Falla'!GN17=0,"",'[2]Tasa de Falla'!GN17)</f>
      </c>
      <c r="J17" s="363">
        <f>IF('[2]Tasa de Falla'!GO17=0,"",'[2]Tasa de Falla'!GO17)</f>
      </c>
      <c r="K17" s="363">
        <f>IF('[2]Tasa de Falla'!GP17=0,"",'[2]Tasa de Falla'!GP17)</f>
        <v>1</v>
      </c>
      <c r="L17" s="363">
        <f>IF('[2]Tasa de Falla'!GQ17=0,"",'[2]Tasa de Falla'!GQ17)</f>
      </c>
      <c r="M17" s="363">
        <f>IF('[2]Tasa de Falla'!GR17=0,"",'[2]Tasa de Falla'!GR17)</f>
      </c>
      <c r="N17" s="363">
        <f>IF('[2]Tasa de Falla'!GS17=0,"",'[2]Tasa de Falla'!GS17)</f>
      </c>
      <c r="O17" s="363">
        <f>IF('[2]Tasa de Falla'!GT17=0,"",'[2]Tasa de Falla'!GT17)</f>
      </c>
      <c r="P17" s="363">
        <f>IF('[2]Tasa de Falla'!GU17=0,"",'[2]Tasa de Falla'!GU17)</f>
      </c>
      <c r="Q17" s="363">
        <f>IF('[2]Tasa de Falla'!GV17=0,"",'[2]Tasa de Falla'!GV17)</f>
      </c>
      <c r="R17" s="363">
        <f>IF('[2]Tasa de Falla'!GW17=0,"",'[2]Tasa de Falla'!GW17)</f>
      </c>
      <c r="S17" s="357"/>
      <c r="T17" s="352"/>
    </row>
    <row r="18" spans="2:20" s="353" customFormat="1" ht="24.75" customHeight="1">
      <c r="B18" s="354"/>
      <c r="C18" s="364">
        <f>IF('[2]Tasa de Falla'!C18=0,"",'[2]Tasa de Falla'!C18)</f>
        <v>2</v>
      </c>
      <c r="D18" s="365" t="str">
        <f>IF('[2]Tasa de Falla'!D18=0,"",'[2]Tasa de Falla'!D18)</f>
        <v>AGUA DEL TORO - LOS REYUNOS</v>
      </c>
      <c r="E18" s="365">
        <f>IF('[2]Tasa de Falla'!E18=0,"",'[2]Tasa de Falla'!E18)</f>
        <v>220</v>
      </c>
      <c r="F18" s="366">
        <f>IF('[2]Tasa de Falla'!F18=0,"",'[2]Tasa de Falla'!F18)</f>
        <v>42.95</v>
      </c>
      <c r="G18" s="363">
        <f>IF('[2]Tasa de Falla'!GL18=0,"",'[2]Tasa de Falla'!GL18)</f>
      </c>
      <c r="H18" s="363">
        <f>IF('[2]Tasa de Falla'!GM18=0,"",'[2]Tasa de Falla'!GM18)</f>
      </c>
      <c r="I18" s="363">
        <f>IF('[2]Tasa de Falla'!GN18=0,"",'[2]Tasa de Falla'!GN18)</f>
      </c>
      <c r="J18" s="363">
        <f>IF('[2]Tasa de Falla'!GO18=0,"",'[2]Tasa de Falla'!GO18)</f>
      </c>
      <c r="K18" s="363">
        <f>IF('[2]Tasa de Falla'!GP18=0,"",'[2]Tasa de Falla'!GP18)</f>
      </c>
      <c r="L18" s="363">
        <f>IF('[2]Tasa de Falla'!GQ18=0,"",'[2]Tasa de Falla'!GQ18)</f>
      </c>
      <c r="M18" s="363">
        <f>IF('[2]Tasa de Falla'!GR18=0,"",'[2]Tasa de Falla'!GR18)</f>
      </c>
      <c r="N18" s="363">
        <f>IF('[2]Tasa de Falla'!GS18=0,"",'[2]Tasa de Falla'!GS18)</f>
      </c>
      <c r="O18" s="363">
        <f>IF('[2]Tasa de Falla'!GT18=0,"",'[2]Tasa de Falla'!GT18)</f>
      </c>
      <c r="P18" s="363">
        <f>IF('[2]Tasa de Falla'!GU18=0,"",'[2]Tasa de Falla'!GU18)</f>
      </c>
      <c r="Q18" s="363">
        <f>IF('[2]Tasa de Falla'!GV18=0,"",'[2]Tasa de Falla'!GV18)</f>
        <v>1</v>
      </c>
      <c r="R18" s="363">
        <f>IF('[2]Tasa de Falla'!GW18=0,"",'[2]Tasa de Falla'!GW18)</f>
      </c>
      <c r="S18" s="357"/>
      <c r="T18" s="352"/>
    </row>
    <row r="19" spans="2:20" s="353" customFormat="1" ht="24.75" customHeight="1">
      <c r="B19" s="354"/>
      <c r="C19" s="360">
        <f>IF('[2]Tasa de Falla'!C19=0,"",'[2]Tasa de Falla'!C19)</f>
        <v>3</v>
      </c>
      <c r="D19" s="361" t="str">
        <f>IF('[2]Tasa de Falla'!D19=0,"",'[2]Tasa de Falla'!D19)</f>
        <v>AGUA DEL TORO - NIHUIL II</v>
      </c>
      <c r="E19" s="361">
        <f>IF('[2]Tasa de Falla'!E19=0,"",'[2]Tasa de Falla'!E19)</f>
        <v>220</v>
      </c>
      <c r="F19" s="362">
        <f>IF('[2]Tasa de Falla'!F19=0,"",'[2]Tasa de Falla'!F19)</f>
        <v>53.49</v>
      </c>
      <c r="G19" s="363">
        <f>IF('[2]Tasa de Falla'!GL19=0,"",'[2]Tasa de Falla'!GL19)</f>
      </c>
      <c r="H19" s="363">
        <f>IF('[2]Tasa de Falla'!GM19=0,"",'[2]Tasa de Falla'!GM19)</f>
      </c>
      <c r="I19" s="363">
        <f>IF('[2]Tasa de Falla'!GN19=0,"",'[2]Tasa de Falla'!GN19)</f>
      </c>
      <c r="J19" s="363">
        <f>IF('[2]Tasa de Falla'!GO19=0,"",'[2]Tasa de Falla'!GO19)</f>
      </c>
      <c r="K19" s="363">
        <f>IF('[2]Tasa de Falla'!GP19=0,"",'[2]Tasa de Falla'!GP19)</f>
      </c>
      <c r="L19" s="363">
        <f>IF('[2]Tasa de Falla'!GQ19=0,"",'[2]Tasa de Falla'!GQ19)</f>
      </c>
      <c r="M19" s="363">
        <f>IF('[2]Tasa de Falla'!GR19=0,"",'[2]Tasa de Falla'!GR19)</f>
      </c>
      <c r="N19" s="363">
        <f>IF('[2]Tasa de Falla'!GS19=0,"",'[2]Tasa de Falla'!GS19)</f>
      </c>
      <c r="O19" s="363">
        <f>IF('[2]Tasa de Falla'!GT19=0,"",'[2]Tasa de Falla'!GT19)</f>
      </c>
      <c r="P19" s="363">
        <f>IF('[2]Tasa de Falla'!GU19=0,"",'[2]Tasa de Falla'!GU19)</f>
      </c>
      <c r="Q19" s="363">
        <f>IF('[2]Tasa de Falla'!GV19=0,"",'[2]Tasa de Falla'!GV19)</f>
      </c>
      <c r="R19" s="363">
        <f>IF('[2]Tasa de Falla'!GW19=0,"",'[2]Tasa de Falla'!GW19)</f>
      </c>
      <c r="S19" s="357"/>
      <c r="T19" s="352"/>
    </row>
    <row r="20" spans="2:20" s="353" customFormat="1" ht="24.75" customHeight="1">
      <c r="B20" s="354"/>
      <c r="C20" s="364">
        <f>IF('[2]Tasa de Falla'!C20=0,"",'[2]Tasa de Falla'!C20)</f>
        <v>4</v>
      </c>
      <c r="D20" s="365" t="str">
        <f>IF('[2]Tasa de Falla'!D20=0,"",'[2]Tasa de Falla'!D20)</f>
        <v>CRUZ DE PIEDRA - SAN JUAN</v>
      </c>
      <c r="E20" s="365">
        <f>IF('[2]Tasa de Falla'!E20=0,"",'[2]Tasa de Falla'!E20)</f>
        <v>220</v>
      </c>
      <c r="F20" s="366">
        <f>IF('[2]Tasa de Falla'!F20=0,"",'[2]Tasa de Falla'!F20)</f>
        <v>171.6</v>
      </c>
      <c r="G20" s="363">
        <f>IF('[2]Tasa de Falla'!GL20=0,"",'[2]Tasa de Falla'!GL20)</f>
      </c>
      <c r="H20" s="363">
        <f>IF('[2]Tasa de Falla'!GM20=0,"",'[2]Tasa de Falla'!GM20)</f>
      </c>
      <c r="I20" s="363">
        <f>IF('[2]Tasa de Falla'!GN20=0,"",'[2]Tasa de Falla'!GN20)</f>
      </c>
      <c r="J20" s="363">
        <f>IF('[2]Tasa de Falla'!GO20=0,"",'[2]Tasa de Falla'!GO20)</f>
      </c>
      <c r="K20" s="363">
        <f>IF('[2]Tasa de Falla'!GP20=0,"",'[2]Tasa de Falla'!GP20)</f>
      </c>
      <c r="L20" s="363">
        <f>IF('[2]Tasa de Falla'!GQ20=0,"",'[2]Tasa de Falla'!GQ20)</f>
      </c>
      <c r="M20" s="363">
        <f>IF('[2]Tasa de Falla'!GR20=0,"",'[2]Tasa de Falla'!GR20)</f>
      </c>
      <c r="N20" s="363">
        <f>IF('[2]Tasa de Falla'!GS20=0,"",'[2]Tasa de Falla'!GS20)</f>
      </c>
      <c r="O20" s="363">
        <f>IF('[2]Tasa de Falla'!GT20=0,"",'[2]Tasa de Falla'!GT20)</f>
      </c>
      <c r="P20" s="363">
        <f>IF('[2]Tasa de Falla'!GU20=0,"",'[2]Tasa de Falla'!GU20)</f>
      </c>
      <c r="Q20" s="363">
        <f>IF('[2]Tasa de Falla'!GV20=0,"",'[2]Tasa de Falla'!GV20)</f>
      </c>
      <c r="R20" s="363">
        <f>IF('[2]Tasa de Falla'!GW20=0,"",'[2]Tasa de Falla'!GW20)</f>
      </c>
      <c r="S20" s="357"/>
      <c r="T20" s="352"/>
    </row>
    <row r="21" spans="2:20" s="353" customFormat="1" ht="24.75" customHeight="1">
      <c r="B21" s="354"/>
      <c r="C21" s="360">
        <f>IF('[2]Tasa de Falla'!C21=0,"",'[2]Tasa de Falla'!C21)</f>
        <v>5</v>
      </c>
      <c r="D21" s="361" t="str">
        <f>IF('[2]Tasa de Falla'!D21=0,"",'[2]Tasa de Falla'!D21)</f>
        <v>LOS REYUNOS - GRAN MENDOZA</v>
      </c>
      <c r="E21" s="361">
        <f>IF('[2]Tasa de Falla'!E21=0,"",'[2]Tasa de Falla'!E21)</f>
        <v>220</v>
      </c>
      <c r="F21" s="362">
        <f>IF('[2]Tasa de Falla'!F21=0,"",'[2]Tasa de Falla'!F21)</f>
        <v>188.32</v>
      </c>
      <c r="G21" s="363">
        <f>IF('[2]Tasa de Falla'!GL21=0,"",'[2]Tasa de Falla'!GL21)</f>
      </c>
      <c r="H21" s="363">
        <f>IF('[2]Tasa de Falla'!GM21=0,"",'[2]Tasa de Falla'!GM21)</f>
        <v>1</v>
      </c>
      <c r="I21" s="363">
        <f>IF('[2]Tasa de Falla'!GN21=0,"",'[2]Tasa de Falla'!GN21)</f>
        <v>2</v>
      </c>
      <c r="J21" s="363">
        <f>IF('[2]Tasa de Falla'!GO21=0,"",'[2]Tasa de Falla'!GO21)</f>
      </c>
      <c r="K21" s="363">
        <f>IF('[2]Tasa de Falla'!GP21=0,"",'[2]Tasa de Falla'!GP21)</f>
      </c>
      <c r="L21" s="363">
        <f>IF('[2]Tasa de Falla'!GQ21=0,"",'[2]Tasa de Falla'!GQ21)</f>
        <v>1</v>
      </c>
      <c r="M21" s="363">
        <f>IF('[2]Tasa de Falla'!GR21=0,"",'[2]Tasa de Falla'!GR21)</f>
      </c>
      <c r="N21" s="363">
        <f>IF('[2]Tasa de Falla'!GS21=0,"",'[2]Tasa de Falla'!GS21)</f>
      </c>
      <c r="O21" s="363">
        <f>IF('[2]Tasa de Falla'!GT21=0,"",'[2]Tasa de Falla'!GT21)</f>
      </c>
      <c r="P21" s="363">
        <f>IF('[2]Tasa de Falla'!GU21=0,"",'[2]Tasa de Falla'!GU21)</f>
      </c>
      <c r="Q21" s="363">
        <f>IF('[2]Tasa de Falla'!GV21=0,"",'[2]Tasa de Falla'!GV21)</f>
      </c>
      <c r="R21" s="363">
        <f>IF('[2]Tasa de Falla'!GW21=0,"",'[2]Tasa de Falla'!GW21)</f>
      </c>
      <c r="S21" s="357"/>
      <c r="T21" s="352"/>
    </row>
    <row r="22" spans="2:20" s="353" customFormat="1" ht="24.75" customHeight="1">
      <c r="B22" s="354"/>
      <c r="C22" s="360">
        <f>IF('[2]Tasa de Falla'!C22=0,"",'[2]Tasa de Falla'!C22)</f>
        <v>6</v>
      </c>
      <c r="D22" s="361" t="str">
        <f>IF('[2]Tasa de Falla'!D22=0,"",'[2]Tasa de Falla'!D22)</f>
        <v>CRUZ DE PIEDRA - CAÑADA HONDA</v>
      </c>
      <c r="E22" s="361">
        <f>IF('[2]Tasa de Falla'!E22=0,"",'[2]Tasa de Falla'!E22)</f>
        <v>132</v>
      </c>
      <c r="F22" s="362">
        <f>IF('[2]Tasa de Falla'!F22=0,"",'[2]Tasa de Falla'!F22)</f>
        <v>125.8</v>
      </c>
      <c r="G22" s="363">
        <f>IF('[2]Tasa de Falla'!GL22=0,"",'[2]Tasa de Falla'!GL22)</f>
      </c>
      <c r="H22" s="363">
        <f>IF('[2]Tasa de Falla'!GM22=0,"",'[2]Tasa de Falla'!GM22)</f>
      </c>
      <c r="I22" s="363">
        <f>IF('[2]Tasa de Falla'!GN22=0,"",'[2]Tasa de Falla'!GN22)</f>
      </c>
      <c r="J22" s="363">
        <f>IF('[2]Tasa de Falla'!GO22=0,"",'[2]Tasa de Falla'!GO22)</f>
      </c>
      <c r="K22" s="363">
        <f>IF('[2]Tasa de Falla'!GP22=0,"",'[2]Tasa de Falla'!GP22)</f>
      </c>
      <c r="L22" s="363">
        <f>IF('[2]Tasa de Falla'!GQ22=0,"",'[2]Tasa de Falla'!GQ22)</f>
      </c>
      <c r="M22" s="363">
        <f>IF('[2]Tasa de Falla'!GR22=0,"",'[2]Tasa de Falla'!GR22)</f>
      </c>
      <c r="N22" s="363">
        <f>IF('[2]Tasa de Falla'!GS22=0,"",'[2]Tasa de Falla'!GS22)</f>
        <v>1</v>
      </c>
      <c r="O22" s="363">
        <f>IF('[2]Tasa de Falla'!GT22=0,"",'[2]Tasa de Falla'!GT22)</f>
      </c>
      <c r="P22" s="363">
        <f>IF('[2]Tasa de Falla'!GU22=0,"",'[2]Tasa de Falla'!GU22)</f>
      </c>
      <c r="Q22" s="363">
        <f>IF('[2]Tasa de Falla'!GV22=0,"",'[2]Tasa de Falla'!GV22)</f>
      </c>
      <c r="R22" s="363">
        <f>IF('[2]Tasa de Falla'!GW22=0,"",'[2]Tasa de Falla'!GW22)</f>
      </c>
      <c r="S22" s="357"/>
      <c r="T22" s="352"/>
    </row>
    <row r="23" spans="2:20" s="353" customFormat="1" ht="24.75" customHeight="1">
      <c r="B23" s="354"/>
      <c r="C23" s="364">
        <f>IF('[2]Tasa de Falla'!C23=0,"",'[2]Tasa de Falla'!C23)</f>
        <v>7</v>
      </c>
      <c r="D23" s="365" t="str">
        <f>IF('[2]Tasa de Falla'!D23=0,"",'[2]Tasa de Falla'!D23)</f>
        <v>ANCHORIS - CAPIZ</v>
      </c>
      <c r="E23" s="365">
        <f>IF('[2]Tasa de Falla'!E23=0,"",'[2]Tasa de Falla'!E23)</f>
        <v>132</v>
      </c>
      <c r="F23" s="366">
        <f>IF('[2]Tasa de Falla'!F23=0,"",'[2]Tasa de Falla'!F23)</f>
        <v>41.95</v>
      </c>
      <c r="G23" s="363">
        <f>IF('[2]Tasa de Falla'!GL23=0,"",'[2]Tasa de Falla'!GL23)</f>
      </c>
      <c r="H23" s="363">
        <f>IF('[2]Tasa de Falla'!GM23=0,"",'[2]Tasa de Falla'!GM23)</f>
      </c>
      <c r="I23" s="363">
        <f>IF('[2]Tasa de Falla'!GN23=0,"",'[2]Tasa de Falla'!GN23)</f>
      </c>
      <c r="J23" s="363">
        <f>IF('[2]Tasa de Falla'!GO23=0,"",'[2]Tasa de Falla'!GO23)</f>
      </c>
      <c r="K23" s="363">
        <f>IF('[2]Tasa de Falla'!GP23=0,"",'[2]Tasa de Falla'!GP23)</f>
      </c>
      <c r="L23" s="363">
        <f>IF('[2]Tasa de Falla'!GQ23=0,"",'[2]Tasa de Falla'!GQ23)</f>
      </c>
      <c r="M23" s="363">
        <f>IF('[2]Tasa de Falla'!GR23=0,"",'[2]Tasa de Falla'!GR23)</f>
      </c>
      <c r="N23" s="363">
        <f>IF('[2]Tasa de Falla'!GS23=0,"",'[2]Tasa de Falla'!GS23)</f>
      </c>
      <c r="O23" s="363">
        <f>IF('[2]Tasa de Falla'!GT23=0,"",'[2]Tasa de Falla'!GT23)</f>
      </c>
      <c r="P23" s="363">
        <f>IF('[2]Tasa de Falla'!GU23=0,"",'[2]Tasa de Falla'!GU23)</f>
      </c>
      <c r="Q23" s="363">
        <f>IF('[2]Tasa de Falla'!GV23=0,"",'[2]Tasa de Falla'!GV23)</f>
      </c>
      <c r="R23" s="363">
        <f>IF('[2]Tasa de Falla'!GW23=0,"",'[2]Tasa de Falla'!GW23)</f>
      </c>
      <c r="S23" s="357"/>
      <c r="T23" s="352"/>
    </row>
    <row r="24" spans="2:20" s="353" customFormat="1" ht="24.75" customHeight="1">
      <c r="B24" s="354"/>
      <c r="C24" s="360">
        <f>IF('[2]Tasa de Falla'!C24=0,"",'[2]Tasa de Falla'!C24)</f>
        <v>8</v>
      </c>
      <c r="D24" s="361" t="str">
        <f>IF('[2]Tasa de Falla'!D24=0,"",'[2]Tasa de Falla'!D24)</f>
        <v>ANCHORIS - CRUZ DE PIEDRA</v>
      </c>
      <c r="E24" s="361">
        <f>IF('[2]Tasa de Falla'!E24=0,"",'[2]Tasa de Falla'!E24)</f>
        <v>132</v>
      </c>
      <c r="F24" s="362">
        <f>IF('[2]Tasa de Falla'!F24=0,"",'[2]Tasa de Falla'!F24)</f>
        <v>33.5</v>
      </c>
      <c r="G24" s="363">
        <f>IF('[2]Tasa de Falla'!GL24=0,"",'[2]Tasa de Falla'!GL24)</f>
      </c>
      <c r="H24" s="363">
        <f>IF('[2]Tasa de Falla'!GM24=0,"",'[2]Tasa de Falla'!GM24)</f>
      </c>
      <c r="I24" s="363">
        <f>IF('[2]Tasa de Falla'!GN24=0,"",'[2]Tasa de Falla'!GN24)</f>
      </c>
      <c r="J24" s="363">
        <f>IF('[2]Tasa de Falla'!GO24=0,"",'[2]Tasa de Falla'!GO24)</f>
      </c>
      <c r="K24" s="363">
        <f>IF('[2]Tasa de Falla'!GP24=0,"",'[2]Tasa de Falla'!GP24)</f>
      </c>
      <c r="L24" s="363">
        <f>IF('[2]Tasa de Falla'!GQ24=0,"",'[2]Tasa de Falla'!GQ24)</f>
      </c>
      <c r="M24" s="363">
        <f>IF('[2]Tasa de Falla'!GR24=0,"",'[2]Tasa de Falla'!GR24)</f>
      </c>
      <c r="N24" s="363">
        <f>IF('[2]Tasa de Falla'!GS24=0,"",'[2]Tasa de Falla'!GS24)</f>
      </c>
      <c r="O24" s="363">
        <f>IF('[2]Tasa de Falla'!GT24=0,"",'[2]Tasa de Falla'!GT24)</f>
      </c>
      <c r="P24" s="363">
        <f>IF('[2]Tasa de Falla'!GU24=0,"",'[2]Tasa de Falla'!GU24)</f>
      </c>
      <c r="Q24" s="363">
        <f>IF('[2]Tasa de Falla'!GV24=0,"",'[2]Tasa de Falla'!GV24)</f>
      </c>
      <c r="R24" s="363">
        <f>IF('[2]Tasa de Falla'!GW24=0,"",'[2]Tasa de Falla'!GW24)</f>
      </c>
      <c r="S24" s="357"/>
      <c r="T24" s="352"/>
    </row>
    <row r="25" spans="2:20" s="353" customFormat="1" ht="24.75" customHeight="1">
      <c r="B25" s="354"/>
      <c r="C25" s="364">
        <f>IF('[2]Tasa de Falla'!C25=0,"",'[2]Tasa de Falla'!C25)</f>
        <v>9</v>
      </c>
      <c r="D25" s="365" t="str">
        <f>IF('[2]Tasa de Falla'!D25=0,"",'[2]Tasa de Falla'!D25)</f>
        <v>ANCHORIZ -Deriv."T" a LC 35-B.R.Tunuyan</v>
      </c>
      <c r="E25" s="365">
        <f>IF('[2]Tasa de Falla'!E25=0,"",'[2]Tasa de Falla'!E25)</f>
        <v>132</v>
      </c>
      <c r="F25" s="366">
        <f>IF('[2]Tasa de Falla'!F25=0,"",'[2]Tasa de Falla'!F25)</f>
        <v>52.86</v>
      </c>
      <c r="G25" s="363">
        <f>IF('[2]Tasa de Falla'!GL25=0,"",'[2]Tasa de Falla'!GL25)</f>
      </c>
      <c r="H25" s="363">
        <f>IF('[2]Tasa de Falla'!GM25=0,"",'[2]Tasa de Falla'!GM25)</f>
      </c>
      <c r="I25" s="363">
        <f>IF('[2]Tasa de Falla'!GN25=0,"",'[2]Tasa de Falla'!GN25)</f>
      </c>
      <c r="J25" s="363">
        <f>IF('[2]Tasa de Falla'!GO25=0,"",'[2]Tasa de Falla'!GO25)</f>
      </c>
      <c r="K25" s="363">
        <f>IF('[2]Tasa de Falla'!GP25=0,"",'[2]Tasa de Falla'!GP25)</f>
      </c>
      <c r="L25" s="363">
        <f>IF('[2]Tasa de Falla'!GQ25=0,"",'[2]Tasa de Falla'!GQ25)</f>
      </c>
      <c r="M25" s="363">
        <f>IF('[2]Tasa de Falla'!GR25=0,"",'[2]Tasa de Falla'!GR25)</f>
      </c>
      <c r="N25" s="363">
        <f>IF('[2]Tasa de Falla'!GS25=0,"",'[2]Tasa de Falla'!GS25)</f>
      </c>
      <c r="O25" s="363">
        <f>IF('[2]Tasa de Falla'!GT25=0,"",'[2]Tasa de Falla'!GT25)</f>
      </c>
      <c r="P25" s="363">
        <f>IF('[2]Tasa de Falla'!GU25=0,"",'[2]Tasa de Falla'!GU25)</f>
      </c>
      <c r="Q25" s="363">
        <f>IF('[2]Tasa de Falla'!GV25=0,"",'[2]Tasa de Falla'!GV25)</f>
      </c>
      <c r="R25" s="363">
        <f>IF('[2]Tasa de Falla'!GW25=0,"",'[2]Tasa de Falla'!GW25)</f>
      </c>
      <c r="S25" s="357"/>
      <c r="T25" s="352"/>
    </row>
    <row r="26" spans="2:20" s="353" customFormat="1" ht="24.75" customHeight="1">
      <c r="B26" s="354"/>
      <c r="C26" s="360">
        <f>IF('[2]Tasa de Falla'!C26=0,"",'[2]Tasa de Falla'!C26)</f>
        <v>10</v>
      </c>
      <c r="D26" s="361" t="str">
        <f>IF('[2]Tasa de Falla'!D26=0,"",'[2]Tasa de Falla'!D26)</f>
        <v>CAPIZ - PEDRO VARGAS</v>
      </c>
      <c r="E26" s="361">
        <f>IF('[2]Tasa de Falla'!E26=0,"",'[2]Tasa de Falla'!E26)</f>
        <v>132</v>
      </c>
      <c r="F26" s="362">
        <f>IF('[2]Tasa de Falla'!F26=0,"",'[2]Tasa de Falla'!F26)</f>
        <v>122.13</v>
      </c>
      <c r="G26" s="363">
        <f>IF('[2]Tasa de Falla'!GL26=0,"",'[2]Tasa de Falla'!GL26)</f>
      </c>
      <c r="H26" s="363">
        <f>IF('[2]Tasa de Falla'!GM26=0,"",'[2]Tasa de Falla'!GM26)</f>
      </c>
      <c r="I26" s="363">
        <f>IF('[2]Tasa de Falla'!GN26=0,"",'[2]Tasa de Falla'!GN26)</f>
      </c>
      <c r="J26" s="363">
        <f>IF('[2]Tasa de Falla'!GO26=0,"",'[2]Tasa de Falla'!GO26)</f>
      </c>
      <c r="K26" s="363">
        <f>IF('[2]Tasa de Falla'!GP26=0,"",'[2]Tasa de Falla'!GP26)</f>
      </c>
      <c r="L26" s="363">
        <f>IF('[2]Tasa de Falla'!GQ26=0,"",'[2]Tasa de Falla'!GQ26)</f>
      </c>
      <c r="M26" s="363">
        <f>IF('[2]Tasa de Falla'!GR26=0,"",'[2]Tasa de Falla'!GR26)</f>
      </c>
      <c r="N26" s="363">
        <f>IF('[2]Tasa de Falla'!GS26=0,"",'[2]Tasa de Falla'!GS26)</f>
      </c>
      <c r="O26" s="363">
        <f>IF('[2]Tasa de Falla'!GT26=0,"",'[2]Tasa de Falla'!GT26)</f>
      </c>
      <c r="P26" s="363">
        <f>IF('[2]Tasa de Falla'!GU26=0,"",'[2]Tasa de Falla'!GU26)</f>
        <v>1</v>
      </c>
      <c r="Q26" s="363">
        <f>IF('[2]Tasa de Falla'!GV26=0,"",'[2]Tasa de Falla'!GV26)</f>
      </c>
      <c r="R26" s="363">
        <f>IF('[2]Tasa de Falla'!GW26=0,"",'[2]Tasa de Falla'!GW26)</f>
      </c>
      <c r="S26" s="357"/>
      <c r="T26" s="352"/>
    </row>
    <row r="27" spans="2:20" s="353" customFormat="1" ht="24.75" customHeight="1">
      <c r="B27" s="354"/>
      <c r="C27" s="364">
        <f>IF('[2]Tasa de Falla'!C27=0,"",'[2]Tasa de Falla'!C27)</f>
        <v>11</v>
      </c>
      <c r="D27" s="365" t="str">
        <f>IF('[2]Tasa de Falla'!D27=0,"",'[2]Tasa de Falla'!D27)</f>
        <v>SAN RAFAEL - PEDRO VARGAS</v>
      </c>
      <c r="E27" s="365">
        <f>IF('[2]Tasa de Falla'!E27=0,"",'[2]Tasa de Falla'!E27)</f>
        <v>132</v>
      </c>
      <c r="F27" s="366">
        <f>IF('[2]Tasa de Falla'!F27=0,"",'[2]Tasa de Falla'!F27)</f>
        <v>15.59</v>
      </c>
      <c r="G27" s="363">
        <f>IF('[2]Tasa de Falla'!GL27=0,"",'[2]Tasa de Falla'!GL27)</f>
      </c>
      <c r="H27" s="363">
        <f>IF('[2]Tasa de Falla'!GM27=0,"",'[2]Tasa de Falla'!GM27)</f>
      </c>
      <c r="I27" s="363">
        <f>IF('[2]Tasa de Falla'!GN27=0,"",'[2]Tasa de Falla'!GN27)</f>
      </c>
      <c r="J27" s="363">
        <f>IF('[2]Tasa de Falla'!GO27=0,"",'[2]Tasa de Falla'!GO27)</f>
      </c>
      <c r="K27" s="363">
        <f>IF('[2]Tasa de Falla'!GP27=0,"",'[2]Tasa de Falla'!GP27)</f>
      </c>
      <c r="L27" s="363">
        <f>IF('[2]Tasa de Falla'!GQ27=0,"",'[2]Tasa de Falla'!GQ27)</f>
      </c>
      <c r="M27" s="363">
        <f>IF('[2]Tasa de Falla'!GR27=0,"",'[2]Tasa de Falla'!GR27)</f>
      </c>
      <c r="N27" s="363">
        <f>IF('[2]Tasa de Falla'!GS27=0,"",'[2]Tasa de Falla'!GS27)</f>
      </c>
      <c r="O27" s="363">
        <f>IF('[2]Tasa de Falla'!GT27=0,"",'[2]Tasa de Falla'!GT27)</f>
      </c>
      <c r="P27" s="363">
        <f>IF('[2]Tasa de Falla'!GU27=0,"",'[2]Tasa de Falla'!GU27)</f>
      </c>
      <c r="Q27" s="363">
        <f>IF('[2]Tasa de Falla'!GV27=0,"",'[2]Tasa de Falla'!GV27)</f>
      </c>
      <c r="R27" s="363">
        <f>IF('[2]Tasa de Falla'!GW27=0,"",'[2]Tasa de Falla'!GW27)</f>
      </c>
      <c r="S27" s="357"/>
      <c r="T27" s="352"/>
    </row>
    <row r="28" spans="2:20" s="353" customFormat="1" ht="24.75" customHeight="1">
      <c r="B28" s="354"/>
      <c r="C28" s="360">
        <f>IF('[2]Tasa de Falla'!C28=0,"",'[2]Tasa de Falla'!C28)</f>
        <v>12</v>
      </c>
      <c r="D28" s="361" t="str">
        <f>IF('[2]Tasa de Falla'!D28=0,"",'[2]Tasa de Falla'!D28)</f>
        <v>GRAN MENDOZA - MONTE CASEROS 1</v>
      </c>
      <c r="E28" s="361">
        <f>IF('[2]Tasa de Falla'!E28=0,"",'[2]Tasa de Falla'!E28)</f>
        <v>132</v>
      </c>
      <c r="F28" s="362">
        <f>IF('[2]Tasa de Falla'!F28=0,"",'[2]Tasa de Falla'!F28)</f>
        <v>19.06</v>
      </c>
      <c r="G28" s="363">
        <f>IF('[2]Tasa de Falla'!GL28=0,"",'[2]Tasa de Falla'!GL28)</f>
      </c>
      <c r="H28" s="363">
        <f>IF('[2]Tasa de Falla'!GM28=0,"",'[2]Tasa de Falla'!GM28)</f>
      </c>
      <c r="I28" s="363">
        <f>IF('[2]Tasa de Falla'!GN28=0,"",'[2]Tasa de Falla'!GN28)</f>
      </c>
      <c r="J28" s="363">
        <f>IF('[2]Tasa de Falla'!GO28=0,"",'[2]Tasa de Falla'!GO28)</f>
      </c>
      <c r="K28" s="363">
        <f>IF('[2]Tasa de Falla'!GP28=0,"",'[2]Tasa de Falla'!GP28)</f>
      </c>
      <c r="L28" s="363">
        <f>IF('[2]Tasa de Falla'!GQ28=0,"",'[2]Tasa de Falla'!GQ28)</f>
      </c>
      <c r="M28" s="363">
        <f>IF('[2]Tasa de Falla'!GR28=0,"",'[2]Tasa de Falla'!GR28)</f>
      </c>
      <c r="N28" s="363">
        <f>IF('[2]Tasa de Falla'!GS28=0,"",'[2]Tasa de Falla'!GS28)</f>
      </c>
      <c r="O28" s="363">
        <f>IF('[2]Tasa de Falla'!GT28=0,"",'[2]Tasa de Falla'!GT28)</f>
      </c>
      <c r="P28" s="363">
        <f>IF('[2]Tasa de Falla'!GU28=0,"",'[2]Tasa de Falla'!GU28)</f>
      </c>
      <c r="Q28" s="363">
        <f>IF('[2]Tasa de Falla'!GV28=0,"",'[2]Tasa de Falla'!GV28)</f>
      </c>
      <c r="R28" s="363">
        <f>IF('[2]Tasa de Falla'!GW28=0,"",'[2]Tasa de Falla'!GW28)</f>
      </c>
      <c r="S28" s="357"/>
      <c r="T28" s="352"/>
    </row>
    <row r="29" spans="2:20" s="353" customFormat="1" ht="24.75" customHeight="1">
      <c r="B29" s="354"/>
      <c r="C29" s="364">
        <f>IF('[2]Tasa de Falla'!C29=0,"",'[2]Tasa de Falla'!C29)</f>
        <v>13</v>
      </c>
      <c r="D29" s="365" t="str">
        <f>IF('[2]Tasa de Falla'!D29=0,"",'[2]Tasa de Falla'!D29)</f>
        <v>GRAN MENDOZA - MONTE CASEROS 2</v>
      </c>
      <c r="E29" s="365">
        <f>IF('[2]Tasa de Falla'!E29=0,"",'[2]Tasa de Falla'!E29)</f>
        <v>132</v>
      </c>
      <c r="F29" s="366">
        <f>IF('[2]Tasa de Falla'!F29=0,"",'[2]Tasa de Falla'!F29)</f>
        <v>19.06</v>
      </c>
      <c r="G29" s="363">
        <f>IF('[2]Tasa de Falla'!GL29=0,"",'[2]Tasa de Falla'!GL29)</f>
      </c>
      <c r="H29" s="363">
        <f>IF('[2]Tasa de Falla'!GM29=0,"",'[2]Tasa de Falla'!GM29)</f>
      </c>
      <c r="I29" s="363">
        <f>IF('[2]Tasa de Falla'!GN29=0,"",'[2]Tasa de Falla'!GN29)</f>
      </c>
      <c r="J29" s="363">
        <f>IF('[2]Tasa de Falla'!GO29=0,"",'[2]Tasa de Falla'!GO29)</f>
      </c>
      <c r="K29" s="363">
        <f>IF('[2]Tasa de Falla'!GP29=0,"",'[2]Tasa de Falla'!GP29)</f>
      </c>
      <c r="L29" s="363">
        <f>IF('[2]Tasa de Falla'!GQ29=0,"",'[2]Tasa de Falla'!GQ29)</f>
      </c>
      <c r="M29" s="363">
        <f>IF('[2]Tasa de Falla'!GR29=0,"",'[2]Tasa de Falla'!GR29)</f>
      </c>
      <c r="N29" s="363">
        <f>IF('[2]Tasa de Falla'!GS29=0,"",'[2]Tasa de Falla'!GS29)</f>
      </c>
      <c r="O29" s="363">
        <f>IF('[2]Tasa de Falla'!GT29=0,"",'[2]Tasa de Falla'!GT29)</f>
      </c>
      <c r="P29" s="363">
        <f>IF('[2]Tasa de Falla'!GU29=0,"",'[2]Tasa de Falla'!GU29)</f>
      </c>
      <c r="Q29" s="363">
        <f>IF('[2]Tasa de Falla'!GV29=0,"",'[2]Tasa de Falla'!GV29)</f>
      </c>
      <c r="R29" s="363">
        <f>IF('[2]Tasa de Falla'!GW29=0,"",'[2]Tasa de Falla'!GW29)</f>
      </c>
      <c r="S29" s="357"/>
      <c r="T29" s="352"/>
    </row>
    <row r="30" spans="2:20" s="353" customFormat="1" ht="24.75" customHeight="1">
      <c r="B30" s="354"/>
      <c r="C30" s="360">
        <f>IF('[2]Tasa de Falla'!C30=0,"",'[2]Tasa de Falla'!C30)</f>
        <v>14</v>
      </c>
      <c r="D30" s="361" t="str">
        <f>IF('[2]Tasa de Falla'!D30=0,"",'[2]Tasa de Falla'!D30)</f>
        <v>CRUZ DE PIEDRA - GRAN MENDOZA 1</v>
      </c>
      <c r="E30" s="361">
        <f>IF('[2]Tasa de Falla'!E30=0,"",'[2]Tasa de Falla'!E30)</f>
        <v>132</v>
      </c>
      <c r="F30" s="362">
        <f>IF('[2]Tasa de Falla'!F30=0,"",'[2]Tasa de Falla'!F30)</f>
        <v>21.98</v>
      </c>
      <c r="G30" s="363">
        <f>IF('[2]Tasa de Falla'!GL30=0,"",'[2]Tasa de Falla'!GL30)</f>
      </c>
      <c r="H30" s="363">
        <f>IF('[2]Tasa de Falla'!GM30=0,"",'[2]Tasa de Falla'!GM30)</f>
      </c>
      <c r="I30" s="363">
        <f>IF('[2]Tasa de Falla'!GN30=0,"",'[2]Tasa de Falla'!GN30)</f>
      </c>
      <c r="J30" s="363">
        <f>IF('[2]Tasa de Falla'!GO30=0,"",'[2]Tasa de Falla'!GO30)</f>
      </c>
      <c r="K30" s="363">
        <f>IF('[2]Tasa de Falla'!GP30=0,"",'[2]Tasa de Falla'!GP30)</f>
      </c>
      <c r="L30" s="363">
        <f>IF('[2]Tasa de Falla'!GQ30=0,"",'[2]Tasa de Falla'!GQ30)</f>
      </c>
      <c r="M30" s="363">
        <f>IF('[2]Tasa de Falla'!GR30=0,"",'[2]Tasa de Falla'!GR30)</f>
      </c>
      <c r="N30" s="363">
        <f>IF('[2]Tasa de Falla'!GS30=0,"",'[2]Tasa de Falla'!GS30)</f>
      </c>
      <c r="O30" s="363">
        <f>IF('[2]Tasa de Falla'!GT30=0,"",'[2]Tasa de Falla'!GT30)</f>
      </c>
      <c r="P30" s="363">
        <f>IF('[2]Tasa de Falla'!GU30=0,"",'[2]Tasa de Falla'!GU30)</f>
      </c>
      <c r="Q30" s="363">
        <f>IF('[2]Tasa de Falla'!GV30=0,"",'[2]Tasa de Falla'!GV30)</f>
      </c>
      <c r="R30" s="363">
        <f>IF('[2]Tasa de Falla'!GW30=0,"",'[2]Tasa de Falla'!GW30)</f>
      </c>
      <c r="S30" s="357"/>
      <c r="T30" s="352"/>
    </row>
    <row r="31" spans="2:20" s="353" customFormat="1" ht="24.75" customHeight="1">
      <c r="B31" s="354"/>
      <c r="C31" s="364">
        <f>IF('[2]Tasa de Falla'!C31=0,"",'[2]Tasa de Falla'!C31)</f>
        <v>15</v>
      </c>
      <c r="D31" s="365" t="str">
        <f>IF('[2]Tasa de Falla'!D31=0,"",'[2]Tasa de Falla'!D31)</f>
        <v>CRUZ DE PIEDRA - GRAN MENDOZA 2</v>
      </c>
      <c r="E31" s="365">
        <f>IF('[2]Tasa de Falla'!E31=0,"",'[2]Tasa de Falla'!E31)</f>
        <v>132</v>
      </c>
      <c r="F31" s="366">
        <f>IF('[2]Tasa de Falla'!F31=0,"",'[2]Tasa de Falla'!F31)</f>
        <v>21.98</v>
      </c>
      <c r="G31" s="363">
        <f>IF('[2]Tasa de Falla'!GL31=0,"",'[2]Tasa de Falla'!GL31)</f>
      </c>
      <c r="H31" s="363">
        <f>IF('[2]Tasa de Falla'!GM31=0,"",'[2]Tasa de Falla'!GM31)</f>
      </c>
      <c r="I31" s="363">
        <f>IF('[2]Tasa de Falla'!GN31=0,"",'[2]Tasa de Falla'!GN31)</f>
      </c>
      <c r="J31" s="363">
        <f>IF('[2]Tasa de Falla'!GO31=0,"",'[2]Tasa de Falla'!GO31)</f>
      </c>
      <c r="K31" s="363">
        <f>IF('[2]Tasa de Falla'!GP31=0,"",'[2]Tasa de Falla'!GP31)</f>
      </c>
      <c r="L31" s="363">
        <f>IF('[2]Tasa de Falla'!GQ31=0,"",'[2]Tasa de Falla'!GQ31)</f>
      </c>
      <c r="M31" s="363">
        <f>IF('[2]Tasa de Falla'!GR31=0,"",'[2]Tasa de Falla'!GR31)</f>
      </c>
      <c r="N31" s="363">
        <f>IF('[2]Tasa de Falla'!GS31=0,"",'[2]Tasa de Falla'!GS31)</f>
      </c>
      <c r="O31" s="363">
        <f>IF('[2]Tasa de Falla'!GT31=0,"",'[2]Tasa de Falla'!GT31)</f>
      </c>
      <c r="P31" s="363">
        <f>IF('[2]Tasa de Falla'!GU31=0,"",'[2]Tasa de Falla'!GU31)</f>
      </c>
      <c r="Q31" s="363">
        <f>IF('[2]Tasa de Falla'!GV31=0,"",'[2]Tasa de Falla'!GV31)</f>
      </c>
      <c r="R31" s="363">
        <f>IF('[2]Tasa de Falla'!GW31=0,"",'[2]Tasa de Falla'!GW31)</f>
      </c>
      <c r="S31" s="357"/>
      <c r="T31" s="352"/>
    </row>
    <row r="32" spans="2:20" s="353" customFormat="1" ht="24.75" customHeight="1">
      <c r="B32" s="354"/>
      <c r="C32" s="360">
        <f>IF('[2]Tasa de Falla'!C32=0,"",'[2]Tasa de Falla'!C32)</f>
        <v>16</v>
      </c>
      <c r="D32" s="361" t="str">
        <f>IF('[2]Tasa de Falla'!D32=0,"",'[2]Tasa de Falla'!D32)</f>
        <v>CRUZ DE PIEDRA - SAN JUAN</v>
      </c>
      <c r="E32" s="361">
        <f>IF('[2]Tasa de Falla'!E32=0,"",'[2]Tasa de Falla'!E32)</f>
        <v>132</v>
      </c>
      <c r="F32" s="362">
        <f>IF('[2]Tasa de Falla'!F32=0,"",'[2]Tasa de Falla'!F32)</f>
        <v>180.18</v>
      </c>
      <c r="G32" s="363">
        <f>IF('[2]Tasa de Falla'!GL32=0,"",'[2]Tasa de Falla'!GL32)</f>
      </c>
      <c r="H32" s="363">
        <f>IF('[2]Tasa de Falla'!GM32=0,"",'[2]Tasa de Falla'!GM32)</f>
      </c>
      <c r="I32" s="363">
        <f>IF('[2]Tasa de Falla'!GN32=0,"",'[2]Tasa de Falla'!GN32)</f>
      </c>
      <c r="J32" s="363">
        <f>IF('[2]Tasa de Falla'!GO32=0,"",'[2]Tasa de Falla'!GO32)</f>
      </c>
      <c r="K32" s="363">
        <f>IF('[2]Tasa de Falla'!GP32=0,"",'[2]Tasa de Falla'!GP32)</f>
        <v>1</v>
      </c>
      <c r="L32" s="363">
        <f>IF('[2]Tasa de Falla'!GQ32=0,"",'[2]Tasa de Falla'!GQ32)</f>
      </c>
      <c r="M32" s="363">
        <f>IF('[2]Tasa de Falla'!GR32=0,"",'[2]Tasa de Falla'!GR32)</f>
      </c>
      <c r="N32" s="363">
        <f>IF('[2]Tasa de Falla'!GS32=0,"",'[2]Tasa de Falla'!GS32)</f>
        <v>2</v>
      </c>
      <c r="O32" s="363">
        <f>IF('[2]Tasa de Falla'!GT32=0,"",'[2]Tasa de Falla'!GT32)</f>
        <v>1</v>
      </c>
      <c r="P32" s="363">
        <f>IF('[2]Tasa de Falla'!GU32=0,"",'[2]Tasa de Falla'!GU32)</f>
      </c>
      <c r="Q32" s="363">
        <f>IF('[2]Tasa de Falla'!GV32=0,"",'[2]Tasa de Falla'!GV32)</f>
        <v>1</v>
      </c>
      <c r="R32" s="363">
        <f>IF('[2]Tasa de Falla'!GW32=0,"",'[2]Tasa de Falla'!GW32)</f>
        <v>1</v>
      </c>
      <c r="S32" s="357"/>
      <c r="T32" s="352"/>
    </row>
    <row r="33" spans="2:20" s="353" customFormat="1" ht="24.75" customHeight="1">
      <c r="B33" s="354"/>
      <c r="C33" s="364">
        <f>IF('[2]Tasa de Falla'!C33=0,"",'[2]Tasa de Falla'!C33)</f>
        <v>17</v>
      </c>
      <c r="D33" s="365" t="str">
        <f>IF('[2]Tasa de Falla'!D33=0,"",'[2]Tasa de Falla'!D33)</f>
        <v>CRUZ DE PIEDRA - LUJAN DE CUYO 1</v>
      </c>
      <c r="E33" s="365">
        <f>IF('[2]Tasa de Falla'!E33=0,"",'[2]Tasa de Falla'!E33)</f>
        <v>132</v>
      </c>
      <c r="F33" s="366">
        <f>IF('[2]Tasa de Falla'!F33=0,"",'[2]Tasa de Falla'!F33)</f>
        <v>18.08</v>
      </c>
      <c r="G33" s="363">
        <f>IF('[2]Tasa de Falla'!GL33=0,"",'[2]Tasa de Falla'!GL33)</f>
      </c>
      <c r="H33" s="363">
        <f>IF('[2]Tasa de Falla'!GM33=0,"",'[2]Tasa de Falla'!GM33)</f>
      </c>
      <c r="I33" s="363">
        <f>IF('[2]Tasa de Falla'!GN33=0,"",'[2]Tasa de Falla'!GN33)</f>
      </c>
      <c r="J33" s="363">
        <f>IF('[2]Tasa de Falla'!GO33=0,"",'[2]Tasa de Falla'!GO33)</f>
      </c>
      <c r="K33" s="363">
        <f>IF('[2]Tasa de Falla'!GP33=0,"",'[2]Tasa de Falla'!GP33)</f>
      </c>
      <c r="L33" s="363">
        <f>IF('[2]Tasa de Falla'!GQ33=0,"",'[2]Tasa de Falla'!GQ33)</f>
      </c>
      <c r="M33" s="363">
        <f>IF('[2]Tasa de Falla'!GR33=0,"",'[2]Tasa de Falla'!GR33)</f>
      </c>
      <c r="N33" s="363">
        <f>IF('[2]Tasa de Falla'!GS33=0,"",'[2]Tasa de Falla'!GS33)</f>
      </c>
      <c r="O33" s="363">
        <f>IF('[2]Tasa de Falla'!GT33=0,"",'[2]Tasa de Falla'!GT33)</f>
      </c>
      <c r="P33" s="363">
        <f>IF('[2]Tasa de Falla'!GU33=0,"",'[2]Tasa de Falla'!GU33)</f>
        <v>1</v>
      </c>
      <c r="Q33" s="363">
        <f>IF('[2]Tasa de Falla'!GV33=0,"",'[2]Tasa de Falla'!GV33)</f>
      </c>
      <c r="R33" s="363">
        <f>IF('[2]Tasa de Falla'!GW33=0,"",'[2]Tasa de Falla'!GW33)</f>
      </c>
      <c r="S33" s="357"/>
      <c r="T33" s="352"/>
    </row>
    <row r="34" spans="2:20" s="353" customFormat="1" ht="24.75" customHeight="1">
      <c r="B34" s="354"/>
      <c r="C34" s="360">
        <f>IF('[2]Tasa de Falla'!C34=0,"",'[2]Tasa de Falla'!C34)</f>
        <v>18</v>
      </c>
      <c r="D34" s="361" t="str">
        <f>IF('[2]Tasa de Falla'!D34=0,"",'[2]Tasa de Falla'!D34)</f>
        <v>CRUZ DE PIEDRA - LUJAN DE CUYO 2</v>
      </c>
      <c r="E34" s="361">
        <f>IF('[2]Tasa de Falla'!E34=0,"",'[2]Tasa de Falla'!E34)</f>
        <v>132</v>
      </c>
      <c r="F34" s="362">
        <f>IF('[2]Tasa de Falla'!F34=0,"",'[2]Tasa de Falla'!F34)</f>
        <v>18.08</v>
      </c>
      <c r="G34" s="363">
        <f>IF('[2]Tasa de Falla'!GL34=0,"",'[2]Tasa de Falla'!GL34)</f>
      </c>
      <c r="H34" s="363">
        <f>IF('[2]Tasa de Falla'!GM34=0,"",'[2]Tasa de Falla'!GM34)</f>
      </c>
      <c r="I34" s="363">
        <f>IF('[2]Tasa de Falla'!GN34=0,"",'[2]Tasa de Falla'!GN34)</f>
      </c>
      <c r="J34" s="363">
        <f>IF('[2]Tasa de Falla'!GO34=0,"",'[2]Tasa de Falla'!GO34)</f>
      </c>
      <c r="K34" s="363">
        <f>IF('[2]Tasa de Falla'!GP34=0,"",'[2]Tasa de Falla'!GP34)</f>
      </c>
      <c r="L34" s="363">
        <f>IF('[2]Tasa de Falla'!GQ34=0,"",'[2]Tasa de Falla'!GQ34)</f>
      </c>
      <c r="M34" s="363">
        <f>IF('[2]Tasa de Falla'!GR34=0,"",'[2]Tasa de Falla'!GR34)</f>
      </c>
      <c r="N34" s="363">
        <f>IF('[2]Tasa de Falla'!GS34=0,"",'[2]Tasa de Falla'!GS34)</f>
      </c>
      <c r="O34" s="363">
        <f>IF('[2]Tasa de Falla'!GT34=0,"",'[2]Tasa de Falla'!GT34)</f>
      </c>
      <c r="P34" s="363">
        <f>IF('[2]Tasa de Falla'!GU34=0,"",'[2]Tasa de Falla'!GU34)</f>
      </c>
      <c r="Q34" s="363">
        <f>IF('[2]Tasa de Falla'!GV34=0,"",'[2]Tasa de Falla'!GV34)</f>
      </c>
      <c r="R34" s="363">
        <f>IF('[2]Tasa de Falla'!GW34=0,"",'[2]Tasa de Falla'!GW34)</f>
      </c>
      <c r="S34" s="357"/>
      <c r="T34" s="352"/>
    </row>
    <row r="35" spans="2:20" s="353" customFormat="1" ht="24.75" customHeight="1">
      <c r="B35" s="354"/>
      <c r="C35" s="367">
        <f>IF('[2]Tasa de Falla'!C35=0,"",'[2]Tasa de Falla'!C35)</f>
        <v>19</v>
      </c>
      <c r="D35" s="368" t="str">
        <f>IF('[2]Tasa de Falla'!D35=0,"",'[2]Tasa de Falla'!D35)</f>
        <v>C.H. NIHUIL I - PEDRO VARGAS</v>
      </c>
      <c r="E35" s="368">
        <f>IF('[2]Tasa de Falla'!E35=0,"",'[2]Tasa de Falla'!E35)</f>
        <v>132</v>
      </c>
      <c r="F35" s="369">
        <f>IF('[2]Tasa de Falla'!F35=0,"",'[2]Tasa de Falla'!F35)</f>
        <v>46.45</v>
      </c>
      <c r="G35" s="363">
        <f>IF('[2]Tasa de Falla'!GL35=0,"",'[2]Tasa de Falla'!GL35)</f>
        <v>1</v>
      </c>
      <c r="H35" s="363">
        <f>IF('[2]Tasa de Falla'!GM35=0,"",'[2]Tasa de Falla'!GM35)</f>
      </c>
      <c r="I35" s="363">
        <f>IF('[2]Tasa de Falla'!GN35=0,"",'[2]Tasa de Falla'!GN35)</f>
      </c>
      <c r="J35" s="363">
        <f>IF('[2]Tasa de Falla'!GO35=0,"",'[2]Tasa de Falla'!GO35)</f>
      </c>
      <c r="K35" s="363">
        <f>IF('[2]Tasa de Falla'!GP35=0,"",'[2]Tasa de Falla'!GP35)</f>
      </c>
      <c r="L35" s="363">
        <f>IF('[2]Tasa de Falla'!GQ35=0,"",'[2]Tasa de Falla'!GQ35)</f>
      </c>
      <c r="M35" s="363">
        <f>IF('[2]Tasa de Falla'!GR35=0,"",'[2]Tasa de Falla'!GR35)</f>
      </c>
      <c r="N35" s="363">
        <f>IF('[2]Tasa de Falla'!GS35=0,"",'[2]Tasa de Falla'!GS35)</f>
      </c>
      <c r="O35" s="363">
        <f>IF('[2]Tasa de Falla'!GT35=0,"",'[2]Tasa de Falla'!GT35)</f>
      </c>
      <c r="P35" s="363">
        <f>IF('[2]Tasa de Falla'!GU35=0,"",'[2]Tasa de Falla'!GU35)</f>
      </c>
      <c r="Q35" s="363">
        <f>IF('[2]Tasa de Falla'!GV35=0,"",'[2]Tasa de Falla'!GV35)</f>
      </c>
      <c r="R35" s="363">
        <f>IF('[2]Tasa de Falla'!GW35=0,"",'[2]Tasa de Falla'!GW35)</f>
      </c>
      <c r="S35" s="357"/>
      <c r="T35" s="352"/>
    </row>
    <row r="36" spans="2:20" s="353" customFormat="1" ht="24.75" customHeight="1">
      <c r="B36" s="354"/>
      <c r="C36" s="360">
        <f>IF('[2]Tasa de Falla'!C36=0,"",'[2]Tasa de Falla'!C36)</f>
      </c>
      <c r="D36" s="361">
        <f>IF('[2]Tasa de Falla'!D36=0,"",'[2]Tasa de Falla'!D36)</f>
      </c>
      <c r="E36" s="361">
        <f>IF('[2]Tasa de Falla'!E36=0,"",'[2]Tasa de Falla'!E36)</f>
      </c>
      <c r="F36" s="362">
        <f>IF('[2]Tasa de Falla'!F36=0,"",'[2]Tasa de Falla'!F36)</f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57"/>
      <c r="T36" s="352"/>
    </row>
    <row r="37" spans="2:20" s="353" customFormat="1" ht="24.75" customHeight="1" thickBot="1">
      <c r="B37" s="354"/>
      <c r="C37" s="370">
        <f>IF('[1]Tasa de Falla'!C36=0,"",'[1]Tasa de Falla'!C36)</f>
      </c>
      <c r="D37" s="371">
        <f>IF('[1]Tasa de Falla'!D36=0,"",'[1]Tasa de Falla'!D36)</f>
      </c>
      <c r="E37" s="372">
        <f>IF('[1]Tasa de Falla'!E36=0,"",'[1]Tasa de Falla'!E36)</f>
      </c>
      <c r="F37" s="373">
        <f>IF('[1]Tasa de Falla'!F36=0,"",'[1]Tasa de Falla'!F36)</f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57"/>
      <c r="T37" s="352"/>
    </row>
    <row r="38" spans="2:20" s="353" customFormat="1" ht="24.75" customHeight="1" thickBot="1" thickTop="1">
      <c r="B38" s="354"/>
      <c r="C38" s="374"/>
      <c r="D38" s="375"/>
      <c r="E38" s="376" t="s">
        <v>145</v>
      </c>
      <c r="F38" s="377">
        <f>SUM(F17:F35)</f>
        <v>1370.9299999999998</v>
      </c>
      <c r="G38" s="379"/>
      <c r="H38" s="378"/>
      <c r="I38" s="379"/>
      <c r="J38" s="378"/>
      <c r="K38" s="379"/>
      <c r="L38" s="378"/>
      <c r="M38" s="379"/>
      <c r="N38" s="378"/>
      <c r="O38" s="379"/>
      <c r="P38" s="378"/>
      <c r="Q38" s="379"/>
      <c r="R38" s="378"/>
      <c r="S38" s="357"/>
      <c r="T38" s="352"/>
    </row>
    <row r="39" spans="2:20" s="353" customFormat="1" ht="24.75" customHeight="1" thickBot="1" thickTop="1">
      <c r="B39" s="354"/>
      <c r="C39" s="380"/>
      <c r="D39" s="381"/>
      <c r="F39" s="382" t="s">
        <v>146</v>
      </c>
      <c r="G39" s="383">
        <f>SUM(G17:G37)</f>
        <v>1</v>
      </c>
      <c r="H39" s="384">
        <f>SUM(H17:H37)</f>
        <v>1</v>
      </c>
      <c r="I39" s="384">
        <f aca="true" t="shared" si="0" ref="I39:R39">SUM(I17:I37)</f>
        <v>2</v>
      </c>
      <c r="J39" s="384">
        <f t="shared" si="0"/>
        <v>0</v>
      </c>
      <c r="K39" s="384">
        <f t="shared" si="0"/>
        <v>2</v>
      </c>
      <c r="L39" s="384">
        <f t="shared" si="0"/>
        <v>1</v>
      </c>
      <c r="M39" s="384">
        <f t="shared" si="0"/>
        <v>0</v>
      </c>
      <c r="N39" s="384">
        <f t="shared" si="0"/>
        <v>3</v>
      </c>
      <c r="O39" s="384">
        <f t="shared" si="0"/>
        <v>1</v>
      </c>
      <c r="P39" s="384">
        <f t="shared" si="0"/>
        <v>2</v>
      </c>
      <c r="Q39" s="384">
        <f t="shared" si="0"/>
        <v>2</v>
      </c>
      <c r="R39" s="384">
        <f t="shared" si="0"/>
        <v>1</v>
      </c>
      <c r="S39" s="357"/>
      <c r="T39" s="352"/>
    </row>
    <row r="40" spans="2:20" s="353" customFormat="1" ht="24.75" customHeight="1" thickBot="1" thickTop="1">
      <c r="B40" s="354"/>
      <c r="C40" s="380"/>
      <c r="D40" s="380"/>
      <c r="E40" s="380"/>
      <c r="F40" s="385" t="s">
        <v>147</v>
      </c>
      <c r="G40" s="386">
        <f>+'[2]Tasa de Falla'!GL39</f>
        <v>0.8</v>
      </c>
      <c r="H40" s="386">
        <f>+'[2]Tasa de Falla'!GM39</f>
        <v>0.8</v>
      </c>
      <c r="I40" s="386">
        <f>+'[2]Tasa de Falla'!GN39</f>
        <v>0.88</v>
      </c>
      <c r="J40" s="386">
        <f>+'[2]Tasa de Falla'!GO39</f>
        <v>0.88</v>
      </c>
      <c r="K40" s="386">
        <f>+'[2]Tasa de Falla'!GP39</f>
        <v>0.88</v>
      </c>
      <c r="L40" s="386">
        <f>+'[2]Tasa de Falla'!GQ39</f>
        <v>1.02</v>
      </c>
      <c r="M40" s="386">
        <f>+'[2]Tasa de Falla'!GR39</f>
        <v>0.95</v>
      </c>
      <c r="N40" s="386">
        <f>+'[2]Tasa de Falla'!GS39</f>
        <v>0.95</v>
      </c>
      <c r="O40" s="386">
        <f>+'[2]Tasa de Falla'!GT39</f>
        <v>1.09</v>
      </c>
      <c r="P40" s="386">
        <f>+'[2]Tasa de Falla'!GU39</f>
        <v>1.02</v>
      </c>
      <c r="Q40" s="386">
        <f>+'[2]Tasa de Falla'!GV39</f>
        <v>1.09</v>
      </c>
      <c r="R40" s="386">
        <f>+'[2]Tasa de Falla'!GW39</f>
        <v>1.17</v>
      </c>
      <c r="S40" s="386">
        <f>+'[2]Tasa de Falla'!GX39</f>
        <v>1.17</v>
      </c>
      <c r="T40" s="352"/>
    </row>
    <row r="41" spans="2:20" ht="18.75" customHeight="1" thickBot="1" thickTop="1">
      <c r="B41" s="340"/>
      <c r="C41" s="380"/>
      <c r="D41" s="387"/>
      <c r="E41" s="388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1"/>
    </row>
    <row r="42" spans="2:20" ht="17.25" thickBot="1" thickTop="1">
      <c r="B42" s="392"/>
      <c r="C42" s="344"/>
      <c r="D42" s="344"/>
      <c r="H42" s="393" t="s">
        <v>148</v>
      </c>
      <c r="I42" s="394"/>
      <c r="J42" s="395">
        <f>S40</f>
        <v>1.17</v>
      </c>
      <c r="K42" s="396" t="s">
        <v>149</v>
      </c>
      <c r="L42" s="397"/>
      <c r="M42" s="398"/>
      <c r="N42" s="399"/>
      <c r="O42" s="399"/>
      <c r="P42" s="399"/>
      <c r="Q42" s="399"/>
      <c r="R42" s="344"/>
      <c r="S42" s="344"/>
      <c r="T42" s="345"/>
    </row>
    <row r="43" spans="2:20" ht="18.75" customHeight="1" thickBot="1" thickTop="1">
      <c r="B43" s="400"/>
      <c r="C43" s="401"/>
      <c r="D43" s="402"/>
      <c r="E43" s="402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5"/>
    </row>
    <row r="44" ht="13.5" thickTop="1">
      <c r="AA44" s="319">
        <f>ROUND(SUM(AA20:AA43),2)</f>
        <v>0</v>
      </c>
    </row>
  </sheetData>
  <sheetProtection/>
  <printOptions/>
  <pageMargins left="0.3937007874015748" right="0.99" top="0.7874015748031497" bottom="0.7874015748031497" header="0.5118110236220472" footer="0.5118110236220472"/>
  <pageSetup fitToHeight="1" fitToWidth="1" horizontalDpi="300" verticalDpi="300" orientation="landscape" paperSize="9" scale="47" r:id="rId2"/>
  <headerFooter alignWithMargins="0">
    <oddFooter>&amp;L&amp;"Times New Roman,Normal"&amp;F-&amp;A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21.7109375" style="297" customWidth="1"/>
    <col min="2" max="2" width="9.28125" style="297" customWidth="1"/>
    <col min="3" max="3" width="11.8515625" style="297" bestFit="1" customWidth="1"/>
    <col min="4" max="4" width="9.57421875" style="297" bestFit="1" customWidth="1"/>
    <col min="5" max="5" width="14.8515625" style="297" bestFit="1" customWidth="1"/>
    <col min="6" max="6" width="64.00390625" style="297" bestFit="1" customWidth="1"/>
    <col min="7" max="16384" width="11.421875" style="297" customWidth="1"/>
  </cols>
  <sheetData>
    <row r="1" spans="1:4" ht="12.75">
      <c r="A1" s="296" t="s">
        <v>63</v>
      </c>
      <c r="B1" s="296" t="s">
        <v>63</v>
      </c>
      <c r="C1" s="296" t="s">
        <v>64</v>
      </c>
      <c r="D1" s="296" t="s">
        <v>65</v>
      </c>
    </row>
    <row r="2" spans="1:4" ht="12.75">
      <c r="A2" s="298" t="s">
        <v>48</v>
      </c>
      <c r="B2" s="299" t="s">
        <v>66</v>
      </c>
      <c r="C2" s="298">
        <v>31</v>
      </c>
      <c r="D2" s="298">
        <v>2006</v>
      </c>
    </row>
    <row r="3" spans="1:4" ht="12.75">
      <c r="A3" s="298" t="s">
        <v>49</v>
      </c>
      <c r="B3" s="299" t="s">
        <v>67</v>
      </c>
      <c r="C3" s="298">
        <f>IF(MOD(E14,4)=0,29,28)</f>
        <v>29</v>
      </c>
      <c r="D3" s="298">
        <f>+D2+1</f>
        <v>2007</v>
      </c>
    </row>
    <row r="4" spans="1:4" ht="12.75">
      <c r="A4" s="298" t="s">
        <v>50</v>
      </c>
      <c r="B4" s="299" t="s">
        <v>68</v>
      </c>
      <c r="C4" s="298">
        <v>31</v>
      </c>
      <c r="D4" s="298">
        <v>2008</v>
      </c>
    </row>
    <row r="5" spans="1:4" ht="12.75">
      <c r="A5" s="298" t="s">
        <v>51</v>
      </c>
      <c r="B5" s="299" t="s">
        <v>69</v>
      </c>
      <c r="C5" s="298">
        <v>30</v>
      </c>
      <c r="D5" s="298">
        <v>2009</v>
      </c>
    </row>
    <row r="6" spans="1:4" ht="12.75">
      <c r="A6" s="298" t="s">
        <v>52</v>
      </c>
      <c r="B6" s="299" t="s">
        <v>70</v>
      </c>
      <c r="C6" s="298">
        <v>31</v>
      </c>
      <c r="D6" s="298">
        <v>2010</v>
      </c>
    </row>
    <row r="7" spans="1:4" ht="12.75">
      <c r="A7" s="298" t="s">
        <v>53</v>
      </c>
      <c r="B7" s="299" t="s">
        <v>71</v>
      </c>
      <c r="C7" s="298">
        <v>30</v>
      </c>
      <c r="D7" s="298">
        <v>2011</v>
      </c>
    </row>
    <row r="8" spans="1:4" ht="12.75">
      <c r="A8" s="298" t="s">
        <v>54</v>
      </c>
      <c r="B8" s="299" t="s">
        <v>72</v>
      </c>
      <c r="C8" s="298">
        <v>31</v>
      </c>
      <c r="D8" s="298">
        <v>2012</v>
      </c>
    </row>
    <row r="9" spans="1:4" ht="12.75">
      <c r="A9" s="298" t="s">
        <v>55</v>
      </c>
      <c r="B9" s="299" t="s">
        <v>73</v>
      </c>
      <c r="C9" s="298">
        <v>31</v>
      </c>
      <c r="D9" s="298"/>
    </row>
    <row r="10" spans="1:4" ht="12.75">
      <c r="A10" s="298" t="s">
        <v>56</v>
      </c>
      <c r="B10" s="299" t="s">
        <v>74</v>
      </c>
      <c r="C10" s="298">
        <v>30</v>
      </c>
      <c r="D10" s="298"/>
    </row>
    <row r="11" spans="1:4" ht="12.75">
      <c r="A11" s="298" t="s">
        <v>57</v>
      </c>
      <c r="B11" s="299" t="s">
        <v>75</v>
      </c>
      <c r="C11" s="298">
        <v>31</v>
      </c>
      <c r="D11" s="298"/>
    </row>
    <row r="12" spans="1:4" ht="12.75">
      <c r="A12" s="298" t="s">
        <v>58</v>
      </c>
      <c r="B12" s="299" t="s">
        <v>76</v>
      </c>
      <c r="C12" s="298">
        <v>30</v>
      </c>
      <c r="D12" s="298"/>
    </row>
    <row r="13" spans="1:9" ht="12.75">
      <c r="A13" s="298" t="s">
        <v>59</v>
      </c>
      <c r="B13" s="299" t="s">
        <v>77</v>
      </c>
      <c r="C13" s="298">
        <v>31</v>
      </c>
      <c r="D13" s="298"/>
      <c r="I13" s="300" t="s">
        <v>78</v>
      </c>
    </row>
    <row r="14" spans="1:9" ht="12.75">
      <c r="A14" s="301">
        <v>7</v>
      </c>
      <c r="B14" s="302">
        <v>2</v>
      </c>
      <c r="C14" s="301" t="str">
        <f ca="1">CELL("CONTENIDO",OFFSET(A1,B14,0))</f>
        <v>febrero</v>
      </c>
      <c r="D14" s="301">
        <f ca="1">CELL("CONTENIDO",OFFSET(C1,B14,0))</f>
        <v>29</v>
      </c>
      <c r="E14" s="301">
        <f ca="1">CELL("CONTENIDO",OFFSET(D1,A14,0))</f>
        <v>2012</v>
      </c>
      <c r="F14" s="301" t="str">
        <f>"Desde el 01 al "&amp;D14&amp;" de "&amp;C14&amp;" de "&amp;E14</f>
        <v>Desde el 01 al 29 de febrero de 2012</v>
      </c>
      <c r="G14" s="301" t="str">
        <f ca="1">CELL("CONTENIDO",OFFSET(B1,B14,0))</f>
        <v>02</v>
      </c>
      <c r="H14" s="301" t="str">
        <f>RIGHT(E14,2)</f>
        <v>12</v>
      </c>
      <c r="I14" s="303" t="s">
        <v>79</v>
      </c>
    </row>
    <row r="15" spans="1:8" ht="12.75">
      <c r="A15" s="301"/>
      <c r="B15" s="304" t="str">
        <f>"\\rugor\files\Transporte\Transporte\AA PROCESO AUT ARCHIVOS J\DISTROCUYO\"&amp;E14</f>
        <v>\\rugor\files\Transporte\Transporte\AA PROCESO AUT ARCHIVOS J\DISTROCUYO\2012</v>
      </c>
      <c r="C15" s="301"/>
      <c r="D15" s="301"/>
      <c r="E15" s="301"/>
      <c r="F15" s="301"/>
      <c r="G15" s="301" t="str">
        <f>"J"&amp;G14&amp;H14&amp;"CUY"</f>
        <v>J0212CUY</v>
      </c>
      <c r="H15" s="301"/>
    </row>
    <row r="16" spans="1:8" ht="12.75">
      <c r="A16" s="301"/>
      <c r="B16" s="304" t="str">
        <f>"\\rugor\files\Transporte\transporte\AA PROCESO AUT\INTERCAMBIO\"&amp;H14&amp;G14</f>
        <v>\\rugor\files\Transporte\transporte\AA PROCESO AUT\INTERCAMBIO\1202</v>
      </c>
      <c r="C16" s="301"/>
      <c r="D16" s="301"/>
      <c r="E16" s="301"/>
      <c r="F16" s="301"/>
      <c r="G16" s="301"/>
      <c r="H16" s="301"/>
    </row>
    <row r="17" spans="1:29" s="305" customFormat="1" ht="12.75">
      <c r="A17" s="296" t="s">
        <v>80</v>
      </c>
      <c r="B17" s="296" t="s">
        <v>81</v>
      </c>
      <c r="C17" s="296" t="s">
        <v>82</v>
      </c>
      <c r="D17" s="296" t="s">
        <v>83</v>
      </c>
      <c r="E17" s="296" t="s">
        <v>84</v>
      </c>
      <c r="F17" s="296" t="s">
        <v>85</v>
      </c>
      <c r="G17" s="296" t="s">
        <v>113</v>
      </c>
      <c r="H17" s="296" t="s">
        <v>86</v>
      </c>
      <c r="I17" s="296" t="s">
        <v>87</v>
      </c>
      <c r="J17" s="296" t="s">
        <v>88</v>
      </c>
      <c r="K17" s="296" t="s">
        <v>89</v>
      </c>
      <c r="L17" s="296" t="s">
        <v>90</v>
      </c>
      <c r="M17" s="296" t="s">
        <v>91</v>
      </c>
      <c r="N17" s="296" t="s">
        <v>92</v>
      </c>
      <c r="O17" s="296" t="s">
        <v>93</v>
      </c>
      <c r="P17" s="296" t="s">
        <v>94</v>
      </c>
      <c r="Q17" s="296" t="s">
        <v>95</v>
      </c>
      <c r="R17" s="296" t="s">
        <v>96</v>
      </c>
      <c r="S17" s="296" t="s">
        <v>97</v>
      </c>
      <c r="T17" s="296" t="s">
        <v>98</v>
      </c>
      <c r="U17" s="296" t="s">
        <v>99</v>
      </c>
      <c r="V17" s="296" t="s">
        <v>100</v>
      </c>
      <c r="W17" s="296" t="s">
        <v>101</v>
      </c>
      <c r="X17" s="296" t="s">
        <v>102</v>
      </c>
      <c r="Y17" s="296" t="s">
        <v>103</v>
      </c>
      <c r="Z17" s="296" t="s">
        <v>104</v>
      </c>
      <c r="AA17" s="296" t="s">
        <v>105</v>
      </c>
      <c r="AB17" s="296" t="s">
        <v>106</v>
      </c>
      <c r="AC17" s="296" t="s">
        <v>107</v>
      </c>
    </row>
    <row r="18" spans="1:29" ht="12.75">
      <c r="A18" s="306" t="s">
        <v>108</v>
      </c>
      <c r="B18" s="306">
        <v>21</v>
      </c>
      <c r="C18" s="306">
        <v>19</v>
      </c>
      <c r="D18" s="306">
        <v>12</v>
      </c>
      <c r="E18" s="306" t="str">
        <f>"LI-"&amp;$G$14</f>
        <v>LI-02</v>
      </c>
      <c r="F18" s="306" t="s">
        <v>114</v>
      </c>
      <c r="G18" s="306">
        <v>3</v>
      </c>
      <c r="H18" s="307">
        <v>5</v>
      </c>
      <c r="I18" s="307">
        <v>4</v>
      </c>
      <c r="J18" s="306">
        <v>6</v>
      </c>
      <c r="K18" s="306">
        <v>7</v>
      </c>
      <c r="L18" s="306">
        <v>8</v>
      </c>
      <c r="M18" s="306">
        <v>0</v>
      </c>
      <c r="N18" s="306">
        <v>10</v>
      </c>
      <c r="O18" s="306">
        <v>11</v>
      </c>
      <c r="P18" s="306">
        <v>14</v>
      </c>
      <c r="Q18" s="306">
        <v>26</v>
      </c>
      <c r="R18" s="306">
        <v>0</v>
      </c>
      <c r="S18" s="306">
        <v>15</v>
      </c>
      <c r="T18" s="306">
        <v>0</v>
      </c>
      <c r="U18" s="306">
        <v>0</v>
      </c>
      <c r="V18" s="306">
        <v>0</v>
      </c>
      <c r="W18" s="306">
        <v>18</v>
      </c>
      <c r="X18" s="306">
        <v>9</v>
      </c>
      <c r="Y18" s="306">
        <v>42</v>
      </c>
      <c r="Z18" s="306">
        <v>27</v>
      </c>
      <c r="AA18" s="306">
        <v>19</v>
      </c>
      <c r="AB18" s="306">
        <v>27</v>
      </c>
      <c r="AC18" s="306">
        <v>14</v>
      </c>
    </row>
    <row r="19" spans="1:29" ht="12.75">
      <c r="A19" s="308" t="s">
        <v>109</v>
      </c>
      <c r="B19" s="308">
        <v>22</v>
      </c>
      <c r="C19" s="308">
        <v>19</v>
      </c>
      <c r="D19" s="308">
        <v>13</v>
      </c>
      <c r="E19" s="308" t="str">
        <f>"T-"&amp;$G$14</f>
        <v>T-02</v>
      </c>
      <c r="F19" s="308" t="s">
        <v>115</v>
      </c>
      <c r="G19" s="306">
        <v>3</v>
      </c>
      <c r="H19" s="307">
        <v>5</v>
      </c>
      <c r="I19" s="307">
        <v>4</v>
      </c>
      <c r="J19" s="308">
        <v>6</v>
      </c>
      <c r="K19" s="308">
        <v>7</v>
      </c>
      <c r="L19" s="308">
        <v>8</v>
      </c>
      <c r="M19" s="308">
        <v>9</v>
      </c>
      <c r="N19" s="308">
        <v>11</v>
      </c>
      <c r="O19" s="308">
        <v>12</v>
      </c>
      <c r="P19" s="308">
        <v>15</v>
      </c>
      <c r="Q19" s="308">
        <v>16</v>
      </c>
      <c r="R19" s="308">
        <v>18</v>
      </c>
      <c r="S19" s="308">
        <v>28</v>
      </c>
      <c r="T19" s="308">
        <v>17</v>
      </c>
      <c r="U19" s="308">
        <v>0</v>
      </c>
      <c r="V19" s="308">
        <v>0</v>
      </c>
      <c r="W19" s="308">
        <v>22</v>
      </c>
      <c r="X19" s="306">
        <v>9</v>
      </c>
      <c r="Y19" s="308">
        <v>43</v>
      </c>
      <c r="Z19" s="308">
        <v>29</v>
      </c>
      <c r="AA19" s="308">
        <v>20</v>
      </c>
      <c r="AB19" s="308">
        <v>29</v>
      </c>
      <c r="AC19" s="308">
        <v>15</v>
      </c>
    </row>
    <row r="20" spans="1:29" ht="12.75">
      <c r="A20" s="306" t="s">
        <v>110</v>
      </c>
      <c r="B20" s="306">
        <v>22</v>
      </c>
      <c r="C20" s="306">
        <v>19</v>
      </c>
      <c r="D20" s="306">
        <v>10</v>
      </c>
      <c r="E20" s="306" t="str">
        <f>"SA-"&amp;$G$14</f>
        <v>SA-02</v>
      </c>
      <c r="F20" s="306" t="s">
        <v>116</v>
      </c>
      <c r="G20" s="306">
        <v>3</v>
      </c>
      <c r="H20" s="307">
        <v>5</v>
      </c>
      <c r="I20" s="307">
        <v>4</v>
      </c>
      <c r="J20" s="306">
        <v>6</v>
      </c>
      <c r="K20" s="306">
        <v>7</v>
      </c>
      <c r="L20" s="306">
        <v>8</v>
      </c>
      <c r="M20" s="306">
        <v>10</v>
      </c>
      <c r="N20" s="306">
        <v>11</v>
      </c>
      <c r="O20" s="306">
        <v>14</v>
      </c>
      <c r="P20" s="306">
        <v>15</v>
      </c>
      <c r="Q20" s="306">
        <v>21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24</v>
      </c>
      <c r="X20" s="306">
        <v>9</v>
      </c>
      <c r="Y20" s="306">
        <v>43</v>
      </c>
      <c r="Z20" s="306">
        <v>22</v>
      </c>
      <c r="AA20" s="306">
        <v>20</v>
      </c>
      <c r="AB20" s="306">
        <v>22</v>
      </c>
      <c r="AC20" s="306">
        <v>14</v>
      </c>
    </row>
    <row r="21" spans="1:29" s="305" customFormat="1" ht="12.75">
      <c r="A21" s="309" t="s">
        <v>111</v>
      </c>
      <c r="B21" s="309">
        <v>19</v>
      </c>
      <c r="C21" s="309">
        <v>24</v>
      </c>
      <c r="D21" s="310">
        <v>4</v>
      </c>
      <c r="E21" s="309" t="str">
        <f>"CAUSAS-VST-"&amp;$G$14</f>
        <v>CAUSAS-VST-02</v>
      </c>
      <c r="F21" s="309" t="s">
        <v>112</v>
      </c>
      <c r="G21" s="309">
        <v>3</v>
      </c>
      <c r="H21" s="309">
        <v>4</v>
      </c>
      <c r="I21" s="309">
        <v>5</v>
      </c>
      <c r="J21" s="309">
        <v>6</v>
      </c>
      <c r="K21" s="309">
        <v>7</v>
      </c>
      <c r="L21" s="309">
        <v>0</v>
      </c>
      <c r="M21" s="309">
        <v>0</v>
      </c>
      <c r="N21" s="309">
        <v>0</v>
      </c>
      <c r="O21" s="309">
        <v>0</v>
      </c>
      <c r="P21" s="309">
        <v>0</v>
      </c>
      <c r="Q21" s="309">
        <v>0</v>
      </c>
      <c r="R21" s="309">
        <v>0</v>
      </c>
      <c r="S21" s="309">
        <v>0</v>
      </c>
      <c r="T21" s="309">
        <v>0</v>
      </c>
      <c r="U21" s="309">
        <v>0</v>
      </c>
      <c r="V21" s="309">
        <v>0</v>
      </c>
      <c r="W21" s="309">
        <v>999</v>
      </c>
      <c r="X21" s="309">
        <v>999</v>
      </c>
      <c r="Y21" s="309">
        <v>0</v>
      </c>
      <c r="Z21" s="309">
        <v>0</v>
      </c>
      <c r="AA21" s="309">
        <v>0</v>
      </c>
      <c r="AB21" s="309">
        <v>0</v>
      </c>
      <c r="AC21" s="309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goyola</cp:lastModifiedBy>
  <cp:lastPrinted>2013-07-10T14:36:58Z</cp:lastPrinted>
  <dcterms:created xsi:type="dcterms:W3CDTF">1998-09-02T21:31:22Z</dcterms:created>
  <dcterms:modified xsi:type="dcterms:W3CDTF">2013-11-20T14:48:28Z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