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1211" sheetId="1" r:id="rId1"/>
    <sheet name="LI-12 (1)" sheetId="2" r:id="rId2"/>
    <sheet name="T-12 (1)" sheetId="3" r:id="rId3"/>
    <sheet name="SA-12 (1)" sheetId="4" r:id="rId4"/>
    <sheet name="TASA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4">'TASA FALLA'!$A$1:$T$43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>[0]!x</definedName>
    <definedName name="XX">[0]!XX</definedName>
    <definedName name="Z_CED65634_EC76_48B7_BCDE_CE4F22E2E6C4_.wvu.PrintArea" localSheetId="4" hidden="1">'TASA FALLA'!$A$1:$T$43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<sst xmlns="http://schemas.openxmlformats.org/spreadsheetml/2006/main" count="271" uniqueCount="176">
  <si>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</si>
  <si>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</si>
  <si>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</si>
  <si>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</si>
  <si>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</si>
  <si>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</si>
  <si>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</si>
  <si>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</si>
  <si>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</si>
  <si>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</si>
  <si>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</si>
  <si>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</si>
  <si>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</si>
  <si>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</si>
  <si>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</si>
  <si>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</si>
  <si>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</si>
  <si>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</si>
  <si>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</si>
  <si>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</si>
  <si>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</si>
  <si>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</si>
  <si>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</si>
  <si>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</si>
  <si>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</si>
  <si>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</si>
  <si>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</si>
  <si>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</si>
  <si>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</si>
  <si>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</si>
  <si>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</si>
  <si>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</si>
  <si>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</si>
  <si>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</si>
  <si>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</si>
  <si>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</si>
  <si>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</si>
  <si>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</si>
  <si>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</si>
  <si>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</si>
  <si>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</si>
  <si>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</si>
  <si>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</si>
  <si>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</si>
  <si>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</si>
  <si>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</si>
  <si>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</si>
  <si>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</si>
  <si>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</si>
  <si>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</si>
  <si>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</si>
  <si>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</si>
  <si>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</si>
  <si>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</si>
  <si>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</si>
  <si>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</si>
  <si>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</si>
  <si>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</si>
  <si>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</si>
  <si>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</si>
  <si>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</si>
  <si>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</si>
  <si>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</si>
  <si>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</si>
  <si>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</si>
  <si>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</si>
  <si>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</si>
  <si>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</si>
  <si>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</si>
  <si>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</si>
  <si>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</si>
  <si>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</si>
  <si>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</si>
  <si>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</si>
  <si>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</si>
  <si>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</si>
  <si>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</si>
  <si>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</si>
  <si>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</si>
  <si>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</si>
  <si>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</si>
  <si>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</si>
  <si>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</si>
  <si>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</si>
  <si>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</si>
  <si>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</si>
  <si>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</si>
  <si>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</si>
  <si>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</si>
  <si>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</si>
  <si>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</si>
  <si>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</si>
  <si>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</si>
  <si>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</si>
  <si>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</si>
  <si>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</si>
  <si>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</si>
  <si>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</si>
  <si>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</si>
  <si>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</si>
  <si>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</si>
  <si>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</si>
  <si>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</si>
  <si>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</si>
  <si>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</si>
  <si>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</si>
  <si>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</si>
  <si>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</si>
  <si>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</si>
  <si>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</si>
  <si>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</si>
  <si>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</si>
  <si>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</si>
  <si>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</si>
  <si>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</si>
  <si>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</si>
  <si>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</si>
  <si>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</si>
  <si>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</si>
  <si>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</si>
  <si>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</si>
  <si>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</si>
  <si>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</si>
  <si>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</si>
  <si>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</si>
  <si>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</si>
  <si>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</si>
  <si>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</si>
  <si>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</si>
  <si>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diciembre de 2011</t>
  </si>
  <si>
    <t>AGUA DEL TORO - CRUZ DE PIEDRA</t>
  </si>
  <si>
    <t>P</t>
  </si>
  <si>
    <t>0,000</t>
  </si>
  <si>
    <t>AGUA DEL TORO - LOS REYUNOS</t>
  </si>
  <si>
    <t>F</t>
  </si>
  <si>
    <t>LOS REYUNOS - GRAN MENDOZA</t>
  </si>
  <si>
    <t>LUJAN DE CUYO</t>
  </si>
  <si>
    <t>TRAFO 18</t>
  </si>
  <si>
    <t>132/13,2</t>
  </si>
  <si>
    <t>SI</t>
  </si>
  <si>
    <t>SAN JUAN</t>
  </si>
  <si>
    <t>132/33/13,2</t>
  </si>
  <si>
    <t>R</t>
  </si>
  <si>
    <t>ALIMENT. 4 DESTILERIA</t>
  </si>
  <si>
    <t>MONTE CASEROS</t>
  </si>
  <si>
    <t>LINEA JUNIN Y EL MARCADO</t>
  </si>
  <si>
    <t>LINEA C.H. QUEBRADA DE ULLUM</t>
  </si>
  <si>
    <t>DISTRIB. CERECETTO</t>
  </si>
  <si>
    <t>DISTRIB. IGNACIO DE LA ROSA</t>
  </si>
  <si>
    <t>DISTRIB. REP. DEL LIBANO</t>
  </si>
  <si>
    <t>DISTRIB. DR. ORTEGA</t>
  </si>
  <si>
    <t>TRAFO 1</t>
  </si>
  <si>
    <t>TRAFO 5</t>
  </si>
  <si>
    <t>CRUZ DE PIEDRA</t>
  </si>
  <si>
    <t>TRAFO 2</t>
  </si>
  <si>
    <t>TRAFO3</t>
  </si>
  <si>
    <t>132/66/13,2</t>
  </si>
  <si>
    <t>SAN JUAN - CAÑADA HONDA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</si>
  <si>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</si>
  <si>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</si>
  <si>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  ; R - REDUCCIÓN FORZADA</t>
  </si>
  <si>
    <t>(²)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</si>
  <si>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</si>
  <si>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</si>
  <si>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</si>
  <si>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</si>
  <si>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</si>
  <si>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</si>
  <si>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</si>
  <si>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AÑO/ 100 km</t>
  </si>
  <si>
    <t>Valores remuneratorios según Res. ENRE 329/08 y Res. ENRE 656/08</t>
  </si>
  <si>
    <t>TOTAL DE PENALIZACIONES A APLICAR</t>
  </si>
  <si>
    <t>Tasa de falla Correspondiente al mes de diciembre de 2011</t>
  </si>
  <si>
    <t xml:space="preserve">(Dec. PEN Nº 1464/05) </t>
  </si>
  <si>
    <t>Convenio de Renovación del Acuerdo Instrumental del Acta Acuerdo UNIREN - DISTROCUYO S.A."</t>
  </si>
  <si>
    <t>ANEXO I al Memorándum  D.T.E.E.  N°    716 / 2013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</si>
</sst>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\a\.m\./\p\.m\."/>
  </numFmts>
  <fonts count="11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1" fillId="29" borderId="1" applyNumberFormat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0" fillId="0" borderId="8" applyNumberFormat="0" applyFill="0" applyAlignment="0" applyProtection="0"/>
    <xf numFmtId="0" fontId="110" fillId="0" borderId="9" applyNumberFormat="0" applyFill="0" applyAlignment="0" applyProtection="0"/>
  </cellStyleXfs>
  <cellXfs count="511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0" xfId="54" applyNumberFormat="1" applyFont="1" applyBorder="1" applyAlignment="1" applyProtection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4" xfId="54" applyFont="1" applyBorder="1" applyAlignment="1">
      <alignment horizontal="centerContinuous"/>
      <protection/>
    </xf>
    <xf numFmtId="0" fontId="13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7" xfId="54" applyFont="1" applyBorder="1">
      <alignment/>
      <protection/>
    </xf>
    <xf numFmtId="0" fontId="17" fillId="0" borderId="18" xfId="54" applyNumberFormat="1" applyFont="1" applyBorder="1">
      <alignment/>
      <protection/>
    </xf>
    <xf numFmtId="0" fontId="17" fillId="0" borderId="18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2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4" fillId="0" borderId="0" xfId="54" applyFont="1" applyBorder="1" applyAlignment="1" applyProtection="1">
      <alignment horizontal="centerContinuous"/>
      <protection/>
    </xf>
    <xf numFmtId="0" fontId="6" fillId="0" borderId="10" xfId="54" applyFont="1" applyBorder="1">
      <alignment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23" fillId="0" borderId="0" xfId="54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3" fillId="0" borderId="0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0" xfId="54" applyFont="1" applyBorder="1" applyAlignment="1" applyProtection="1">
      <alignment horizontal="centerContinuous"/>
      <protection/>
    </xf>
    <xf numFmtId="0" fontId="20" fillId="0" borderId="14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3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6" fontId="1" fillId="0" borderId="15" xfId="54" applyNumberFormat="1" applyFont="1" applyBorder="1" applyAlignment="1">
      <alignment horizontal="centerContinuous"/>
      <protection/>
    </xf>
    <xf numFmtId="0" fontId="3" fillId="0" borderId="16" xfId="54" applyFont="1" applyBorder="1" applyAlignment="1" applyProtection="1">
      <alignment horizontal="centerContinuous"/>
      <protection/>
    </xf>
    <xf numFmtId="171" fontId="6" fillId="0" borderId="16" xfId="54" applyNumberFormat="1" applyFont="1" applyBorder="1" applyAlignment="1">
      <alignment horizontal="centerContinuous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Alignment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9" fillId="35" borderId="20" xfId="54" applyFont="1" applyFill="1" applyBorder="1" applyAlignment="1">
      <alignment horizontal="center" vertical="center" wrapText="1"/>
      <protection/>
    </xf>
    <xf numFmtId="0" fontId="30" fillId="33" borderId="15" xfId="54" applyFont="1" applyFill="1" applyBorder="1" applyAlignment="1" applyProtection="1">
      <alignment horizontal="centerContinuous" vertical="center" wrapText="1"/>
      <protection/>
    </xf>
    <xf numFmtId="0" fontId="7" fillId="33" borderId="21" xfId="54" applyFont="1" applyFill="1" applyBorder="1" applyAlignment="1">
      <alignment horizontal="centerContinuous"/>
      <protection/>
    </xf>
    <xf numFmtId="0" fontId="30" fillId="33" borderId="16" xfId="54" applyFont="1" applyFill="1" applyBorder="1" applyAlignment="1">
      <alignment horizontal="centerContinuous" vertical="center"/>
      <protection/>
    </xf>
    <xf numFmtId="0" fontId="28" fillId="36" borderId="15" xfId="54" applyFont="1" applyFill="1" applyBorder="1" applyAlignment="1" applyProtection="1">
      <alignment horizontal="centerContinuous" vertical="center" wrapText="1"/>
      <protection/>
    </xf>
    <xf numFmtId="0" fontId="28" fillId="36" borderId="21" xfId="54" applyFont="1" applyFill="1" applyBorder="1" applyAlignment="1">
      <alignment horizontal="centerContinuous" vertical="center"/>
      <protection/>
    </xf>
    <xf numFmtId="0" fontId="28" fillId="36" borderId="16" xfId="54" applyFont="1" applyFill="1" applyBorder="1" applyAlignment="1">
      <alignment horizontal="centerContinuous" vertical="center"/>
      <protection/>
    </xf>
    <xf numFmtId="0" fontId="31" fillId="37" borderId="20" xfId="54" applyFont="1" applyFill="1" applyBorder="1" applyAlignment="1">
      <alignment horizontal="center" vertical="center" wrapText="1"/>
      <protection/>
    </xf>
    <xf numFmtId="0" fontId="32" fillId="38" borderId="20" xfId="54" applyFont="1" applyFill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22" xfId="54" applyFont="1" applyBorder="1" applyProtection="1">
      <alignment/>
      <protection locked="0"/>
    </xf>
    <xf numFmtId="0" fontId="6" fillId="0" borderId="22" xfId="54" applyFont="1" applyBorder="1" applyAlignment="1" applyProtection="1">
      <alignment horizontal="center"/>
      <protection locked="0"/>
    </xf>
    <xf numFmtId="0" fontId="33" fillId="33" borderId="22" xfId="54" applyFont="1" applyFill="1" applyBorder="1" applyProtection="1">
      <alignment/>
      <protection locked="0"/>
    </xf>
    <xf numFmtId="0" fontId="6" fillId="0" borderId="22" xfId="54" applyFont="1" applyBorder="1" applyAlignment="1">
      <alignment horizontal="center"/>
      <protection/>
    </xf>
    <xf numFmtId="0" fontId="34" fillId="34" borderId="22" xfId="54" applyFont="1" applyFill="1" applyBorder="1" applyProtection="1">
      <alignment/>
      <protection locked="0"/>
    </xf>
    <xf numFmtId="0" fontId="35" fillId="35" borderId="22" xfId="54" applyFont="1" applyFill="1" applyBorder="1" applyProtection="1">
      <alignment/>
      <protection locked="0"/>
    </xf>
    <xf numFmtId="0" fontId="36" fillId="33" borderId="22" xfId="54" applyFont="1" applyFill="1" applyBorder="1" applyAlignment="1" applyProtection="1">
      <alignment horizontal="center"/>
      <protection locked="0"/>
    </xf>
    <xf numFmtId="0" fontId="36" fillId="33" borderId="22" xfId="54" applyFont="1" applyFill="1" applyBorder="1" applyProtection="1">
      <alignment/>
      <protection locked="0"/>
    </xf>
    <xf numFmtId="0" fontId="34" fillId="36" borderId="22" xfId="54" applyFont="1" applyFill="1" applyBorder="1" applyProtection="1">
      <alignment/>
      <protection locked="0"/>
    </xf>
    <xf numFmtId="0" fontId="37" fillId="37" borderId="22" xfId="54" applyFont="1" applyFill="1" applyBorder="1" applyProtection="1">
      <alignment/>
      <protection locked="0"/>
    </xf>
    <xf numFmtId="0" fontId="38" fillId="38" borderId="22" xfId="54" applyFont="1" applyFill="1" applyBorder="1" applyProtection="1">
      <alignment/>
      <protection locked="0"/>
    </xf>
    <xf numFmtId="0" fontId="39" fillId="0" borderId="22" xfId="54" applyFont="1" applyBorder="1" applyAlignment="1">
      <alignment horizontal="center"/>
      <protection/>
    </xf>
    <xf numFmtId="0" fontId="6" fillId="0" borderId="23" xfId="54" applyFont="1" applyBorder="1" applyProtection="1">
      <alignment/>
      <protection locked="0"/>
    </xf>
    <xf numFmtId="0" fontId="6" fillId="0" borderId="24" xfId="54" applyFont="1" applyBorder="1" applyAlignment="1" applyProtection="1">
      <alignment horizontal="center"/>
      <protection locked="0"/>
    </xf>
    <xf numFmtId="0" fontId="33" fillId="33" borderId="23" xfId="54" applyFont="1" applyFill="1" applyBorder="1" applyProtection="1">
      <alignment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6" fillId="0" borderId="23" xfId="54" applyFont="1" applyBorder="1" applyAlignment="1">
      <alignment horizontal="center"/>
      <protection/>
    </xf>
    <xf numFmtId="0" fontId="34" fillId="34" borderId="23" xfId="54" applyFont="1" applyFill="1" applyBorder="1" applyProtection="1">
      <alignment/>
      <protection locked="0"/>
    </xf>
    <xf numFmtId="0" fontId="35" fillId="35" borderId="23" xfId="54" applyFont="1" applyFill="1" applyBorder="1" applyProtection="1">
      <alignment/>
      <protection locked="0"/>
    </xf>
    <xf numFmtId="0" fontId="36" fillId="33" borderId="23" xfId="54" applyFont="1" applyFill="1" applyBorder="1" applyAlignment="1" applyProtection="1">
      <alignment horizontal="center"/>
      <protection locked="0"/>
    </xf>
    <xf numFmtId="0" fontId="36" fillId="33" borderId="23" xfId="54" applyFont="1" applyFill="1" applyBorder="1" applyProtection="1">
      <alignment/>
      <protection locked="0"/>
    </xf>
    <xf numFmtId="0" fontId="34" fillId="36" borderId="23" xfId="54" applyFont="1" applyFill="1" applyBorder="1" applyProtection="1">
      <alignment/>
      <protection locked="0"/>
    </xf>
    <xf numFmtId="0" fontId="37" fillId="37" borderId="23" xfId="54" applyFont="1" applyFill="1" applyBorder="1" applyProtection="1">
      <alignment/>
      <protection locked="0"/>
    </xf>
    <xf numFmtId="0" fontId="38" fillId="38" borderId="23" xfId="54" applyFont="1" applyFill="1" applyBorder="1" applyProtection="1">
      <alignment/>
      <protection locked="0"/>
    </xf>
    <xf numFmtId="0" fontId="39" fillId="0" borderId="23" xfId="54" applyFont="1" applyBorder="1" applyAlignment="1">
      <alignment horizontal="center"/>
      <protection/>
    </xf>
    <xf numFmtId="2" fontId="6" fillId="0" borderId="24" xfId="54" applyNumberFormat="1" applyFont="1" applyBorder="1" applyAlignment="1" applyProtection="1">
      <alignment horizontal="center"/>
      <protection locked="0"/>
    </xf>
    <xf numFmtId="172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Border="1" applyAlignment="1" applyProtection="1">
      <alignment horizontal="center"/>
      <protection locked="0"/>
    </xf>
    <xf numFmtId="2" fontId="6" fillId="0" borderId="23" xfId="54" applyNumberFormat="1" applyFont="1" applyBorder="1" applyAlignment="1" applyProtection="1">
      <alignment horizontal="center"/>
      <protection/>
    </xf>
    <xf numFmtId="1" fontId="6" fillId="0" borderId="23" xfId="54" applyNumberFormat="1" applyFont="1" applyBorder="1" applyAlignment="1" applyProtection="1">
      <alignment horizontal="center"/>
      <protection/>
    </xf>
    <xf numFmtId="172" fontId="6" fillId="0" borderId="23" xfId="54" applyNumberFormat="1" applyFont="1" applyBorder="1" applyAlignment="1" applyProtection="1">
      <alignment horizontal="center"/>
      <protection locked="0"/>
    </xf>
    <xf numFmtId="172" fontId="6" fillId="0" borderId="23" xfId="54" applyNumberFormat="1" applyFont="1" applyBorder="1" applyAlignment="1" applyProtection="1" quotePrefix="1">
      <alignment horizontal="center"/>
      <protection locked="0"/>
    </xf>
    <xf numFmtId="2" fontId="34" fillId="34" borderId="23" xfId="54" applyNumberFormat="1" applyFont="1" applyFill="1" applyBorder="1" applyAlignment="1" applyProtection="1">
      <alignment horizontal="center"/>
      <protection locked="0"/>
    </xf>
    <xf numFmtId="2" fontId="35" fillId="35" borderId="23" xfId="54" applyNumberFormat="1" applyFont="1" applyFill="1" applyBorder="1" applyAlignment="1" applyProtection="1">
      <alignment horizontal="center"/>
      <protection locked="0"/>
    </xf>
    <xf numFmtId="172" fontId="36" fillId="33" borderId="23" xfId="54" applyNumberFormat="1" applyFont="1" applyFill="1" applyBorder="1" applyAlignment="1" applyProtection="1" quotePrefix="1">
      <alignment horizontal="center"/>
      <protection locked="0"/>
    </xf>
    <xf numFmtId="4" fontId="36" fillId="33" borderId="23" xfId="54" applyNumberFormat="1" applyFont="1" applyFill="1" applyBorder="1" applyAlignment="1" applyProtection="1">
      <alignment horizontal="center"/>
      <protection locked="0"/>
    </xf>
    <xf numFmtId="172" fontId="34" fillId="36" borderId="23" xfId="54" applyNumberFormat="1" applyFont="1" applyFill="1" applyBorder="1" applyAlignment="1" applyProtection="1" quotePrefix="1">
      <alignment horizontal="center"/>
      <protection locked="0"/>
    </xf>
    <xf numFmtId="4" fontId="34" fillId="36" borderId="23" xfId="54" applyNumberFormat="1" applyFont="1" applyFill="1" applyBorder="1" applyAlignment="1" applyProtection="1">
      <alignment horizontal="center"/>
      <protection locked="0"/>
    </xf>
    <xf numFmtId="4" fontId="37" fillId="37" borderId="23" xfId="54" applyNumberFormat="1" applyFont="1" applyFill="1" applyBorder="1" applyAlignment="1" applyProtection="1">
      <alignment horizontal="center"/>
      <protection locked="0"/>
    </xf>
    <xf numFmtId="4" fontId="38" fillId="38" borderId="23" xfId="54" applyNumberFormat="1" applyFont="1" applyFill="1" applyBorder="1" applyAlignment="1" applyProtection="1">
      <alignment horizontal="center"/>
      <protection locked="0"/>
    </xf>
    <xf numFmtId="4" fontId="6" fillId="0" borderId="23" xfId="54" applyNumberFormat="1" applyFont="1" applyBorder="1" applyAlignment="1" applyProtection="1">
      <alignment horizontal="center"/>
      <protection locked="0"/>
    </xf>
    <xf numFmtId="4" fontId="39" fillId="0" borderId="23" xfId="54" applyNumberFormat="1" applyFont="1" applyBorder="1" applyAlignment="1">
      <alignment horizontal="right"/>
      <protection/>
    </xf>
    <xf numFmtId="2" fontId="6" fillId="0" borderId="14" xfId="54" applyNumberFormat="1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25" xfId="54" applyFont="1" applyBorder="1" applyAlignment="1" applyProtection="1">
      <alignment horizontal="center"/>
      <protection locked="0"/>
    </xf>
    <xf numFmtId="0" fontId="6" fillId="0" borderId="26" xfId="54" applyFont="1" applyBorder="1" applyAlignment="1" applyProtection="1">
      <alignment horizontal="center"/>
      <protection/>
    </xf>
    <xf numFmtId="2" fontId="6" fillId="0" borderId="26" xfId="54" applyNumberFormat="1" applyFont="1" applyBorder="1" applyAlignment="1" applyProtection="1">
      <alignment horizontal="center"/>
      <protection/>
    </xf>
    <xf numFmtId="172" fontId="6" fillId="0" borderId="25" xfId="54" applyNumberFormat="1" applyFont="1" applyBorder="1" applyAlignment="1" applyProtection="1">
      <alignment horizontal="center"/>
      <protection/>
    </xf>
    <xf numFmtId="172" fontId="33" fillId="33" borderId="25" xfId="54" applyNumberFormat="1" applyFont="1" applyFill="1" applyBorder="1" applyAlignment="1" applyProtection="1">
      <alignment horizontal="center"/>
      <protection/>
    </xf>
    <xf numFmtId="22" fontId="6" fillId="0" borderId="25" xfId="54" applyNumberFormat="1" applyFont="1" applyBorder="1" applyAlignment="1">
      <alignment horizontal="center"/>
      <protection/>
    </xf>
    <xf numFmtId="172" fontId="34" fillId="34" borderId="25" xfId="54" applyNumberFormat="1" applyFont="1" applyFill="1" applyBorder="1" applyAlignment="1" applyProtection="1" quotePrefix="1">
      <alignment horizontal="center"/>
      <protection/>
    </xf>
    <xf numFmtId="172" fontId="35" fillId="35" borderId="25" xfId="54" applyNumberFormat="1" applyFont="1" applyFill="1" applyBorder="1" applyAlignment="1" applyProtection="1" quotePrefix="1">
      <alignment horizontal="center"/>
      <protection/>
    </xf>
    <xf numFmtId="172" fontId="36" fillId="33" borderId="25" xfId="54" applyNumberFormat="1" applyFont="1" applyFill="1" applyBorder="1" applyAlignment="1" applyProtection="1" quotePrefix="1">
      <alignment horizontal="center"/>
      <protection/>
    </xf>
    <xf numFmtId="4" fontId="36" fillId="33" borderId="25" xfId="54" applyNumberFormat="1" applyFont="1" applyFill="1" applyBorder="1" applyAlignment="1">
      <alignment horizontal="center"/>
      <protection/>
    </xf>
    <xf numFmtId="4" fontId="34" fillId="36" borderId="25" xfId="54" applyNumberFormat="1" applyFont="1" applyFill="1" applyBorder="1" applyAlignment="1">
      <alignment horizontal="center"/>
      <protection/>
    </xf>
    <xf numFmtId="4" fontId="37" fillId="37" borderId="25" xfId="54" applyNumberFormat="1" applyFont="1" applyFill="1" applyBorder="1" applyAlignment="1">
      <alignment horizontal="center"/>
      <protection/>
    </xf>
    <xf numFmtId="4" fontId="38" fillId="38" borderId="25" xfId="54" applyNumberFormat="1" applyFont="1" applyFill="1" applyBorder="1" applyAlignment="1">
      <alignment horizontal="center"/>
      <protection/>
    </xf>
    <xf numFmtId="4" fontId="6" fillId="0" borderId="25" xfId="54" applyNumberFormat="1" applyFont="1" applyBorder="1" applyAlignment="1">
      <alignment horizontal="center"/>
      <protection/>
    </xf>
    <xf numFmtId="7" fontId="39" fillId="0" borderId="27" xfId="54" applyNumberFormat="1" applyFont="1" applyBorder="1" applyAlignment="1">
      <alignment horizontal="center"/>
      <protection/>
    </xf>
    <xf numFmtId="0" fontId="41" fillId="0" borderId="0" xfId="54" applyFont="1" applyBorder="1" applyAlignment="1" applyProtection="1">
      <alignment horizontal="left"/>
      <protection/>
    </xf>
    <xf numFmtId="172" fontId="6" fillId="0" borderId="0" xfId="54" applyNumberFormat="1" applyFont="1" applyBorder="1" applyAlignment="1" applyProtection="1">
      <alignment horizontal="center"/>
      <protection/>
    </xf>
    <xf numFmtId="172" fontId="6" fillId="0" borderId="0" xfId="54" applyNumberFormat="1" applyFont="1" applyBorder="1" applyAlignment="1" applyProtection="1" quotePrefix="1">
      <alignment horizontal="center"/>
      <protection/>
    </xf>
    <xf numFmtId="2" fontId="34" fillId="34" borderId="20" xfId="54" applyNumberFormat="1" applyFont="1" applyFill="1" applyBorder="1" applyAlignment="1">
      <alignment horizontal="center"/>
      <protection/>
    </xf>
    <xf numFmtId="2" fontId="35" fillId="35" borderId="20" xfId="54" applyNumberFormat="1" applyFont="1" applyFill="1" applyBorder="1" applyAlignment="1">
      <alignment horizontal="center"/>
      <protection/>
    </xf>
    <xf numFmtId="172" fontId="36" fillId="33" borderId="20" xfId="54" applyNumberFormat="1" applyFont="1" applyFill="1" applyBorder="1" applyAlignment="1" applyProtection="1" quotePrefix="1">
      <alignment horizontal="center"/>
      <protection/>
    </xf>
    <xf numFmtId="172" fontId="34" fillId="36" borderId="20" xfId="54" applyNumberFormat="1" applyFont="1" applyFill="1" applyBorder="1" applyAlignment="1" applyProtection="1" quotePrefix="1">
      <alignment horizontal="center"/>
      <protection/>
    </xf>
    <xf numFmtId="172" fontId="37" fillId="37" borderId="20" xfId="54" applyNumberFormat="1" applyFont="1" applyFill="1" applyBorder="1" applyAlignment="1" applyProtection="1" quotePrefix="1">
      <alignment horizontal="center"/>
      <protection/>
    </xf>
    <xf numFmtId="172" fontId="38" fillId="38" borderId="20" xfId="54" applyNumberFormat="1" applyFont="1" applyFill="1" applyBorder="1" applyAlignment="1" applyProtection="1" quotePrefix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8" fontId="2" fillId="0" borderId="20" xfId="54" applyNumberFormat="1" applyFont="1" applyBorder="1" applyAlignment="1" applyProtection="1">
      <alignment horizontal="right"/>
      <protection locked="0"/>
    </xf>
    <xf numFmtId="2" fontId="6" fillId="0" borderId="14" xfId="54" applyNumberFormat="1" applyFont="1" applyBorder="1" applyAlignment="1">
      <alignment horizontal="center"/>
      <protection/>
    </xf>
    <xf numFmtId="0" fontId="40" fillId="0" borderId="0" xfId="54" applyFont="1">
      <alignment/>
      <protection/>
    </xf>
    <xf numFmtId="0" fontId="40" fillId="0" borderId="13" xfId="54" applyFont="1" applyBorder="1">
      <alignment/>
      <protection/>
    </xf>
    <xf numFmtId="0" fontId="40" fillId="0" borderId="0" xfId="54" applyFont="1" applyBorder="1" applyAlignment="1">
      <alignment horizontal="center"/>
      <protection/>
    </xf>
    <xf numFmtId="0" fontId="41" fillId="0" borderId="0" xfId="54" applyFont="1" applyBorder="1" applyAlignment="1" applyProtection="1">
      <alignment horizontal="left" vertical="top"/>
      <protection/>
    </xf>
    <xf numFmtId="0" fontId="40" fillId="0" borderId="0" xfId="54" applyFont="1" applyBorder="1" applyAlignment="1" applyProtection="1">
      <alignment horizontal="center"/>
      <protection/>
    </xf>
    <xf numFmtId="2" fontId="40" fillId="0" borderId="0" xfId="54" applyNumberFormat="1" applyFont="1" applyBorder="1" applyAlignment="1" applyProtection="1">
      <alignment horizontal="center"/>
      <protection/>
    </xf>
    <xf numFmtId="172" fontId="40" fillId="0" borderId="0" xfId="54" applyNumberFormat="1" applyFont="1" applyBorder="1" applyAlignment="1" applyProtection="1">
      <alignment horizontal="center"/>
      <protection/>
    </xf>
    <xf numFmtId="172" fontId="40" fillId="0" borderId="0" xfId="54" applyNumberFormat="1" applyFont="1" applyBorder="1" applyAlignment="1" applyProtection="1" quotePrefix="1">
      <alignment horizontal="center"/>
      <protection/>
    </xf>
    <xf numFmtId="2" fontId="42" fillId="0" borderId="0" xfId="54" applyNumberFormat="1" applyFont="1" applyBorder="1" applyAlignment="1">
      <alignment horizontal="center"/>
      <protection/>
    </xf>
    <xf numFmtId="172" fontId="43" fillId="0" borderId="0" xfId="54" applyNumberFormat="1" applyFont="1" applyBorder="1" applyAlignment="1" applyProtection="1" quotePrefix="1">
      <alignment horizontal="center"/>
      <protection/>
    </xf>
    <xf numFmtId="4" fontId="43" fillId="0" borderId="0" xfId="54" applyNumberFormat="1" applyFont="1" applyBorder="1" applyAlignment="1">
      <alignment horizontal="center"/>
      <protection/>
    </xf>
    <xf numFmtId="8" fontId="44" fillId="0" borderId="0" xfId="54" applyNumberFormat="1" applyFont="1" applyBorder="1" applyAlignment="1" applyProtection="1">
      <alignment horizontal="right"/>
      <protection locked="0"/>
    </xf>
    <xf numFmtId="2" fontId="40" fillId="0" borderId="14" xfId="54" applyNumberFormat="1" applyFont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0" borderId="19" xfId="54" applyFont="1" applyBorder="1">
      <alignment/>
      <protection/>
    </xf>
    <xf numFmtId="0" fontId="1" fillId="0" borderId="0" xfId="54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23" fillId="0" borderId="13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4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3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4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28" xfId="54" applyFont="1" applyFill="1" applyBorder="1">
      <alignment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168" fontId="1" fillId="0" borderId="20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/>
      <protection/>
    </xf>
    <xf numFmtId="0" fontId="25" fillId="0" borderId="20" xfId="54" applyFont="1" applyFill="1" applyBorder="1" applyAlignment="1" applyProtection="1" quotePrefix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32" fillId="38" borderId="20" xfId="54" applyFont="1" applyFill="1" applyBorder="1" applyAlignment="1" applyProtection="1">
      <alignment horizontal="center" vertical="center"/>
      <protection/>
    </xf>
    <xf numFmtId="0" fontId="28" fillId="36" borderId="20" xfId="54" applyFont="1" applyFill="1" applyBorder="1" applyAlignment="1">
      <alignment horizontal="center" vertical="center" wrapText="1"/>
      <protection/>
    </xf>
    <xf numFmtId="0" fontId="45" fillId="39" borderId="20" xfId="54" applyFont="1" applyFill="1" applyBorder="1" applyAlignment="1">
      <alignment horizontal="center" vertical="center" wrapText="1"/>
      <protection/>
    </xf>
    <xf numFmtId="0" fontId="45" fillId="40" borderId="15" xfId="54" applyFont="1" applyFill="1" applyBorder="1" applyAlignment="1" applyProtection="1">
      <alignment horizontal="centerContinuous" vertical="center" wrapText="1"/>
      <protection/>
    </xf>
    <xf numFmtId="0" fontId="45" fillId="40" borderId="16" xfId="54" applyFont="1" applyFill="1" applyBorder="1" applyAlignment="1">
      <alignment horizontal="centerContinuous" vertical="center"/>
      <protection/>
    </xf>
    <xf numFmtId="0" fontId="46" fillId="41" borderId="15" xfId="54" applyFont="1" applyFill="1" applyBorder="1" applyAlignment="1" applyProtection="1">
      <alignment horizontal="centerContinuous" vertical="center" wrapText="1"/>
      <protection/>
    </xf>
    <xf numFmtId="0" fontId="46" fillId="41" borderId="16" xfId="54" applyFont="1" applyFill="1" applyBorder="1" applyAlignment="1">
      <alignment horizontal="centerContinuous" vertical="center"/>
      <protection/>
    </xf>
    <xf numFmtId="0" fontId="31" fillId="42" borderId="20" xfId="54" applyFont="1" applyFill="1" applyBorder="1" applyAlignment="1">
      <alignment horizontal="center" vertical="center" wrapText="1"/>
      <protection/>
    </xf>
    <xf numFmtId="0" fontId="45" fillId="43" borderId="20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/>
      <protection/>
    </xf>
    <xf numFmtId="0" fontId="6" fillId="0" borderId="29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Protection="1">
      <alignment/>
      <protection locked="0"/>
    </xf>
    <xf numFmtId="0" fontId="47" fillId="33" borderId="22" xfId="54" applyFont="1" applyFill="1" applyBorder="1" applyProtection="1">
      <alignment/>
      <protection locked="0"/>
    </xf>
    <xf numFmtId="0" fontId="6" fillId="0" borderId="22" xfId="54" applyFont="1" applyFill="1" applyBorder="1" applyAlignment="1">
      <alignment horizontal="center"/>
      <protection/>
    </xf>
    <xf numFmtId="0" fontId="48" fillId="39" borderId="22" xfId="54" applyFont="1" applyFill="1" applyBorder="1" applyProtection="1">
      <alignment/>
      <protection locked="0"/>
    </xf>
    <xf numFmtId="0" fontId="48" fillId="40" borderId="30" xfId="54" applyFont="1" applyFill="1" applyBorder="1" applyAlignment="1" applyProtection="1">
      <alignment horizontal="center"/>
      <protection locked="0"/>
    </xf>
    <xf numFmtId="0" fontId="48" fillId="40" borderId="31" xfId="54" applyFont="1" applyFill="1" applyBorder="1" applyProtection="1">
      <alignment/>
      <protection locked="0"/>
    </xf>
    <xf numFmtId="0" fontId="49" fillId="41" borderId="30" xfId="54" applyFont="1" applyFill="1" applyBorder="1" applyAlignment="1" applyProtection="1">
      <alignment horizontal="center"/>
      <protection locked="0"/>
    </xf>
    <xf numFmtId="0" fontId="49" fillId="41" borderId="31" xfId="54" applyFont="1" applyFill="1" applyBorder="1" applyProtection="1">
      <alignment/>
      <protection locked="0"/>
    </xf>
    <xf numFmtId="0" fontId="37" fillId="42" borderId="22" xfId="54" applyFont="1" applyFill="1" applyBorder="1" applyProtection="1">
      <alignment/>
      <protection locked="0"/>
    </xf>
    <xf numFmtId="0" fontId="48" fillId="43" borderId="22" xfId="54" applyFont="1" applyFill="1" applyBorder="1" applyProtection="1">
      <alignment/>
      <protection locked="0"/>
    </xf>
    <xf numFmtId="0" fontId="39" fillId="0" borderId="22" xfId="54" applyFont="1" applyFill="1" applyBorder="1" applyAlignment="1">
      <alignment horizontal="right"/>
      <protection/>
    </xf>
    <xf numFmtId="0" fontId="6" fillId="0" borderId="32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47" fillId="33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>
      <alignment horizontal="center"/>
      <protection/>
    </xf>
    <xf numFmtId="0" fontId="48" fillId="39" borderId="23" xfId="54" applyFont="1" applyFill="1" applyBorder="1" applyProtection="1">
      <alignment/>
      <protection locked="0"/>
    </xf>
    <xf numFmtId="0" fontId="48" fillId="40" borderId="33" xfId="54" applyFont="1" applyFill="1" applyBorder="1" applyAlignment="1" applyProtection="1">
      <alignment horizontal="center"/>
      <protection locked="0"/>
    </xf>
    <xf numFmtId="0" fontId="48" fillId="40" borderId="34" xfId="54" applyFont="1" applyFill="1" applyBorder="1" applyProtection="1">
      <alignment/>
      <protection locked="0"/>
    </xf>
    <xf numFmtId="0" fontId="49" fillId="41" borderId="33" xfId="54" applyFont="1" applyFill="1" applyBorder="1" applyAlignment="1" applyProtection="1">
      <alignment horizontal="center"/>
      <protection locked="0"/>
    </xf>
    <xf numFmtId="0" fontId="49" fillId="41" borderId="34" xfId="54" applyFont="1" applyFill="1" applyBorder="1" applyProtection="1">
      <alignment/>
      <protection locked="0"/>
    </xf>
    <xf numFmtId="0" fontId="37" fillId="42" borderId="23" xfId="54" applyFont="1" applyFill="1" applyBorder="1" applyProtection="1">
      <alignment/>
      <protection locked="0"/>
    </xf>
    <xf numFmtId="0" fontId="48" fillId="43" borderId="23" xfId="54" applyFont="1" applyFill="1" applyBorder="1" applyProtection="1">
      <alignment/>
      <protection locked="0"/>
    </xf>
    <xf numFmtId="0" fontId="39" fillId="0" borderId="34" xfId="54" applyFont="1" applyFill="1" applyBorder="1" applyAlignment="1">
      <alignment horizontal="right"/>
      <protection/>
    </xf>
    <xf numFmtId="169" fontId="6" fillId="0" borderId="24" xfId="54" applyNumberFormat="1" applyFont="1" applyBorder="1" applyAlignment="1" applyProtection="1" quotePrefix="1">
      <alignment horizontal="center"/>
      <protection locked="0"/>
    </xf>
    <xf numFmtId="2" fontId="6" fillId="0" borderId="24" xfId="54" applyNumberFormat="1" applyFont="1" applyBorder="1" applyAlignment="1" applyProtection="1" quotePrefix="1">
      <alignment horizontal="center"/>
      <protection locked="0"/>
    </xf>
    <xf numFmtId="172" fontId="47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Fill="1" applyBorder="1" applyAlignment="1" applyProtection="1">
      <alignment horizontal="center"/>
      <protection locked="0"/>
    </xf>
    <xf numFmtId="2" fontId="6" fillId="0" borderId="23" xfId="54" applyNumberFormat="1" applyFont="1" applyFill="1" applyBorder="1" applyAlignment="1" applyProtection="1">
      <alignment horizontal="center"/>
      <protection/>
    </xf>
    <xf numFmtId="3" fontId="6" fillId="0" borderId="23" xfId="54" applyNumberFormat="1" applyFont="1" applyFill="1" applyBorder="1" applyAlignment="1" applyProtection="1">
      <alignment horizontal="center"/>
      <protection/>
    </xf>
    <xf numFmtId="172" fontId="6" fillId="0" borderId="23" xfId="54" applyNumberFormat="1" applyFont="1" applyFill="1" applyBorder="1" applyAlignment="1" applyProtection="1">
      <alignment horizontal="center"/>
      <protection locked="0"/>
    </xf>
    <xf numFmtId="172" fontId="6" fillId="0" borderId="23" xfId="54" applyNumberFormat="1" applyFont="1" applyFill="1" applyBorder="1" applyAlignment="1" applyProtection="1" quotePrefix="1">
      <alignment horizontal="center"/>
      <protection locked="0"/>
    </xf>
    <xf numFmtId="2" fontId="34" fillId="36" borderId="23" xfId="54" applyNumberFormat="1" applyFont="1" applyFill="1" applyBorder="1" applyAlignment="1" applyProtection="1">
      <alignment horizontal="center"/>
      <protection locked="0"/>
    </xf>
    <xf numFmtId="2" fontId="48" fillId="39" borderId="23" xfId="54" applyNumberFormat="1" applyFont="1" applyFill="1" applyBorder="1" applyAlignment="1" applyProtection="1">
      <alignment horizontal="center"/>
      <protection locked="0"/>
    </xf>
    <xf numFmtId="172" fontId="48" fillId="40" borderId="33" xfId="54" applyNumberFormat="1" applyFont="1" applyFill="1" applyBorder="1" applyAlignment="1" applyProtection="1" quotePrefix="1">
      <alignment horizontal="center"/>
      <protection locked="0"/>
    </xf>
    <xf numFmtId="172" fontId="48" fillId="40" borderId="35" xfId="54" applyNumberFormat="1" applyFont="1" applyFill="1" applyBorder="1" applyAlignment="1" applyProtection="1" quotePrefix="1">
      <alignment horizontal="center"/>
      <protection locked="0"/>
    </xf>
    <xf numFmtId="172" fontId="49" fillId="41" borderId="33" xfId="54" applyNumberFormat="1" applyFont="1" applyFill="1" applyBorder="1" applyAlignment="1" applyProtection="1" quotePrefix="1">
      <alignment horizontal="center"/>
      <protection locked="0"/>
    </xf>
    <xf numFmtId="172" fontId="49" fillId="41" borderId="35" xfId="54" applyNumberFormat="1" applyFont="1" applyFill="1" applyBorder="1" applyAlignment="1" applyProtection="1" quotePrefix="1">
      <alignment horizontal="center"/>
      <protection locked="0"/>
    </xf>
    <xf numFmtId="172" fontId="37" fillId="42" borderId="23" xfId="54" applyNumberFormat="1" applyFont="1" applyFill="1" applyBorder="1" applyAlignment="1" applyProtection="1" quotePrefix="1">
      <alignment horizontal="center"/>
      <protection locked="0"/>
    </xf>
    <xf numFmtId="172" fontId="48" fillId="43" borderId="24" xfId="54" applyNumberFormat="1" applyFont="1" applyFill="1" applyBorder="1" applyAlignment="1" applyProtection="1" quotePrefix="1">
      <alignment horizontal="center"/>
      <protection locked="0"/>
    </xf>
    <xf numFmtId="172" fontId="39" fillId="0" borderId="34" xfId="54" applyNumberFormat="1" applyFont="1" applyFill="1" applyBorder="1" applyAlignment="1">
      <alignment horizontal="right"/>
      <protection/>
    </xf>
    <xf numFmtId="2" fontId="6" fillId="0" borderId="14" xfId="54" applyNumberFormat="1" applyFont="1" applyFill="1" applyBorder="1">
      <alignment/>
      <protection/>
    </xf>
    <xf numFmtId="0" fontId="6" fillId="0" borderId="25" xfId="54" applyFont="1" applyFill="1" applyBorder="1">
      <alignment/>
      <protection/>
    </xf>
    <xf numFmtId="0" fontId="47" fillId="33" borderId="25" xfId="54" applyFont="1" applyFill="1" applyBorder="1">
      <alignment/>
      <protection/>
    </xf>
    <xf numFmtId="0" fontId="38" fillId="38" borderId="25" xfId="54" applyFont="1" applyFill="1" applyBorder="1">
      <alignment/>
      <protection/>
    </xf>
    <xf numFmtId="0" fontId="34" fillId="36" borderId="25" xfId="54" applyFont="1" applyFill="1" applyBorder="1">
      <alignment/>
      <protection/>
    </xf>
    <xf numFmtId="0" fontId="48" fillId="39" borderId="25" xfId="54" applyFont="1" applyFill="1" applyBorder="1">
      <alignment/>
      <protection/>
    </xf>
    <xf numFmtId="0" fontId="48" fillId="40" borderId="36" xfId="54" applyFont="1" applyFill="1" applyBorder="1">
      <alignment/>
      <protection/>
    </xf>
    <xf numFmtId="0" fontId="48" fillId="40" borderId="37" xfId="54" applyFont="1" applyFill="1" applyBorder="1">
      <alignment/>
      <protection/>
    </xf>
    <xf numFmtId="0" fontId="49" fillId="41" borderId="36" xfId="54" applyFont="1" applyFill="1" applyBorder="1">
      <alignment/>
      <protection/>
    </xf>
    <xf numFmtId="0" fontId="49" fillId="41" borderId="37" xfId="54" applyFont="1" applyFill="1" applyBorder="1">
      <alignment/>
      <protection/>
    </xf>
    <xf numFmtId="0" fontId="37" fillId="42" borderId="25" xfId="54" applyFont="1" applyFill="1" applyBorder="1">
      <alignment/>
      <protection/>
    </xf>
    <xf numFmtId="0" fontId="48" fillId="43" borderId="25" xfId="54" applyFont="1" applyFill="1" applyBorder="1">
      <alignment/>
      <protection/>
    </xf>
    <xf numFmtId="0" fontId="39" fillId="0" borderId="27" xfId="54" applyFont="1" applyFill="1" applyBorder="1" applyAlignment="1">
      <alignment horizontal="right"/>
      <protection/>
    </xf>
    <xf numFmtId="7" fontId="34" fillId="36" borderId="20" xfId="54" applyNumberFormat="1" applyFont="1" applyFill="1" applyBorder="1" applyAlignment="1">
      <alignment horizontal="center"/>
      <protection/>
    </xf>
    <xf numFmtId="7" fontId="48" fillId="39" borderId="20" xfId="54" applyNumberFormat="1" applyFont="1" applyFill="1" applyBorder="1" applyAlignment="1">
      <alignment horizontal="center"/>
      <protection/>
    </xf>
    <xf numFmtId="7" fontId="48" fillId="40" borderId="20" xfId="54" applyNumberFormat="1" applyFont="1" applyFill="1" applyBorder="1" applyAlignment="1">
      <alignment horizontal="center"/>
      <protection/>
    </xf>
    <xf numFmtId="7" fontId="48" fillId="40" borderId="38" xfId="54" applyNumberFormat="1" applyFont="1" applyFill="1" applyBorder="1" applyAlignment="1">
      <alignment horizontal="center"/>
      <protection/>
    </xf>
    <xf numFmtId="7" fontId="49" fillId="41" borderId="20" xfId="54" applyNumberFormat="1" applyFont="1" applyFill="1" applyBorder="1" applyAlignment="1">
      <alignment horizontal="center"/>
      <protection/>
    </xf>
    <xf numFmtId="7" fontId="37" fillId="42" borderId="20" xfId="54" applyNumberFormat="1" applyFont="1" applyFill="1" applyBorder="1" applyAlignment="1">
      <alignment horizontal="center"/>
      <protection/>
    </xf>
    <xf numFmtId="7" fontId="48" fillId="43" borderId="20" xfId="54" applyNumberFormat="1" applyFont="1" applyFill="1" applyBorder="1" applyAlignment="1">
      <alignment horizontal="center"/>
      <protection/>
    </xf>
    <xf numFmtId="0" fontId="6" fillId="0" borderId="39" xfId="54" applyFont="1" applyFill="1" applyBorder="1">
      <alignment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0" fontId="40" fillId="0" borderId="13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7" fontId="40" fillId="0" borderId="0" xfId="54" applyNumberFormat="1" applyFont="1" applyFill="1" applyBorder="1" applyAlignment="1">
      <alignment horizontal="center"/>
      <protection/>
    </xf>
    <xf numFmtId="7" fontId="40" fillId="0" borderId="0" xfId="54" applyNumberFormat="1" applyFont="1" applyFill="1" applyBorder="1" applyAlignment="1" applyProtection="1">
      <alignment horizontal="right"/>
      <protection locked="0"/>
    </xf>
    <xf numFmtId="0" fontId="40" fillId="0" borderId="14" xfId="54" applyFont="1" applyFill="1" applyBorder="1">
      <alignment/>
      <protection/>
    </xf>
    <xf numFmtId="0" fontId="6" fillId="0" borderId="17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50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5" xfId="54" applyFont="1" applyBorder="1" applyAlignment="1" applyProtection="1">
      <alignment horizontal="left"/>
      <protection/>
    </xf>
    <xf numFmtId="174" fontId="1" fillId="0" borderId="38" xfId="54" applyNumberFormat="1" applyFont="1" applyBorder="1" applyAlignment="1" applyProtection="1">
      <alignment horizontal="center"/>
      <protection/>
    </xf>
    <xf numFmtId="0" fontId="1" fillId="0" borderId="20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5" xfId="54" applyFont="1" applyBorder="1">
      <alignment/>
      <protection/>
    </xf>
    <xf numFmtId="174" fontId="51" fillId="0" borderId="38" xfId="54" applyNumberFormat="1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174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5" xfId="54" applyFont="1" applyBorder="1" applyAlignment="1">
      <alignment horizontal="left"/>
      <protection/>
    </xf>
    <xf numFmtId="1" fontId="1" fillId="0" borderId="25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3" xfId="54" applyFont="1" applyBorder="1">
      <alignment/>
      <protection/>
    </xf>
    <xf numFmtId="0" fontId="25" fillId="0" borderId="16" xfId="54" applyFont="1" applyFill="1" applyBorder="1" applyAlignment="1" applyProtection="1">
      <alignment horizontal="center" vertical="center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45" fillId="43" borderId="20" xfId="54" applyFont="1" applyFill="1" applyBorder="1" applyAlignment="1" applyProtection="1">
      <alignment horizontal="center" vertical="center"/>
      <protection/>
    </xf>
    <xf numFmtId="0" fontId="52" fillId="42" borderId="20" xfId="54" applyFont="1" applyFill="1" applyBorder="1" applyAlignment="1">
      <alignment horizontal="center" vertical="center" wrapText="1"/>
      <protection/>
    </xf>
    <xf numFmtId="0" fontId="45" fillId="41" borderId="15" xfId="54" applyFont="1" applyFill="1" applyBorder="1" applyAlignment="1" applyProtection="1">
      <alignment horizontal="centerContinuous" vertical="center" wrapText="1"/>
      <protection/>
    </xf>
    <xf numFmtId="0" fontId="45" fillId="41" borderId="16" xfId="54" applyFont="1" applyFill="1" applyBorder="1" applyAlignment="1">
      <alignment horizontal="centerContinuous" vertical="center"/>
      <protection/>
    </xf>
    <xf numFmtId="0" fontId="28" fillId="44" borderId="20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>
      <alignment/>
      <protection/>
    </xf>
    <xf numFmtId="168" fontId="6" fillId="0" borderId="23" xfId="54" applyNumberFormat="1" applyFont="1" applyFill="1" applyBorder="1" applyAlignment="1" applyProtection="1">
      <alignment horizontal="center"/>
      <protection locked="0"/>
    </xf>
    <xf numFmtId="0" fontId="33" fillId="33" borderId="22" xfId="54" applyFont="1" applyFill="1" applyBorder="1" applyAlignment="1" applyProtection="1">
      <alignment horizontal="center"/>
      <protection locked="0"/>
    </xf>
    <xf numFmtId="0" fontId="6" fillId="0" borderId="34" xfId="54" applyFont="1" applyFill="1" applyBorder="1" applyAlignment="1" applyProtection="1">
      <alignment horizontal="center"/>
      <protection locked="0"/>
    </xf>
    <xf numFmtId="0" fontId="53" fillId="43" borderId="22" xfId="54" applyFont="1" applyFill="1" applyBorder="1" applyAlignment="1" applyProtection="1">
      <alignment horizontal="center"/>
      <protection locked="0"/>
    </xf>
    <xf numFmtId="0" fontId="54" fillId="42" borderId="22" xfId="54" applyFont="1" applyFill="1" applyBorder="1" applyAlignment="1" applyProtection="1">
      <alignment horizontal="center"/>
      <protection locked="0"/>
    </xf>
    <xf numFmtId="172" fontId="48" fillId="41" borderId="30" xfId="54" applyNumberFormat="1" applyFont="1" applyFill="1" applyBorder="1" applyAlignment="1" applyProtection="1" quotePrefix="1">
      <alignment horizontal="center"/>
      <protection locked="0"/>
    </xf>
    <xf numFmtId="172" fontId="48" fillId="41" borderId="40" xfId="54" applyNumberFormat="1" applyFont="1" applyFill="1" applyBorder="1" applyAlignment="1" applyProtection="1" quotePrefix="1">
      <alignment horizontal="center"/>
      <protection locked="0"/>
    </xf>
    <xf numFmtId="172" fontId="34" fillId="44" borderId="22" xfId="54" applyNumberFormat="1" applyFont="1" applyFill="1" applyBorder="1" applyAlignment="1" applyProtection="1" quotePrefix="1">
      <alignment horizontal="center"/>
      <protection locked="0"/>
    </xf>
    <xf numFmtId="0" fontId="6" fillId="0" borderId="32" xfId="54" applyFont="1" applyFill="1" applyBorder="1" applyAlignment="1" applyProtection="1">
      <alignment horizontal="left"/>
      <protection locked="0"/>
    </xf>
    <xf numFmtId="0" fontId="39" fillId="0" borderId="23" xfId="54" applyFont="1" applyFill="1" applyBorder="1" applyAlignment="1">
      <alignment horizontal="center"/>
      <protection/>
    </xf>
    <xf numFmtId="0" fontId="55" fillId="0" borderId="32" xfId="54" applyFont="1" applyFill="1" applyBorder="1" applyAlignment="1" applyProtection="1">
      <alignment horizontal="center"/>
      <protection locked="0"/>
    </xf>
    <xf numFmtId="175" fontId="5" fillId="0" borderId="23" xfId="54" applyNumberFormat="1" applyFont="1" applyFill="1" applyBorder="1" applyAlignment="1" applyProtection="1">
      <alignment horizontal="center"/>
      <protection locked="0"/>
    </xf>
    <xf numFmtId="174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Fill="1" applyBorder="1" applyAlignment="1" applyProtection="1">
      <alignment horizontal="center"/>
      <protection locked="0"/>
    </xf>
    <xf numFmtId="22" fontId="6" fillId="0" borderId="35" xfId="54" applyNumberFormat="1" applyFont="1" applyFill="1" applyBorder="1" applyAlignment="1" applyProtection="1">
      <alignment horizontal="center"/>
      <protection locked="0"/>
    </xf>
    <xf numFmtId="168" fontId="6" fillId="0" borderId="23" xfId="54" applyNumberFormat="1" applyFont="1" applyFill="1" applyBorder="1" applyAlignment="1" applyProtection="1" quotePrefix="1">
      <alignment horizontal="center"/>
      <protection/>
    </xf>
    <xf numFmtId="168" fontId="53" fillId="43" borderId="23" xfId="54" applyNumberFormat="1" applyFont="1" applyFill="1" applyBorder="1" applyAlignment="1" applyProtection="1">
      <alignment horizontal="center"/>
      <protection locked="0"/>
    </xf>
    <xf numFmtId="2" fontId="54" fillId="42" borderId="23" xfId="54" applyNumberFormat="1" applyFont="1" applyFill="1" applyBorder="1" applyAlignment="1" applyProtection="1">
      <alignment horizontal="center"/>
      <protection locked="0"/>
    </xf>
    <xf numFmtId="172" fontId="48" fillId="41" borderId="33" xfId="54" applyNumberFormat="1" applyFont="1" applyFill="1" applyBorder="1" applyAlignment="1" applyProtection="1" quotePrefix="1">
      <alignment horizontal="center"/>
      <protection locked="0"/>
    </xf>
    <xf numFmtId="172" fontId="48" fillId="41" borderId="35" xfId="54" applyNumberFormat="1" applyFont="1" applyFill="1" applyBorder="1" applyAlignment="1" applyProtection="1" quotePrefix="1">
      <alignment horizontal="center"/>
      <protection locked="0"/>
    </xf>
    <xf numFmtId="172" fontId="34" fillId="44" borderId="23" xfId="54" applyNumberFormat="1" applyFont="1" applyFill="1" applyBorder="1" applyAlignment="1" applyProtection="1" quotePrefix="1">
      <alignment horizontal="center"/>
      <protection locked="0"/>
    </xf>
    <xf numFmtId="172" fontId="6" fillId="0" borderId="32" xfId="54" applyNumberFormat="1" applyFont="1" applyFill="1" applyBorder="1" applyAlignment="1" applyProtection="1">
      <alignment horizontal="center"/>
      <protection locked="0"/>
    </xf>
    <xf numFmtId="172" fontId="39" fillId="0" borderId="23" xfId="54" applyNumberFormat="1" applyFont="1" applyFill="1" applyBorder="1" applyAlignment="1">
      <alignment horizontal="center"/>
      <protection/>
    </xf>
    <xf numFmtId="172" fontId="39" fillId="0" borderId="23" xfId="54" applyNumberFormat="1" applyFont="1" applyFill="1" applyBorder="1" applyAlignment="1">
      <alignment horizontal="right"/>
      <protection/>
    </xf>
    <xf numFmtId="0" fontId="33" fillId="33" borderId="25" xfId="54" applyFont="1" applyFill="1" applyBorder="1">
      <alignment/>
      <protection/>
    </xf>
    <xf numFmtId="0" fontId="53" fillId="43" borderId="25" xfId="54" applyFont="1" applyFill="1" applyBorder="1">
      <alignment/>
      <protection/>
    </xf>
    <xf numFmtId="0" fontId="54" fillId="42" borderId="25" xfId="54" applyFont="1" applyFill="1" applyBorder="1">
      <alignment/>
      <protection/>
    </xf>
    <xf numFmtId="0" fontId="48" fillId="41" borderId="36" xfId="54" applyFont="1" applyFill="1" applyBorder="1">
      <alignment/>
      <protection/>
    </xf>
    <xf numFmtId="0" fontId="48" fillId="41" borderId="37" xfId="54" applyFont="1" applyFill="1" applyBorder="1">
      <alignment/>
      <protection/>
    </xf>
    <xf numFmtId="0" fontId="34" fillId="44" borderId="25" xfId="54" applyFont="1" applyFill="1" applyBorder="1">
      <alignment/>
      <protection/>
    </xf>
    <xf numFmtId="0" fontId="39" fillId="0" borderId="27" xfId="54" applyFont="1" applyFill="1" applyBorder="1">
      <alignment/>
      <protection/>
    </xf>
    <xf numFmtId="2" fontId="54" fillId="42" borderId="20" xfId="54" applyNumberFormat="1" applyFont="1" applyFill="1" applyBorder="1" applyAlignment="1">
      <alignment horizontal="center"/>
      <protection/>
    </xf>
    <xf numFmtId="2" fontId="48" fillId="41" borderId="20" xfId="54" applyNumberFormat="1" applyFont="1" applyFill="1" applyBorder="1" applyAlignment="1">
      <alignment horizontal="center"/>
      <protection/>
    </xf>
    <xf numFmtId="2" fontId="34" fillId="44" borderId="20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7" fontId="44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6" fillId="0" borderId="0" xfId="54" applyFont="1" applyAlignment="1">
      <alignment horizontal="right" vertical="top"/>
      <protection/>
    </xf>
    <xf numFmtId="0" fontId="56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7" fillId="0" borderId="0" xfId="54" applyNumberFormat="1" applyFont="1" applyBorder="1" applyAlignment="1">
      <alignment horizontal="left"/>
      <protection/>
    </xf>
    <xf numFmtId="0" fontId="6" fillId="0" borderId="32" xfId="54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59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59" fillId="0" borderId="41" xfId="0" applyFont="1" applyFill="1" applyBorder="1" applyAlignment="1">
      <alignment horizontal="center"/>
    </xf>
    <xf numFmtId="0" fontId="1" fillId="45" borderId="0" xfId="53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0" fillId="0" borderId="41" xfId="0" applyFont="1" applyFill="1" applyBorder="1" applyAlignment="1">
      <alignment/>
    </xf>
    <xf numFmtId="0" fontId="60" fillId="0" borderId="42" xfId="0" applyFont="1" applyFill="1" applyBorder="1" applyAlignment="1">
      <alignment/>
    </xf>
    <xf numFmtId="174" fontId="1" fillId="0" borderId="38" xfId="54" applyNumberFormat="1" applyFont="1" applyBorder="1" applyAlignment="1">
      <alignment horizontal="center"/>
      <protection/>
    </xf>
    <xf numFmtId="0" fontId="53" fillId="0" borderId="0" xfId="54" applyFont="1" applyBorder="1">
      <alignment/>
      <protection/>
    </xf>
    <xf numFmtId="0" fontId="53" fillId="0" borderId="0" xfId="54" applyFont="1" applyFill="1" applyBorder="1">
      <alignment/>
      <protection/>
    </xf>
    <xf numFmtId="169" fontId="6" fillId="0" borderId="24" xfId="54" applyNumberFormat="1" applyFont="1" applyBorder="1" applyAlignment="1" applyProtection="1">
      <alignment horizontal="center"/>
      <protection locked="0"/>
    </xf>
    <xf numFmtId="0" fontId="62" fillId="0" borderId="0" xfId="54" applyFont="1" applyBorder="1" applyAlignment="1">
      <alignment horizontal="left"/>
      <protection/>
    </xf>
    <xf numFmtId="0" fontId="62" fillId="0" borderId="28" xfId="54" applyFont="1" applyBorder="1" applyAlignment="1">
      <alignment horizontal="center"/>
      <protection/>
    </xf>
    <xf numFmtId="0" fontId="1" fillId="0" borderId="0" xfId="55">
      <alignment/>
      <protection/>
    </xf>
    <xf numFmtId="0" fontId="56" fillId="0" borderId="0" xfId="55" applyFont="1" applyAlignment="1">
      <alignment horizontal="right" vertical="top"/>
      <protection/>
    </xf>
    <xf numFmtId="0" fontId="64" fillId="0" borderId="0" xfId="55" applyFont="1">
      <alignment/>
      <protection/>
    </xf>
    <xf numFmtId="0" fontId="65" fillId="0" borderId="0" xfId="55" applyFont="1" applyAlignment="1">
      <alignment horizontal="centerContinuous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59" fillId="0" borderId="0" xfId="55" applyFont="1" applyAlignment="1">
      <alignment horizontal="centerContinuous" vertical="center"/>
      <protection/>
    </xf>
    <xf numFmtId="0" fontId="59" fillId="0" borderId="0" xfId="55" applyFont="1">
      <alignment/>
      <protection/>
    </xf>
    <xf numFmtId="0" fontId="66" fillId="0" borderId="0" xfId="55" applyFont="1" applyBorder="1" applyAlignment="1">
      <alignment horizontal="centerContinuous"/>
      <protection/>
    </xf>
    <xf numFmtId="0" fontId="67" fillId="0" borderId="0" xfId="55" applyFont="1" applyBorder="1" applyAlignment="1" applyProtection="1">
      <alignment horizontal="left"/>
      <protection/>
    </xf>
    <xf numFmtId="0" fontId="68" fillId="0" borderId="0" xfId="55" applyFont="1" applyBorder="1" applyAlignment="1">
      <alignment horizontal="centerContinuous"/>
      <protection/>
    </xf>
    <xf numFmtId="0" fontId="69" fillId="0" borderId="0" xfId="55" applyFont="1" applyBorder="1" applyAlignment="1" applyProtection="1">
      <alignment horizontal="centerContinuous"/>
      <protection/>
    </xf>
    <xf numFmtId="0" fontId="1" fillId="0" borderId="0" xfId="55" applyAlignment="1">
      <alignment horizontal="centerContinuous"/>
      <protection/>
    </xf>
    <xf numFmtId="0" fontId="69" fillId="0" borderId="0" xfId="55" applyFont="1" applyAlignment="1">
      <alignment horizontal="centerContinuous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70" fillId="0" borderId="11" xfId="55" applyFont="1" applyBorder="1">
      <alignment/>
      <protection/>
    </xf>
    <xf numFmtId="0" fontId="1" fillId="0" borderId="12" xfId="55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70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13" xfId="55" applyBorder="1">
      <alignment/>
      <protection/>
    </xf>
    <xf numFmtId="0" fontId="1" fillId="0" borderId="43" xfId="55" applyBorder="1">
      <alignment/>
      <protection/>
    </xf>
    <xf numFmtId="0" fontId="70" fillId="0" borderId="0" xfId="55" applyFont="1" applyBorder="1" applyAlignment="1" applyProtection="1">
      <alignment horizontal="center"/>
      <protection/>
    </xf>
    <xf numFmtId="0" fontId="70" fillId="0" borderId="0" xfId="55" applyFont="1" applyBorder="1">
      <alignment/>
      <protection/>
    </xf>
    <xf numFmtId="0" fontId="1" fillId="0" borderId="0" xfId="55" applyBorder="1">
      <alignment/>
      <protection/>
    </xf>
    <xf numFmtId="0" fontId="1" fillId="0" borderId="14" xfId="55" applyBorder="1">
      <alignment/>
      <protection/>
    </xf>
    <xf numFmtId="0" fontId="71" fillId="0" borderId="0" xfId="55" applyFont="1" applyAlignment="1">
      <alignment horizontal="centerContinuous" vertical="center"/>
      <protection/>
    </xf>
    <xf numFmtId="0" fontId="71" fillId="0" borderId="13" xfId="55" applyFont="1" applyBorder="1" applyAlignment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 wrapText="1"/>
      <protection/>
    </xf>
    <xf numFmtId="172" fontId="71" fillId="46" borderId="20" xfId="55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5" applyNumberFormat="1" applyFont="1" applyFill="1" applyBorder="1" applyAlignment="1">
      <alignment horizontal="center" vertical="center"/>
      <protection/>
    </xf>
    <xf numFmtId="0" fontId="71" fillId="0" borderId="14" xfId="55" applyFont="1" applyBorder="1" applyAlignment="1">
      <alignment vertical="center"/>
      <protection/>
    </xf>
    <xf numFmtId="0" fontId="71" fillId="0" borderId="0" xfId="55" applyFont="1" applyAlignment="1">
      <alignment vertical="center"/>
      <protection/>
    </xf>
    <xf numFmtId="0" fontId="71" fillId="0" borderId="13" xfId="55" applyFont="1" applyBorder="1" applyAlignment="1">
      <alignment vertical="center"/>
      <protection/>
    </xf>
    <xf numFmtId="0" fontId="71" fillId="0" borderId="32" xfId="55" applyFont="1" applyBorder="1" applyAlignment="1">
      <alignment vertical="center"/>
      <protection/>
    </xf>
    <xf numFmtId="0" fontId="71" fillId="0" borderId="45" xfId="55" applyFont="1" applyBorder="1" applyAlignment="1">
      <alignment vertical="center"/>
      <protection/>
    </xf>
    <xf numFmtId="0" fontId="71" fillId="0" borderId="27" xfId="55" applyFont="1" applyBorder="1" applyAlignment="1">
      <alignment vertical="center"/>
      <protection/>
    </xf>
    <xf numFmtId="0" fontId="71" fillId="47" borderId="27" xfId="56" applyFont="1" applyFill="1" applyBorder="1" applyAlignment="1">
      <alignment vertical="center"/>
      <protection/>
    </xf>
    <xf numFmtId="0" fontId="71" fillId="0" borderId="46" xfId="55" applyFont="1" applyBorder="1" applyAlignment="1">
      <alignment vertical="center"/>
      <protection/>
    </xf>
    <xf numFmtId="0" fontId="71" fillId="48" borderId="32" xfId="55" applyFont="1" applyFill="1" applyBorder="1" applyAlignment="1">
      <alignment horizontal="center" vertical="center"/>
      <protection/>
    </xf>
    <xf numFmtId="0" fontId="71" fillId="48" borderId="47" xfId="55" applyFont="1" applyFill="1" applyBorder="1" applyAlignment="1" applyProtection="1">
      <alignment horizontal="center" vertical="center"/>
      <protection/>
    </xf>
    <xf numFmtId="2" fontId="71" fillId="48" borderId="24" xfId="55" applyNumberFormat="1" applyFont="1" applyFill="1" applyBorder="1" applyAlignment="1" applyProtection="1">
      <alignment horizontal="center" vertical="center"/>
      <protection/>
    </xf>
    <xf numFmtId="1" fontId="71" fillId="47" borderId="48" xfId="56" applyNumberFormat="1" applyFont="1" applyFill="1" applyBorder="1" applyAlignment="1">
      <alignment horizontal="center" vertical="center"/>
      <protection/>
    </xf>
    <xf numFmtId="0" fontId="71" fillId="49" borderId="32" xfId="55" applyFont="1" applyFill="1" applyBorder="1" applyAlignment="1">
      <alignment horizontal="center" vertical="center"/>
      <protection/>
    </xf>
    <xf numFmtId="0" fontId="71" fillId="49" borderId="47" xfId="55" applyFont="1" applyFill="1" applyBorder="1" applyAlignment="1" applyProtection="1">
      <alignment horizontal="center" vertical="center"/>
      <protection/>
    </xf>
    <xf numFmtId="2" fontId="71" fillId="49" borderId="24" xfId="55" applyNumberFormat="1" applyFont="1" applyFill="1" applyBorder="1" applyAlignment="1" applyProtection="1">
      <alignment horizontal="center" vertical="center"/>
      <protection/>
    </xf>
    <xf numFmtId="0" fontId="71" fillId="49" borderId="24" xfId="55" applyFont="1" applyFill="1" applyBorder="1" applyAlignment="1">
      <alignment horizontal="center" vertical="center"/>
      <protection/>
    </xf>
    <xf numFmtId="0" fontId="71" fillId="49" borderId="49" xfId="55" applyFont="1" applyFill="1" applyBorder="1" applyAlignment="1" applyProtection="1">
      <alignment horizontal="center" vertical="center"/>
      <protection/>
    </xf>
    <xf numFmtId="2" fontId="71" fillId="49" borderId="48" xfId="55" applyNumberFormat="1" applyFont="1" applyFill="1" applyBorder="1" applyAlignment="1" applyProtection="1">
      <alignment horizontal="center" vertical="center"/>
      <protection/>
    </xf>
    <xf numFmtId="0" fontId="71" fillId="0" borderId="50" xfId="55" applyFont="1" applyBorder="1" applyAlignment="1">
      <alignment horizontal="center" vertical="center"/>
      <protection/>
    </xf>
    <xf numFmtId="0" fontId="71" fillId="0" borderId="51" xfId="55" applyFont="1" applyBorder="1" applyAlignment="1" applyProtection="1">
      <alignment horizontal="left" vertical="center"/>
      <protection/>
    </xf>
    <xf numFmtId="0" fontId="71" fillId="0" borderId="51" xfId="55" applyFont="1" applyBorder="1" applyAlignment="1" applyProtection="1">
      <alignment horizontal="center" vertical="center"/>
      <protection/>
    </xf>
    <xf numFmtId="2" fontId="71" fillId="0" borderId="26" xfId="55" applyNumberFormat="1" applyFont="1" applyBorder="1" applyAlignment="1" applyProtection="1">
      <alignment horizontal="center" vertical="center"/>
      <protection/>
    </xf>
    <xf numFmtId="0" fontId="71" fillId="0" borderId="0" xfId="55" applyFont="1" applyBorder="1" applyAlignment="1">
      <alignment horizontal="center" vertical="center"/>
      <protection/>
    </xf>
    <xf numFmtId="0" fontId="71" fillId="0" borderId="0" xfId="55" applyFont="1" applyBorder="1" applyAlignment="1" applyProtection="1">
      <alignment horizontal="left" vertical="center"/>
      <protection/>
    </xf>
    <xf numFmtId="0" fontId="72" fillId="0" borderId="28" xfId="55" applyFont="1" applyBorder="1" applyAlignment="1" applyProtection="1">
      <alignment horizontal="right" vertical="center"/>
      <protection/>
    </xf>
    <xf numFmtId="172" fontId="72" fillId="0" borderId="26" xfId="55" applyNumberFormat="1" applyFont="1" applyBorder="1" applyAlignment="1" applyProtection="1">
      <alignment horizontal="center" vertical="center"/>
      <protection/>
    </xf>
    <xf numFmtId="1" fontId="71" fillId="0" borderId="20" xfId="55" applyNumberFormat="1" applyFont="1" applyBorder="1" applyAlignment="1">
      <alignment horizontal="center" vertical="center"/>
      <protection/>
    </xf>
    <xf numFmtId="1" fontId="71" fillId="0" borderId="20" xfId="55" applyNumberFormat="1" applyFont="1" applyFill="1" applyBorder="1" applyAlignment="1">
      <alignment horizontal="center" vertical="center"/>
      <protection/>
    </xf>
    <xf numFmtId="0" fontId="71" fillId="0" borderId="0" xfId="55" applyFont="1" applyBorder="1" applyAlignment="1">
      <alignment vertical="center"/>
      <protection/>
    </xf>
    <xf numFmtId="0" fontId="71" fillId="0" borderId="0" xfId="55" applyFont="1" applyBorder="1" applyAlignment="1" applyProtection="1">
      <alignment horizontal="center" vertical="center"/>
      <protection/>
    </xf>
    <xf numFmtId="0" fontId="72" fillId="0" borderId="0" xfId="55" applyFont="1" applyAlignment="1">
      <alignment horizontal="right" vertical="center"/>
      <protection/>
    </xf>
    <xf numFmtId="1" fontId="71" fillId="0" borderId="20" xfId="55" applyNumberFormat="1" applyFont="1" applyBorder="1" applyAlignment="1" applyProtection="1">
      <alignment horizontal="center" vertical="center"/>
      <protection/>
    </xf>
    <xf numFmtId="1" fontId="71" fillId="0" borderId="38" xfId="55" applyNumberFormat="1" applyFont="1" applyBorder="1" applyAlignment="1" applyProtection="1">
      <alignment horizontal="center" vertical="center"/>
      <protection/>
    </xf>
    <xf numFmtId="0" fontId="71" fillId="0" borderId="23" xfId="55" applyFont="1" applyBorder="1" applyAlignment="1">
      <alignment vertical="center"/>
      <protection/>
    </xf>
    <xf numFmtId="17" fontId="72" fillId="0" borderId="0" xfId="55" applyNumberFormat="1" applyFont="1" applyBorder="1" applyAlignment="1">
      <alignment horizontal="right" vertical="center"/>
      <protection/>
    </xf>
    <xf numFmtId="2" fontId="72" fillId="50" borderId="26" xfId="56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4" xfId="55" applyNumberFormat="1" applyBorder="1" applyAlignment="1">
      <alignment horizontal="center"/>
      <protection/>
    </xf>
    <xf numFmtId="0" fontId="73" fillId="0" borderId="13" xfId="55" applyFont="1" applyBorder="1">
      <alignment/>
      <protection/>
    </xf>
    <xf numFmtId="0" fontId="1" fillId="0" borderId="15" xfId="55" applyFont="1" applyBorder="1">
      <alignment/>
      <protection/>
    </xf>
    <xf numFmtId="0" fontId="74" fillId="0" borderId="21" xfId="55" applyFont="1" applyBorder="1" applyAlignment="1">
      <alignment horizontal="center"/>
      <protection/>
    </xf>
    <xf numFmtId="2" fontId="75" fillId="0" borderId="21" xfId="55" applyNumberFormat="1" applyFont="1" applyBorder="1" applyAlignment="1">
      <alignment horizontal="center"/>
      <protection/>
    </xf>
    <xf numFmtId="0" fontId="76" fillId="0" borderId="21" xfId="55" applyFont="1" applyBorder="1">
      <alignment/>
      <protection/>
    </xf>
    <xf numFmtId="0" fontId="1" fillId="0" borderId="21" xfId="55" applyBorder="1">
      <alignment/>
      <protection/>
    </xf>
    <xf numFmtId="0" fontId="1" fillId="0" borderId="16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73" fillId="0" borderId="17" xfId="55" applyFont="1" applyBorder="1">
      <alignment/>
      <protection/>
    </xf>
    <xf numFmtId="0" fontId="3" fillId="0" borderId="18" xfId="55" applyFont="1" applyBorder="1" applyAlignment="1" applyProtection="1">
      <alignment horizontal="left"/>
      <protection/>
    </xf>
    <xf numFmtId="0" fontId="6" fillId="0" borderId="18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1" fillId="0" borderId="18" xfId="55" applyBorder="1">
      <alignment/>
      <protection/>
    </xf>
    <xf numFmtId="0" fontId="1" fillId="0" borderId="19" xfId="55" applyBorder="1">
      <alignment/>
      <protection/>
    </xf>
    <xf numFmtId="175" fontId="6" fillId="0" borderId="23" xfId="54" applyNumberFormat="1" applyFont="1" applyFill="1" applyBorder="1" applyAlignment="1" applyProtection="1" quotePrefix="1">
      <alignment horizontal="center"/>
      <protection locked="0"/>
    </xf>
    <xf numFmtId="175" fontId="6" fillId="0" borderId="23" xfId="54" applyNumberFormat="1" applyFont="1" applyFill="1" applyBorder="1" applyAlignment="1" applyProtection="1">
      <alignment horizontal="center"/>
      <protection locked="0"/>
    </xf>
    <xf numFmtId="0" fontId="4" fillId="0" borderId="0" xfId="54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rmal_Cuyo" xfId="54"/>
    <cellStyle name="Normal_T0002CUY" xfId="55"/>
    <cellStyle name="Normal_T9904CUY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0</xdr:col>
      <xdr:colOff>1104900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447675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962025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572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9525</xdr:rowOff>
    </xdr:from>
    <xdr:to>
      <xdr:col>0</xdr:col>
      <xdr:colOff>1000125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</xdr:rowOff>
    </xdr:from>
    <xdr:to>
      <xdr:col>0</xdr:col>
      <xdr:colOff>933450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0</xdr:row>
      <xdr:rowOff>28575</xdr:rowOff>
    </xdr:from>
    <xdr:to>
      <xdr:col>0</xdr:col>
      <xdr:colOff>1647825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177.87</v>
          </cell>
          <cell r="GP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42.95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53.49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188.32</v>
          </cell>
          <cell r="GJ21">
            <v>1</v>
          </cell>
          <cell r="GM21">
            <v>1</v>
          </cell>
          <cell r="GN21">
            <v>2</v>
          </cell>
          <cell r="GQ21">
            <v>1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GS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41.95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  <cell r="GK24">
            <v>1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52.86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122.13</v>
          </cell>
          <cell r="GU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15.59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19.06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19.06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21.98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21.98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GP32">
            <v>1</v>
          </cell>
          <cell r="GS32">
            <v>2</v>
          </cell>
          <cell r="GT32">
            <v>1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18.08</v>
          </cell>
          <cell r="GU33">
            <v>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18.08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46.45</v>
          </cell>
          <cell r="GL35">
            <v>1</v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  <row r="39">
          <cell r="GJ39">
            <v>0.95</v>
          </cell>
          <cell r="GK39">
            <v>0.95</v>
          </cell>
          <cell r="GL39">
            <v>0.8</v>
          </cell>
          <cell r="GM39">
            <v>0.8</v>
          </cell>
          <cell r="GN39">
            <v>0.88</v>
          </cell>
          <cell r="GO39">
            <v>0.88</v>
          </cell>
          <cell r="GP39">
            <v>0.88</v>
          </cell>
          <cell r="GQ39">
            <v>1.02</v>
          </cell>
          <cell r="GR39">
            <v>0.95</v>
          </cell>
          <cell r="GS39">
            <v>0.95</v>
          </cell>
          <cell r="GT39">
            <v>1.09</v>
          </cell>
          <cell r="GU39">
            <v>1.02</v>
          </cell>
          <cell r="GV39">
            <v>1.09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files\Transporte\Transporte\AA%20PROCESO%20AUT\EXCEL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4"/>
  <sheetViews>
    <sheetView tabSelected="1" zoomScale="70" zoomScaleNormal="70" zoomScalePageLayoutView="0" workbookViewId="0" topLeftCell="A1">
      <selection activeCell="B2" sqref="B2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3"/>
    </row>
    <row r="2" spans="2:10" s="6" customFormat="1" ht="26.25">
      <c r="B2" s="7" t="s">
        <v>175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10" t="s">
        <v>3</v>
      </c>
      <c r="B4" s="51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10" t="s">
        <v>4</v>
      </c>
      <c r="B5" s="51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171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129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'LI-12 (1)'!AA42</f>
        <v>29776.64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'T-12 (1)'!AC45</f>
        <v>6375.1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'SA-12 (1)'!V40</f>
        <v>2327.27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SUM(I18:I24)</f>
        <v>38479.009999999995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5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6" t="s">
        <v>170</v>
      </c>
      <c r="D30" s="41"/>
      <c r="F30" s="395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7" customFormat="1" ht="18.75">
      <c r="B31" s="36"/>
      <c r="C31" s="396" t="s">
        <v>174</v>
      </c>
      <c r="D31" s="41"/>
      <c r="F31" s="395"/>
      <c r="G31" s="55"/>
      <c r="H31" s="55"/>
      <c r="J31" s="39"/>
      <c r="K31" s="22"/>
      <c r="L31" s="22"/>
      <c r="M31" s="22"/>
      <c r="N31" s="22"/>
      <c r="O31" s="22"/>
      <c r="P31" s="22"/>
      <c r="Q31" s="22"/>
      <c r="R31" s="22"/>
      <c r="S31" s="22"/>
    </row>
    <row r="32" spans="2:19" s="17" customFormat="1" ht="18.75">
      <c r="B32" s="36"/>
      <c r="C32" s="396" t="s">
        <v>173</v>
      </c>
      <c r="D32" s="41"/>
      <c r="F32" s="395"/>
      <c r="G32" s="55"/>
      <c r="H32" s="55"/>
      <c r="J32" s="39"/>
      <c r="K32" s="22"/>
      <c r="L32" s="22"/>
      <c r="M32" s="22"/>
      <c r="N32" s="22"/>
      <c r="O32" s="22"/>
      <c r="P32" s="22"/>
      <c r="Q32" s="22"/>
      <c r="R32" s="22"/>
      <c r="S32" s="22"/>
    </row>
    <row r="33" spans="2:19" s="24" customFormat="1" ht="16.5" thickBot="1">
      <c r="B33" s="56"/>
      <c r="C33" s="57"/>
      <c r="D33" s="57"/>
      <c r="E33" s="58"/>
      <c r="F33" s="58"/>
      <c r="G33" s="58"/>
      <c r="H33" s="58"/>
      <c r="I33" s="58"/>
      <c r="J33" s="59"/>
      <c r="K33" s="26"/>
      <c r="L33" s="26"/>
      <c r="M33" s="60"/>
      <c r="N33" s="61"/>
      <c r="O33" s="61"/>
      <c r="P33" s="62"/>
      <c r="Q33" s="63"/>
      <c r="R33" s="26"/>
      <c r="S33" s="26"/>
    </row>
    <row r="34" spans="4:19" ht="13.5" thickTop="1">
      <c r="D34" s="12"/>
      <c r="F34" s="12"/>
      <c r="G34" s="12"/>
      <c r="H34" s="12"/>
      <c r="I34" s="12"/>
      <c r="J34" s="12"/>
      <c r="K34" s="12"/>
      <c r="L34" s="12"/>
      <c r="M34" s="64"/>
      <c r="N34" s="65"/>
      <c r="O34" s="65"/>
      <c r="P34" s="12"/>
      <c r="Q34" s="4"/>
      <c r="R34" s="12"/>
      <c r="S34" s="12"/>
    </row>
    <row r="35" spans="4:19" ht="12.75">
      <c r="D35" s="12"/>
      <c r="F35" s="12"/>
      <c r="G35" s="12"/>
      <c r="H35" s="12"/>
      <c r="I35" s="12"/>
      <c r="J35" s="12"/>
      <c r="K35" s="12"/>
      <c r="L35" s="12"/>
      <c r="M35" s="12"/>
      <c r="N35" s="66"/>
      <c r="O35" s="66"/>
      <c r="P35" s="67"/>
      <c r="Q35" s="4"/>
      <c r="R35" s="12"/>
      <c r="S35" s="12"/>
    </row>
    <row r="36" spans="4:19" ht="12.7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66"/>
      <c r="O36" s="66"/>
      <c r="P36" s="67"/>
      <c r="Q36" s="4"/>
      <c r="R36" s="12"/>
      <c r="S36" s="12"/>
    </row>
    <row r="37" spans="4:19" ht="12.75">
      <c r="D37" s="12"/>
      <c r="E37" s="12"/>
      <c r="L37" s="12"/>
      <c r="M37" s="12"/>
      <c r="N37" s="12"/>
      <c r="O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4:19" ht="12.75">
      <c r="D41" s="12"/>
      <c r="E41" s="12"/>
      <c r="P41" s="12"/>
      <c r="Q41" s="12"/>
      <c r="R41" s="12"/>
      <c r="S41" s="12"/>
    </row>
    <row r="42" spans="4:19" ht="12.75">
      <c r="D42" s="12"/>
      <c r="E42" s="12"/>
      <c r="P42" s="12"/>
      <c r="Q42" s="12"/>
      <c r="R42" s="12"/>
      <c r="S42" s="12"/>
    </row>
    <row r="43" spans="16:19" ht="12.75">
      <c r="P43" s="12"/>
      <c r="Q43" s="12"/>
      <c r="R43" s="12"/>
      <c r="S43" s="12"/>
    </row>
    <row r="44" spans="16:19" ht="12.75">
      <c r="P44" s="12"/>
      <c r="Q44" s="12"/>
      <c r="R44" s="12"/>
      <c r="S44" s="12"/>
    </row>
  </sheetData>
  <sheetProtection/>
  <mergeCells count="2">
    <mergeCell ref="A4:B4"/>
    <mergeCell ref="A5:B5"/>
  </mergeCells>
  <printOptions/>
  <pageMargins left="0.76" right="0.1968503937007874" top="0.7874015748031497" bottom="0.77" header="0.5118110236220472" footer="0.5118110236220472"/>
  <pageSetup fitToHeight="1" fitToWidth="1" orientation="landscape" paperSize="9" scale="91" r:id="rId2"/>
  <headerFooter alignWithMargins="0">
    <oddFooter>&amp;L&amp;F-&amp;A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0" zoomScaleNormal="70" zoomScalePageLayoutView="0" workbookViewId="0" topLeftCell="A1">
      <selection activeCell="G36" sqref="G36"/>
    </sheetView>
  </sheetViews>
  <sheetFormatPr defaultColWidth="11.421875" defaultRowHeight="12.75"/>
  <cols>
    <col min="1" max="1" width="18.710937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10.421875" style="1" customWidth="1"/>
    <col min="8" max="8" width="9.7109375" style="1" customWidth="1"/>
    <col min="9" max="9" width="3.28125" style="1" hidden="1" customWidth="1"/>
    <col min="10" max="10" width="17.57421875" style="1" customWidth="1"/>
    <col min="11" max="11" width="17.2812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3"/>
    </row>
    <row r="2" spans="2:28" s="6" customFormat="1" ht="26.25">
      <c r="B2" s="68" t="str">
        <f>+'TOT-1211'!B2</f>
        <v>ANEXO I al Memorándum  D.T.E.E.  N°    716 / 2013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+'TOT-1211'!B14</f>
        <v>Desde el 01 al 31 de diciembre de 2011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393.467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375.982</v>
      </c>
      <c r="H15" s="90"/>
      <c r="I15" s="12"/>
      <c r="J15" s="91"/>
      <c r="K15" s="92" t="s">
        <v>18</v>
      </c>
      <c r="L15" s="93">
        <f>30*'TOT-1211'!B13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>
        <f>+G15</f>
        <v>375.982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5">
        <v>4</v>
      </c>
      <c r="E17" s="415">
        <v>5</v>
      </c>
      <c r="F17" s="415">
        <v>6</v>
      </c>
      <c r="G17" s="415">
        <v>7</v>
      </c>
      <c r="H17" s="415">
        <v>8</v>
      </c>
      <c r="I17" s="415">
        <v>9</v>
      </c>
      <c r="J17" s="415">
        <v>10</v>
      </c>
      <c r="K17" s="415">
        <v>11</v>
      </c>
      <c r="L17" s="415">
        <v>12</v>
      </c>
      <c r="M17" s="415">
        <v>13</v>
      </c>
      <c r="N17" s="415">
        <v>14</v>
      </c>
      <c r="O17" s="415">
        <v>15</v>
      </c>
      <c r="P17" s="415">
        <v>16</v>
      </c>
      <c r="Q17" s="415">
        <v>17</v>
      </c>
      <c r="R17" s="415">
        <v>18</v>
      </c>
      <c r="S17" s="415">
        <v>19</v>
      </c>
      <c r="T17" s="415">
        <v>20</v>
      </c>
      <c r="U17" s="415">
        <v>21</v>
      </c>
      <c r="V17" s="415">
        <v>22</v>
      </c>
      <c r="W17" s="415">
        <v>23</v>
      </c>
      <c r="X17" s="415">
        <v>24</v>
      </c>
      <c r="Y17" s="415">
        <v>25</v>
      </c>
      <c r="Z17" s="415">
        <v>26</v>
      </c>
      <c r="AA17" s="415">
        <v>27</v>
      </c>
      <c r="AB17" s="49"/>
    </row>
    <row r="18" spans="2:28" s="96" customFormat="1" ht="34.5" customHeight="1" thickBot="1" thickTop="1">
      <c r="B18" s="97"/>
      <c r="C18" s="398" t="s">
        <v>20</v>
      </c>
      <c r="D18" s="398" t="s">
        <v>73</v>
      </c>
      <c r="E18" s="398" t="s">
        <v>74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241710</v>
      </c>
      <c r="E21" s="128">
        <v>697</v>
      </c>
      <c r="F21" s="126" t="s">
        <v>130</v>
      </c>
      <c r="G21" s="126">
        <v>220</v>
      </c>
      <c r="H21" s="138">
        <v>177.8699951171875</v>
      </c>
      <c r="I21" s="139">
        <f aca="true" t="shared" si="0" ref="I21:I40">IF(G21=220,$G$14*IF(H21&gt;25,H21,25),IF(G21=132,$G$15*IF(H21&gt;25,+H21,25),$G$16*IF(H21&gt;25,H21,25)))/100</f>
        <v>699.8597336877442</v>
      </c>
      <c r="J21" s="140">
        <v>40878.36041666667</v>
      </c>
      <c r="K21" s="140">
        <v>40878.71944444445</v>
      </c>
      <c r="L21" s="141">
        <f aca="true" t="shared" si="1" ref="L21:L40">IF(F21="","",(K21-J21)*24)</f>
        <v>8.616666666639503</v>
      </c>
      <c r="M21" s="142">
        <f aca="true" t="shared" si="2" ref="M21:M40">IF(F21="","",ROUND((K21-J21)*24*60,0))</f>
        <v>517</v>
      </c>
      <c r="N21" s="143" t="s">
        <v>131</v>
      </c>
      <c r="O21" s="143" t="s">
        <v>132</v>
      </c>
      <c r="P21" s="145">
        <f aca="true" t="shared" si="3" ref="P21:P40">IF(N21="P",ROUND(M21/60,2)*I21*$L$15*0.01,"--")</f>
        <v>1809.8372713165063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1809.8372713165063</v>
      </c>
      <c r="AB21" s="155"/>
    </row>
    <row r="22" spans="2:28" s="10" customFormat="1" ht="16.5" customHeight="1">
      <c r="B22" s="44"/>
      <c r="C22" s="128">
        <v>2</v>
      </c>
      <c r="D22" s="128">
        <v>242151</v>
      </c>
      <c r="E22" s="128">
        <v>711</v>
      </c>
      <c r="F22" s="126" t="s">
        <v>133</v>
      </c>
      <c r="G22" s="126">
        <v>220</v>
      </c>
      <c r="H22" s="138">
        <v>42.95000076293945</v>
      </c>
      <c r="I22" s="139">
        <f t="shared" si="0"/>
        <v>168.99407950191497</v>
      </c>
      <c r="J22" s="140">
        <v>40891.36319444444</v>
      </c>
      <c r="K22" s="140">
        <v>40891.620833333334</v>
      </c>
      <c r="L22" s="141">
        <f t="shared" si="1"/>
        <v>6.183333333407063</v>
      </c>
      <c r="M22" s="142">
        <f t="shared" si="2"/>
        <v>371</v>
      </c>
      <c r="N22" s="143" t="s">
        <v>131</v>
      </c>
      <c r="O22" s="143" t="s">
        <v>132</v>
      </c>
      <c r="P22" s="145">
        <f t="shared" si="3"/>
        <v>313.3150233965504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313.3150233965504</v>
      </c>
      <c r="AB22" s="155"/>
    </row>
    <row r="23" spans="2:28" s="10" customFormat="1" ht="16.5" customHeight="1">
      <c r="B23" s="44"/>
      <c r="C23" s="128">
        <v>3</v>
      </c>
      <c r="D23" s="128">
        <v>242449</v>
      </c>
      <c r="E23" s="128">
        <v>711</v>
      </c>
      <c r="F23" s="126" t="s">
        <v>133</v>
      </c>
      <c r="G23" s="126">
        <v>220</v>
      </c>
      <c r="H23" s="138">
        <v>42.95000076293945</v>
      </c>
      <c r="I23" s="139">
        <f t="shared" si="0"/>
        <v>168.99407950191497</v>
      </c>
      <c r="J23" s="140">
        <v>40899.33541666667</v>
      </c>
      <c r="K23" s="140">
        <v>40899.58263888889</v>
      </c>
      <c r="L23" s="141">
        <f t="shared" si="1"/>
        <v>5.933333333290648</v>
      </c>
      <c r="M23" s="142">
        <f t="shared" si="2"/>
        <v>356</v>
      </c>
      <c r="N23" s="143" t="s">
        <v>131</v>
      </c>
      <c r="O23" s="143" t="s">
        <v>132</v>
      </c>
      <c r="P23" s="145">
        <f t="shared" si="3"/>
        <v>300.64046743390674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300.64046743390674</v>
      </c>
      <c r="AB23" s="155"/>
    </row>
    <row r="24" spans="2:28" s="10" customFormat="1" ht="16.5" customHeight="1">
      <c r="B24" s="44"/>
      <c r="C24" s="128">
        <v>4</v>
      </c>
      <c r="D24" s="128">
        <v>242450</v>
      </c>
      <c r="E24" s="128">
        <v>711</v>
      </c>
      <c r="F24" s="126" t="s">
        <v>133</v>
      </c>
      <c r="G24" s="126">
        <v>220</v>
      </c>
      <c r="H24" s="138">
        <v>42.95000076293945</v>
      </c>
      <c r="I24" s="139">
        <f t="shared" si="0"/>
        <v>168.99407950191497</v>
      </c>
      <c r="J24" s="140">
        <v>40899.97986111111</v>
      </c>
      <c r="K24" s="140">
        <v>40900.17291666667</v>
      </c>
      <c r="L24" s="141">
        <f t="shared" si="1"/>
        <v>4.633333333418705</v>
      </c>
      <c r="M24" s="142">
        <f t="shared" si="2"/>
        <v>278</v>
      </c>
      <c r="N24" s="143" t="s">
        <v>134</v>
      </c>
      <c r="O24" s="143" t="s">
        <v>132</v>
      </c>
      <c r="P24" s="145" t="str">
        <f t="shared" si="3"/>
        <v>--</v>
      </c>
      <c r="Q24" s="146" t="str">
        <f t="shared" si="4"/>
        <v>--</v>
      </c>
      <c r="R24" s="147">
        <f t="shared" si="5"/>
        <v>5069.822385057449</v>
      </c>
      <c r="S24" s="147">
        <f t="shared" si="6"/>
        <v>15209.467155172346</v>
      </c>
      <c r="T24" s="148">
        <f t="shared" si="7"/>
        <v>826.3810487643643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21105.67058899416</v>
      </c>
      <c r="AB24" s="155"/>
    </row>
    <row r="25" spans="2:28" s="10" customFormat="1" ht="16.5" customHeight="1">
      <c r="B25" s="44"/>
      <c r="C25" s="128">
        <v>5</v>
      </c>
      <c r="D25" s="128">
        <v>242451</v>
      </c>
      <c r="E25" s="128">
        <v>710</v>
      </c>
      <c r="F25" s="126" t="s">
        <v>135</v>
      </c>
      <c r="G25" s="126">
        <v>220</v>
      </c>
      <c r="H25" s="138">
        <v>188.32000732421875</v>
      </c>
      <c r="I25" s="139">
        <f t="shared" si="0"/>
        <v>740.9770832183838</v>
      </c>
      <c r="J25" s="140">
        <v>40900.313888888886</v>
      </c>
      <c r="K25" s="140">
        <v>40900.33472222222</v>
      </c>
      <c r="L25" s="141">
        <f t="shared" si="1"/>
        <v>0.5000000000582077</v>
      </c>
      <c r="M25" s="142">
        <f t="shared" si="2"/>
        <v>30</v>
      </c>
      <c r="N25" s="143" t="s">
        <v>131</v>
      </c>
      <c r="O25" s="143" t="s">
        <v>132</v>
      </c>
      <c r="P25" s="145">
        <f t="shared" si="3"/>
        <v>111.14656248275756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111.14656248275756</v>
      </c>
      <c r="AB25" s="155"/>
    </row>
    <row r="26" spans="2:28" s="10" customFormat="1" ht="16.5" customHeight="1">
      <c r="B26" s="44"/>
      <c r="C26" s="128">
        <v>6</v>
      </c>
      <c r="D26" s="128">
        <v>242684</v>
      </c>
      <c r="E26" s="128">
        <v>4662</v>
      </c>
      <c r="F26" s="126" t="s">
        <v>157</v>
      </c>
      <c r="G26" s="126">
        <v>132</v>
      </c>
      <c r="H26" s="138">
        <v>54.4</v>
      </c>
      <c r="I26" s="139">
        <f t="shared" si="0"/>
        <v>204.534208</v>
      </c>
      <c r="J26" s="140">
        <v>40905.93958333333</v>
      </c>
      <c r="K26" s="140">
        <v>40905.94375</v>
      </c>
      <c r="L26" s="141">
        <f t="shared" si="1"/>
        <v>0.09999999997671694</v>
      </c>
      <c r="M26" s="142">
        <f t="shared" si="2"/>
        <v>6</v>
      </c>
      <c r="N26" s="140" t="s">
        <v>134</v>
      </c>
      <c r="O26" s="143" t="s">
        <v>132</v>
      </c>
      <c r="P26" s="145" t="str">
        <f t="shared" si="3"/>
        <v>--</v>
      </c>
      <c r="Q26" s="146" t="str">
        <f t="shared" si="4"/>
        <v>--</v>
      </c>
      <c r="R26" s="147">
        <f t="shared" si="5"/>
        <v>6136.02624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6136.02624</v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>
        <f t="shared" si="0"/>
        <v>93.9955</v>
      </c>
      <c r="J27" s="140"/>
      <c r="K27" s="140"/>
      <c r="L27" s="141">
        <f t="shared" si="1"/>
      </c>
      <c r="M27" s="142">
        <f t="shared" si="2"/>
      </c>
      <c r="N27" s="140"/>
      <c r="O27" s="144">
        <f aca="true" t="shared" si="15" ref="O27:O40">IF(F27="","","--")</f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>
        <f t="shared" si="13"/>
      </c>
      <c r="AA27" s="154">
        <f t="shared" si="14"/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>
        <f t="shared" si="0"/>
        <v>93.9955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15"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>
        <f t="shared" si="0"/>
        <v>93.9955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>
        <f t="shared" si="0"/>
        <v>93.9955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>
        <f t="shared" si="0"/>
        <v>93.9955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>
        <f t="shared" si="0"/>
        <v>93.9955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>
        <f t="shared" si="0"/>
        <v>93.9955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>
        <f t="shared" si="0"/>
        <v>93.9955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>
        <f t="shared" si="0"/>
        <v>93.9955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>
        <f t="shared" si="0"/>
        <v>93.9955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>
        <f t="shared" si="0"/>
        <v>93.9955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>
        <f t="shared" si="0"/>
        <v>93.9955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>
        <f t="shared" si="0"/>
        <v>93.9955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>
        <f t="shared" si="0"/>
        <v>93.9955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419" t="s">
        <v>159</v>
      </c>
      <c r="D42" s="418" t="s">
        <v>158</v>
      </c>
      <c r="E42" s="186"/>
      <c r="F42" s="172"/>
      <c r="G42" s="3"/>
      <c r="H42" s="5"/>
      <c r="I42" s="173"/>
      <c r="J42" s="173"/>
      <c r="K42" s="173"/>
      <c r="L42" s="173"/>
      <c r="M42" s="173"/>
      <c r="N42" s="173"/>
      <c r="O42" s="174"/>
      <c r="P42" s="175">
        <f aca="true" t="shared" si="16" ref="P42:Y42">SUM(P19:P41)</f>
        <v>2534.939324629721</v>
      </c>
      <c r="Q42" s="176">
        <f t="shared" si="16"/>
        <v>0</v>
      </c>
      <c r="R42" s="177">
        <f t="shared" si="16"/>
        <v>11205.84862505745</v>
      </c>
      <c r="S42" s="177">
        <f t="shared" si="16"/>
        <v>15209.467155172346</v>
      </c>
      <c r="T42" s="177">
        <f t="shared" si="16"/>
        <v>826.3810487643643</v>
      </c>
      <c r="U42" s="178">
        <f t="shared" si="16"/>
        <v>0</v>
      </c>
      <c r="V42" s="178">
        <f t="shared" si="16"/>
        <v>0</v>
      </c>
      <c r="W42" s="178">
        <f t="shared" si="16"/>
        <v>0</v>
      </c>
      <c r="X42" s="179">
        <f t="shared" si="16"/>
        <v>0</v>
      </c>
      <c r="Y42" s="180">
        <f t="shared" si="16"/>
        <v>0</v>
      </c>
      <c r="Z42" s="181"/>
      <c r="AA42" s="182">
        <f>ROUND(SUM(AA19:AA41),2)</f>
        <v>29776.64</v>
      </c>
      <c r="AB42" s="183"/>
    </row>
    <row r="43" spans="2:28" s="184" customFormat="1" ht="9.75" thickTop="1">
      <c r="B43" s="185"/>
      <c r="C43" s="186"/>
      <c r="D43" s="186"/>
      <c r="E43" s="186"/>
      <c r="F43" s="187"/>
      <c r="G43" s="188"/>
      <c r="H43" s="189"/>
      <c r="I43" s="190"/>
      <c r="J43" s="190"/>
      <c r="K43" s="190"/>
      <c r="L43" s="190"/>
      <c r="M43" s="190"/>
      <c r="N43" s="190"/>
      <c r="O43" s="191"/>
      <c r="P43" s="192"/>
      <c r="Q43" s="192"/>
      <c r="R43" s="193"/>
      <c r="S43" s="193"/>
      <c r="T43" s="194"/>
      <c r="U43" s="194"/>
      <c r="V43" s="194"/>
      <c r="W43" s="194"/>
      <c r="X43" s="194"/>
      <c r="Y43" s="194"/>
      <c r="Z43" s="194"/>
      <c r="AA43" s="195"/>
      <c r="AB43" s="196"/>
    </row>
    <row r="44" spans="2:28" s="10" customFormat="1" ht="16.5" customHeight="1" thickBot="1"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</row>
    <row r="45" spans="2:28" ht="13.5" thickTop="1">
      <c r="B45" s="200"/>
      <c r="AB45" s="200"/>
    </row>
    <row r="90" ht="12.75">
      <c r="B90" s="200"/>
    </row>
  </sheetData>
  <sheetProtection/>
  <printOptions/>
  <pageMargins left="0.3937007874015748" right="0.1968503937007874" top="0.7874015748031497" bottom="0.94" header="0.5118110236220472" footer="0.5118110236220472"/>
  <pageSetup fitToHeight="1" fitToWidth="1" orientation="landscape" paperSize="9" scale="60" r:id="rId3"/>
  <headerFooter alignWithMargins="0">
    <oddFooter>&amp;L&amp;F-&amp;A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8"/>
  <sheetViews>
    <sheetView zoomScale="70" zoomScaleNormal="70" zoomScalePageLayoutView="0" workbookViewId="0" topLeftCell="A7">
      <selection activeCell="G36" sqref="G36"/>
    </sheetView>
  </sheetViews>
  <sheetFormatPr defaultColWidth="11.421875" defaultRowHeight="12.75"/>
  <cols>
    <col min="1" max="1" width="18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13.281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394"/>
    </row>
    <row r="2" spans="2:30" s="6" customFormat="1" ht="26.25">
      <c r="B2" s="68" t="str">
        <f>+'TOT-1211'!B2</f>
        <v>ANEXO I al Memorándum  D.T.E.E.  N°    716 / 2013</v>
      </c>
      <c r="C2" s="202"/>
      <c r="D2" s="202"/>
      <c r="E2" s="202"/>
      <c r="F2" s="202"/>
      <c r="G2" s="9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2:30" s="10" customFormat="1" ht="12" customHeight="1">
      <c r="B3" s="69"/>
      <c r="C3" s="203"/>
      <c r="D3" s="203"/>
      <c r="E3" s="203"/>
      <c r="F3" s="203"/>
      <c r="G3" s="1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30" s="13" customFormat="1" ht="11.25">
      <c r="A4" s="204" t="s">
        <v>3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13" customFormat="1" ht="11.25">
      <c r="A5" s="204" t="s">
        <v>4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2:30" s="10" customFormat="1" ht="16.5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2:30" s="10" customFormat="1" ht="16.5" customHeight="1" thickTop="1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</row>
    <row r="8" spans="2:30" s="74" customFormat="1" ht="20.25">
      <c r="B8" s="211"/>
      <c r="C8" s="212"/>
      <c r="D8" s="212"/>
      <c r="E8" s="212"/>
      <c r="F8" s="213" t="s">
        <v>14</v>
      </c>
      <c r="H8" s="212"/>
      <c r="I8" s="214"/>
      <c r="J8" s="214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5"/>
    </row>
    <row r="9" spans="2:30" s="10" customFormat="1" ht="16.5" customHeight="1">
      <c r="B9" s="216"/>
      <c r="C9" s="64"/>
      <c r="D9" s="64"/>
      <c r="E9" s="64"/>
      <c r="F9" s="64"/>
      <c r="G9" s="64"/>
      <c r="H9" s="64"/>
      <c r="I9" s="207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7"/>
    </row>
    <row r="10" spans="2:30" s="74" customFormat="1" ht="20.25">
      <c r="B10" s="211"/>
      <c r="C10" s="212"/>
      <c r="D10" s="212"/>
      <c r="E10" s="212"/>
      <c r="F10" s="213" t="s">
        <v>37</v>
      </c>
      <c r="G10" s="212"/>
      <c r="H10" s="212"/>
      <c r="I10" s="214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5"/>
    </row>
    <row r="11" spans="2:30" s="10" customFormat="1" ht="16.5" customHeight="1">
      <c r="B11" s="216"/>
      <c r="C11" s="64"/>
      <c r="D11" s="64"/>
      <c r="E11" s="64"/>
      <c r="F11" s="218"/>
      <c r="G11" s="64"/>
      <c r="H11" s="64"/>
      <c r="I11" s="207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7"/>
    </row>
    <row r="12" spans="2:30" s="74" customFormat="1" ht="20.25">
      <c r="B12" s="211"/>
      <c r="C12" s="212"/>
      <c r="D12" s="212"/>
      <c r="E12" s="212"/>
      <c r="F12" s="219" t="s">
        <v>38</v>
      </c>
      <c r="G12" s="213"/>
      <c r="H12" s="214"/>
      <c r="I12" s="214"/>
      <c r="J12" s="220"/>
      <c r="K12" s="212"/>
      <c r="L12" s="214"/>
      <c r="M12" s="214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</row>
    <row r="13" spans="2:30" s="10" customFormat="1" ht="16.5" customHeight="1">
      <c r="B13" s="216"/>
      <c r="C13" s="64"/>
      <c r="D13" s="64"/>
      <c r="E13" s="64"/>
      <c r="F13" s="221"/>
      <c r="G13" s="221"/>
      <c r="H13" s="221"/>
      <c r="I13" s="222"/>
      <c r="J13" s="22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7"/>
    </row>
    <row r="14" spans="2:30" s="17" customFormat="1" ht="19.5">
      <c r="B14" s="224" t="str">
        <f>+'TOT-1211'!B14</f>
        <v>Desde el 01 al 31 de diciembre de 2011</v>
      </c>
      <c r="C14" s="80"/>
      <c r="D14" s="80"/>
      <c r="E14" s="80"/>
      <c r="F14" s="225"/>
      <c r="G14" s="225"/>
      <c r="H14" s="225"/>
      <c r="I14" s="225"/>
      <c r="J14" s="225"/>
      <c r="K14" s="81"/>
      <c r="L14" s="81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6"/>
    </row>
    <row r="15" spans="2:30" s="10" customFormat="1" ht="16.5" customHeight="1" thickBot="1">
      <c r="B15" s="216"/>
      <c r="C15" s="64"/>
      <c r="D15" s="64"/>
      <c r="E15" s="64"/>
      <c r="F15" s="64"/>
      <c r="G15" s="64"/>
      <c r="H15" s="64"/>
      <c r="I15" s="227"/>
      <c r="J15" s="64"/>
      <c r="K15" s="228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7"/>
    </row>
    <row r="16" spans="2:30" s="10" customFormat="1" ht="16.5" customHeight="1" thickBot="1" thickTop="1">
      <c r="B16" s="216"/>
      <c r="C16" s="64"/>
      <c r="D16" s="64"/>
      <c r="E16" s="64"/>
      <c r="F16" s="229" t="s">
        <v>39</v>
      </c>
      <c r="G16" s="230"/>
      <c r="H16" s="231"/>
      <c r="I16" s="232">
        <v>1.314</v>
      </c>
      <c r="J16" s="207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7"/>
    </row>
    <row r="17" spans="2:30" s="10" customFormat="1" ht="16.5" customHeight="1" thickBot="1" thickTop="1">
      <c r="B17" s="216"/>
      <c r="C17" s="64"/>
      <c r="D17" s="64"/>
      <c r="E17" s="64"/>
      <c r="F17" s="233" t="s">
        <v>40</v>
      </c>
      <c r="G17" s="234"/>
      <c r="H17" s="234"/>
      <c r="I17" s="235">
        <f>30*'TOT-1211'!B13</f>
        <v>30</v>
      </c>
      <c r="J17" s="236" t="str">
        <f>IF(I17=30," ",IF(I17=60,"     Coeficiente duplicado por tasa de falla &gt;4 Sal. x año/100 km.","    REVISAR COEFICIENTE"))</f>
        <v> </v>
      </c>
      <c r="K17" s="236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7"/>
      <c r="X17" s="64"/>
      <c r="Y17" s="237"/>
      <c r="Z17" s="237"/>
      <c r="AA17" s="237"/>
      <c r="AB17" s="237"/>
      <c r="AC17" s="237"/>
      <c r="AD17" s="217"/>
    </row>
    <row r="18" spans="2:30" s="10" customFormat="1" ht="16.5" customHeight="1" thickBot="1" thickTop="1">
      <c r="B18" s="216"/>
      <c r="C18" s="64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16">
        <v>23</v>
      </c>
      <c r="X18" s="416">
        <v>24</v>
      </c>
      <c r="Y18" s="416">
        <v>25</v>
      </c>
      <c r="Z18" s="416">
        <v>26</v>
      </c>
      <c r="AA18" s="416">
        <v>27</v>
      </c>
      <c r="AB18" s="416">
        <v>28</v>
      </c>
      <c r="AC18" s="416">
        <v>29</v>
      </c>
      <c r="AD18" s="217"/>
    </row>
    <row r="19" spans="2:30" s="238" customFormat="1" ht="34.5" customHeight="1" thickBot="1" thickTop="1">
      <c r="B19" s="239"/>
      <c r="C19" s="398" t="s">
        <v>20</v>
      </c>
      <c r="D19" s="398" t="s">
        <v>73</v>
      </c>
      <c r="E19" s="398" t="s">
        <v>74</v>
      </c>
      <c r="F19" s="240" t="s">
        <v>41</v>
      </c>
      <c r="G19" s="241" t="s">
        <v>42</v>
      </c>
      <c r="H19" s="242" t="s">
        <v>43</v>
      </c>
      <c r="I19" s="243" t="s">
        <v>21</v>
      </c>
      <c r="J19" s="244" t="s">
        <v>23</v>
      </c>
      <c r="K19" s="241" t="s">
        <v>24</v>
      </c>
      <c r="L19" s="241" t="s">
        <v>25</v>
      </c>
      <c r="M19" s="240" t="s">
        <v>44</v>
      </c>
      <c r="N19" s="240" t="s">
        <v>45</v>
      </c>
      <c r="O19" s="99" t="s">
        <v>72</v>
      </c>
      <c r="P19" s="241" t="s">
        <v>46</v>
      </c>
      <c r="Q19" s="240" t="s">
        <v>28</v>
      </c>
      <c r="R19" s="241" t="s">
        <v>47</v>
      </c>
      <c r="S19" s="245" t="s">
        <v>48</v>
      </c>
      <c r="T19" s="246" t="s">
        <v>29</v>
      </c>
      <c r="U19" s="247" t="s">
        <v>30</v>
      </c>
      <c r="V19" s="248" t="s">
        <v>49</v>
      </c>
      <c r="W19" s="249"/>
      <c r="X19" s="250" t="s">
        <v>50</v>
      </c>
      <c r="Y19" s="251"/>
      <c r="Z19" s="252" t="s">
        <v>33</v>
      </c>
      <c r="AA19" s="253" t="s">
        <v>34</v>
      </c>
      <c r="AB19" s="243" t="s">
        <v>51</v>
      </c>
      <c r="AC19" s="243" t="s">
        <v>36</v>
      </c>
      <c r="AD19" s="254"/>
    </row>
    <row r="20" spans="2:30" s="10" customFormat="1" ht="16.5" customHeight="1" thickTop="1">
      <c r="B20" s="216"/>
      <c r="C20" s="255"/>
      <c r="D20" s="255"/>
      <c r="E20" s="255"/>
      <c r="F20" s="256"/>
      <c r="G20" s="257"/>
      <c r="H20" s="257"/>
      <c r="I20" s="257"/>
      <c r="J20" s="258"/>
      <c r="K20" s="256"/>
      <c r="L20" s="257"/>
      <c r="M20" s="259"/>
      <c r="N20" s="259"/>
      <c r="O20" s="257"/>
      <c r="P20" s="257"/>
      <c r="Q20" s="257"/>
      <c r="R20" s="257"/>
      <c r="S20" s="123"/>
      <c r="T20" s="121"/>
      <c r="U20" s="260"/>
      <c r="V20" s="261"/>
      <c r="W20" s="262"/>
      <c r="X20" s="263"/>
      <c r="Y20" s="264"/>
      <c r="Z20" s="265"/>
      <c r="AA20" s="266"/>
      <c r="AB20" s="257"/>
      <c r="AC20" s="267"/>
      <c r="AD20" s="217"/>
    </row>
    <row r="21" spans="2:30" s="10" customFormat="1" ht="16.5" customHeight="1">
      <c r="B21" s="216"/>
      <c r="C21" s="268"/>
      <c r="D21" s="268"/>
      <c r="E21" s="268"/>
      <c r="F21" s="269"/>
      <c r="G21" s="269"/>
      <c r="H21" s="269"/>
      <c r="I21" s="269"/>
      <c r="J21" s="270"/>
      <c r="K21" s="271"/>
      <c r="L21" s="269"/>
      <c r="M21" s="272"/>
      <c r="N21" s="272"/>
      <c r="O21" s="269"/>
      <c r="P21" s="269"/>
      <c r="Q21" s="269"/>
      <c r="R21" s="269"/>
      <c r="S21" s="136"/>
      <c r="T21" s="134"/>
      <c r="U21" s="273"/>
      <c r="V21" s="274"/>
      <c r="W21" s="275"/>
      <c r="X21" s="276"/>
      <c r="Y21" s="277"/>
      <c r="Z21" s="278"/>
      <c r="AA21" s="279"/>
      <c r="AB21" s="269"/>
      <c r="AC21" s="280"/>
      <c r="AD21" s="217"/>
    </row>
    <row r="22" spans="2:30" s="10" customFormat="1" ht="16.5" customHeight="1">
      <c r="B22" s="216"/>
      <c r="C22" s="268">
        <v>7</v>
      </c>
      <c r="D22" s="268">
        <v>241711</v>
      </c>
      <c r="E22" s="268">
        <v>867</v>
      </c>
      <c r="F22" s="126" t="s">
        <v>136</v>
      </c>
      <c r="G22" s="128" t="s">
        <v>137</v>
      </c>
      <c r="H22" s="281">
        <v>15</v>
      </c>
      <c r="I22" s="138" t="s">
        <v>138</v>
      </c>
      <c r="J22" s="283">
        <f aca="true" t="shared" si="0" ref="J22:J43">H22*$I$16</f>
        <v>19.71</v>
      </c>
      <c r="K22" s="284">
        <v>40878.40555555555</v>
      </c>
      <c r="L22" s="284">
        <v>40878.6</v>
      </c>
      <c r="M22" s="285">
        <f aca="true" t="shared" si="1" ref="M22:M43">IF(F22="","",(L22-K22)*24)</f>
        <v>4.666666666686069</v>
      </c>
      <c r="N22" s="286">
        <f aca="true" t="shared" si="2" ref="N22:N43">IF(F22="","",ROUND((L22-K22)*24*60,0))</f>
        <v>280</v>
      </c>
      <c r="O22" s="287" t="s">
        <v>131</v>
      </c>
      <c r="P22" s="288" t="str">
        <f aca="true" t="shared" si="3" ref="P22:P43">IF(F22="","",IF(OR(O22="P",O22="RP"),"--","NO"))</f>
        <v>--</v>
      </c>
      <c r="Q22" s="287" t="s">
        <v>132</v>
      </c>
      <c r="R22" s="287" t="str">
        <f aca="true" t="shared" si="4" ref="R22:R43">IF(F22="","","NO")</f>
        <v>NO</v>
      </c>
      <c r="S22" s="152">
        <f aca="true" t="shared" si="5" ref="S22:S43">$I$17*IF(OR(O22="P",O22="RP"),0.1,1)*IF(R22="SI",1,0.1)</f>
        <v>0.30000000000000004</v>
      </c>
      <c r="T22" s="289">
        <f aca="true" t="shared" si="6" ref="T22:T43">IF(O22="P",J22*S22*ROUND(N22/60,2),"--")</f>
        <v>27.613710000000005</v>
      </c>
      <c r="U22" s="290" t="str">
        <f aca="true" t="shared" si="7" ref="U22:U43">IF(O22="RP",J22*S22*ROUND(N22/60,2)*Q22/100,"--")</f>
        <v>--</v>
      </c>
      <c r="V22" s="291" t="str">
        <f aca="true" t="shared" si="8" ref="V22:V43">IF(AND(O22="F",P22="NO"),J22*S22,"--")</f>
        <v>--</v>
      </c>
      <c r="W22" s="292" t="str">
        <f aca="true" t="shared" si="9" ref="W22:W43">IF(O22="F",J22*S22*ROUND(N22/60,2),"--")</f>
        <v>--</v>
      </c>
      <c r="X22" s="293" t="str">
        <f aca="true" t="shared" si="10" ref="X22:X43">IF(AND(O22="R",P22="NO"),J22*S22*Q22/100,"--")</f>
        <v>--</v>
      </c>
      <c r="Y22" s="294" t="str">
        <f aca="true" t="shared" si="11" ref="Y22:Y43">IF(O22="R",J22*S22*ROUND(N22/60,2)*Q22/100,"--")</f>
        <v>--</v>
      </c>
      <c r="Z22" s="295" t="str">
        <f aca="true" t="shared" si="12" ref="Z22:Z43">IF(O22="RF",J22*S22*ROUND(N22/60,2),"--")</f>
        <v>--</v>
      </c>
      <c r="AA22" s="296" t="str">
        <f aca="true" t="shared" si="13" ref="AA22:AA43">IF(O22="RR",J22*S22*ROUND(N22/60,2)*Q22/100,"--")</f>
        <v>--</v>
      </c>
      <c r="AB22" s="287" t="s">
        <v>139</v>
      </c>
      <c r="AC22" s="297">
        <f aca="true" t="shared" si="14" ref="AC22:AC43">IF(F22="","",SUM(T22:AA22)*IF(AB22="SI",1,2))</f>
        <v>27.613710000000005</v>
      </c>
      <c r="AD22" s="298"/>
    </row>
    <row r="23" spans="2:30" s="10" customFormat="1" ht="16.5" customHeight="1">
      <c r="B23" s="216"/>
      <c r="C23" s="268">
        <v>8</v>
      </c>
      <c r="D23" s="268">
        <v>241815</v>
      </c>
      <c r="E23" s="268">
        <v>862</v>
      </c>
      <c r="F23" s="126" t="s">
        <v>153</v>
      </c>
      <c r="G23" s="128" t="s">
        <v>154</v>
      </c>
      <c r="H23" s="417">
        <v>60</v>
      </c>
      <c r="I23" s="138" t="s">
        <v>156</v>
      </c>
      <c r="J23" s="283">
        <f>H23*$I$16</f>
        <v>78.84</v>
      </c>
      <c r="K23" s="284">
        <v>40883.37013888889</v>
      </c>
      <c r="L23" s="284">
        <v>40883.527083333334</v>
      </c>
      <c r="M23" s="285">
        <f>IF(F23="","",(L23-K23)*24)</f>
        <v>3.766666666720994</v>
      </c>
      <c r="N23" s="286">
        <f>IF(F23="","",ROUND((L23-K23)*24*60,0))</f>
        <v>226</v>
      </c>
      <c r="O23" s="287" t="s">
        <v>131</v>
      </c>
      <c r="P23" s="288" t="str">
        <f>IF(F23="","",IF(OR(O23="P",O23="RP"),"--","NO"))</f>
        <v>--</v>
      </c>
      <c r="Q23" s="287" t="s">
        <v>132</v>
      </c>
      <c r="R23" s="287" t="str">
        <f>IF(F23="","","NO")</f>
        <v>NO</v>
      </c>
      <c r="S23" s="152">
        <f>$I$17*IF(OR(O23="P",O23="RP"),0.1,1)*IF(R23="SI",1,0.1)</f>
        <v>0.30000000000000004</v>
      </c>
      <c r="T23" s="289">
        <f>IF(O23="P",J23*S23*ROUND(N23/60,2),"--")</f>
        <v>89.16804000000002</v>
      </c>
      <c r="U23" s="290" t="str">
        <f>IF(O23="RP",J23*S23*ROUND(N23/60,2)*Q23/100,"--")</f>
        <v>--</v>
      </c>
      <c r="V23" s="291" t="str">
        <f>IF(AND(O23="F",P23="NO"),J23*S23,"--")</f>
        <v>--</v>
      </c>
      <c r="W23" s="292" t="str">
        <f>IF(O23="F",J23*S23*ROUND(N23/60,2),"--")</f>
        <v>--</v>
      </c>
      <c r="X23" s="293" t="str">
        <f>IF(AND(O23="R",P23="NO"),J23*S23*Q23/100,"--")</f>
        <v>--</v>
      </c>
      <c r="Y23" s="294" t="str">
        <f>IF(O23="R",J23*S23*ROUND(N23/60,2)*Q23/100,"--")</f>
        <v>--</v>
      </c>
      <c r="Z23" s="295" t="str">
        <f>IF(O23="RF",J23*S23*ROUND(N23/60,2),"--")</f>
        <v>--</v>
      </c>
      <c r="AA23" s="296" t="str">
        <f>IF(O23="RR",J23*S23*ROUND(N23/60,2)*Q23/100,"--")</f>
        <v>--</v>
      </c>
      <c r="AB23" s="287" t="s">
        <v>139</v>
      </c>
      <c r="AC23" s="297">
        <f>IF(F23="","",SUM(T23:AA23)*IF(AB23="SI",1,2))</f>
        <v>89.16804000000002</v>
      </c>
      <c r="AD23" s="298"/>
    </row>
    <row r="24" spans="2:30" s="10" customFormat="1" ht="16.5" customHeight="1">
      <c r="B24" s="216"/>
      <c r="C24" s="268">
        <v>9</v>
      </c>
      <c r="D24" s="268">
        <v>241816</v>
      </c>
      <c r="E24" s="268">
        <v>863</v>
      </c>
      <c r="F24" s="126" t="s">
        <v>153</v>
      </c>
      <c r="G24" s="128" t="s">
        <v>155</v>
      </c>
      <c r="H24" s="417">
        <v>60</v>
      </c>
      <c r="I24" s="138" t="s">
        <v>156</v>
      </c>
      <c r="J24" s="283">
        <f>H24*$I$16</f>
        <v>78.84</v>
      </c>
      <c r="K24" s="284">
        <v>40883.53055555555</v>
      </c>
      <c r="L24" s="284">
        <v>40883.611805555556</v>
      </c>
      <c r="M24" s="285">
        <f>IF(F24="","",(L24-K24)*24)</f>
        <v>1.9500000000698492</v>
      </c>
      <c r="N24" s="286">
        <f>IF(F24="","",ROUND((L24-K24)*24*60,0))</f>
        <v>117</v>
      </c>
      <c r="O24" s="287" t="s">
        <v>131</v>
      </c>
      <c r="P24" s="288" t="str">
        <f>IF(F24="","",IF(OR(O24="P",O24="RP"),"--","NO"))</f>
        <v>--</v>
      </c>
      <c r="Q24" s="287" t="s">
        <v>132</v>
      </c>
      <c r="R24" s="287" t="str">
        <f>IF(F24="","","NO")</f>
        <v>NO</v>
      </c>
      <c r="S24" s="152">
        <f>$I$17*IF(OR(O24="P",O24="RP"),0.1,1)*IF(R24="SI",1,0.1)</f>
        <v>0.30000000000000004</v>
      </c>
      <c r="T24" s="289">
        <f>IF(O24="P",J24*S24*ROUND(N24/60,2),"--")</f>
        <v>46.12140000000001</v>
      </c>
      <c r="U24" s="290" t="str">
        <f>IF(O24="RP",J24*S24*ROUND(N24/60,2)*Q24/100,"--")</f>
        <v>--</v>
      </c>
      <c r="V24" s="291" t="str">
        <f>IF(AND(O24="F",P24="NO"),J24*S24,"--")</f>
        <v>--</v>
      </c>
      <c r="W24" s="292" t="str">
        <f>IF(O24="F",J24*S24*ROUND(N24/60,2),"--")</f>
        <v>--</v>
      </c>
      <c r="X24" s="293" t="str">
        <f>IF(AND(O24="R",P24="NO"),J24*S24*Q24/100,"--")</f>
        <v>--</v>
      </c>
      <c r="Y24" s="294" t="str">
        <f>IF(O24="R",J24*S24*ROUND(N24/60,2)*Q24/100,"--")</f>
        <v>--</v>
      </c>
      <c r="Z24" s="295" t="str">
        <f>IF(O24="RF",J24*S24*ROUND(N24/60,2),"--")</f>
        <v>--</v>
      </c>
      <c r="AA24" s="296" t="str">
        <f>IF(O24="RR",J24*S24*ROUND(N24/60,2)*Q24/100,"--")</f>
        <v>--</v>
      </c>
      <c r="AB24" s="287" t="s">
        <v>139</v>
      </c>
      <c r="AC24" s="297">
        <f>IF(F24="","",SUM(T24:AA24)*IF(AB24="SI",1,2))</f>
        <v>46.12140000000001</v>
      </c>
      <c r="AD24" s="298"/>
    </row>
    <row r="25" spans="2:30" s="10" customFormat="1" ht="16.5" customHeight="1">
      <c r="B25" s="216"/>
      <c r="C25" s="268">
        <v>10</v>
      </c>
      <c r="D25" s="268">
        <v>242440</v>
      </c>
      <c r="E25" s="268">
        <v>871</v>
      </c>
      <c r="F25" s="126" t="s">
        <v>140</v>
      </c>
      <c r="G25" s="128" t="s">
        <v>151</v>
      </c>
      <c r="H25" s="417">
        <v>30</v>
      </c>
      <c r="I25" s="138" t="s">
        <v>141</v>
      </c>
      <c r="J25" s="283">
        <f>H25*$I$16</f>
        <v>39.42</v>
      </c>
      <c r="K25" s="284">
        <v>40897.217361111114</v>
      </c>
      <c r="L25" s="284">
        <v>40897.720138888886</v>
      </c>
      <c r="M25" s="285">
        <f>IF(F25="","",(L25-K25)*24)</f>
        <v>12.06666666653473</v>
      </c>
      <c r="N25" s="286">
        <f>IF(F25="","",ROUND((L25-K25)*24*60,0))</f>
        <v>724</v>
      </c>
      <c r="O25" s="287" t="s">
        <v>142</v>
      </c>
      <c r="P25" s="288" t="str">
        <f>IF(F25="","",IF(OR(O25="P",O25="RP"),"--","NO"))</f>
        <v>NO</v>
      </c>
      <c r="Q25" s="287">
        <v>40</v>
      </c>
      <c r="R25" s="287" t="s">
        <v>139</v>
      </c>
      <c r="S25" s="152">
        <f>$I$17*IF(OR(O25="P",O25="RP"),0.1,1)*IF(R25="SI",1,0.1)</f>
        <v>30</v>
      </c>
      <c r="T25" s="289" t="str">
        <f>IF(O25="P",J25*S25*ROUND(N25/60,2),"--")</f>
        <v>--</v>
      </c>
      <c r="U25" s="290" t="str">
        <f>IF(O25="RP",J25*S25*ROUND(N25/60,2)*Q25/100,"--")</f>
        <v>--</v>
      </c>
      <c r="V25" s="291" t="str">
        <f>IF(AND(O25="F",P25="NO"),J25*S25,"--")</f>
        <v>--</v>
      </c>
      <c r="W25" s="292" t="str">
        <f>IF(O25="F",J25*S25*ROUND(N25/60,2),"--")</f>
        <v>--</v>
      </c>
      <c r="X25" s="293">
        <f>IF(AND(O25="R",P25="NO"),J25*S25*Q25/100,"--")</f>
        <v>473.0400000000001</v>
      </c>
      <c r="Y25" s="294">
        <f>IF(O25="R",J25*S25*ROUND(N25/60,2)*Q25/100,"--")</f>
        <v>5709.5928</v>
      </c>
      <c r="Z25" s="295" t="str">
        <f>IF(O25="RF",J25*S25*ROUND(N25/60,2),"--")</f>
        <v>--</v>
      </c>
      <c r="AA25" s="296" t="str">
        <f>IF(O25="RR",J25*S25*ROUND(N25/60,2)*Q25/100,"--")</f>
        <v>--</v>
      </c>
      <c r="AB25" s="287" t="s">
        <v>139</v>
      </c>
      <c r="AC25" s="297">
        <f>IF(F25="","",SUM(T25:AA25)*IF(AB25="SI",1,2))</f>
        <v>6182.6328</v>
      </c>
      <c r="AD25" s="298"/>
    </row>
    <row r="26" spans="2:30" s="10" customFormat="1" ht="16.5" customHeight="1">
      <c r="B26" s="216"/>
      <c r="C26" s="268">
        <v>11</v>
      </c>
      <c r="D26" s="268">
        <v>242441</v>
      </c>
      <c r="E26" s="268">
        <v>5079</v>
      </c>
      <c r="F26" s="126" t="s">
        <v>140</v>
      </c>
      <c r="G26" s="128" t="s">
        <v>152</v>
      </c>
      <c r="H26" s="417">
        <v>30</v>
      </c>
      <c r="I26" s="138" t="s">
        <v>141</v>
      </c>
      <c r="J26" s="283">
        <f t="shared" si="0"/>
        <v>39.42</v>
      </c>
      <c r="K26" s="284">
        <v>40897.217361111114</v>
      </c>
      <c r="L26" s="284">
        <v>40897.32152777778</v>
      </c>
      <c r="M26" s="285">
        <f t="shared" si="1"/>
        <v>2.4999999999417923</v>
      </c>
      <c r="N26" s="286">
        <f t="shared" si="2"/>
        <v>150</v>
      </c>
      <c r="O26" s="287" t="s">
        <v>131</v>
      </c>
      <c r="P26" s="288" t="str">
        <f t="shared" si="3"/>
        <v>--</v>
      </c>
      <c r="Q26" s="287" t="s">
        <v>132</v>
      </c>
      <c r="R26" s="287" t="str">
        <f t="shared" si="4"/>
        <v>NO</v>
      </c>
      <c r="S26" s="152">
        <f t="shared" si="5"/>
        <v>0.30000000000000004</v>
      </c>
      <c r="T26" s="289">
        <f t="shared" si="6"/>
        <v>29.565000000000005</v>
      </c>
      <c r="U26" s="290" t="str">
        <f t="shared" si="7"/>
        <v>--</v>
      </c>
      <c r="V26" s="291" t="str">
        <f t="shared" si="8"/>
        <v>--</v>
      </c>
      <c r="W26" s="292" t="str">
        <f t="shared" si="9"/>
        <v>--</v>
      </c>
      <c r="X26" s="293" t="str">
        <f t="shared" si="10"/>
        <v>--</v>
      </c>
      <c r="Y26" s="294" t="str">
        <f t="shared" si="11"/>
        <v>--</v>
      </c>
      <c r="Z26" s="295" t="str">
        <f t="shared" si="12"/>
        <v>--</v>
      </c>
      <c r="AA26" s="296" t="str">
        <f t="shared" si="13"/>
        <v>--</v>
      </c>
      <c r="AB26" s="287" t="s">
        <v>139</v>
      </c>
      <c r="AC26" s="297">
        <f t="shared" si="14"/>
        <v>29.565000000000005</v>
      </c>
      <c r="AD26" s="217"/>
    </row>
    <row r="27" spans="2:30" s="10" customFormat="1" ht="16.5" customHeight="1">
      <c r="B27" s="216"/>
      <c r="C27" s="268"/>
      <c r="D27" s="268"/>
      <c r="E27" s="268"/>
      <c r="F27" s="126"/>
      <c r="G27" s="128"/>
      <c r="H27" s="281"/>
      <c r="I27" s="282"/>
      <c r="J27" s="283">
        <f t="shared" si="0"/>
        <v>0</v>
      </c>
      <c r="K27" s="284"/>
      <c r="L27" s="284"/>
      <c r="M27" s="285">
        <f t="shared" si="1"/>
      </c>
      <c r="N27" s="286">
        <f t="shared" si="2"/>
      </c>
      <c r="O27" s="287"/>
      <c r="P27" s="288">
        <f t="shared" si="3"/>
      </c>
      <c r="Q27" s="288">
        <f aca="true" t="shared" si="15" ref="Q27:Q43">IF(F27="","","--")</f>
      </c>
      <c r="R27" s="287">
        <f t="shared" si="4"/>
      </c>
      <c r="S27" s="152">
        <f t="shared" si="5"/>
        <v>3</v>
      </c>
      <c r="T27" s="289" t="str">
        <f t="shared" si="6"/>
        <v>--</v>
      </c>
      <c r="U27" s="290" t="str">
        <f t="shared" si="7"/>
        <v>--</v>
      </c>
      <c r="V27" s="291" t="str">
        <f t="shared" si="8"/>
        <v>--</v>
      </c>
      <c r="W27" s="292" t="str">
        <f t="shared" si="9"/>
        <v>--</v>
      </c>
      <c r="X27" s="293" t="str">
        <f t="shared" si="10"/>
        <v>--</v>
      </c>
      <c r="Y27" s="294" t="str">
        <f t="shared" si="11"/>
        <v>--</v>
      </c>
      <c r="Z27" s="295" t="str">
        <f t="shared" si="12"/>
        <v>--</v>
      </c>
      <c r="AA27" s="296" t="str">
        <f t="shared" si="13"/>
        <v>--</v>
      </c>
      <c r="AB27" s="287">
        <f aca="true" t="shared" si="16" ref="AB27:AB43">IF(F27="","","SI")</f>
      </c>
      <c r="AC27" s="297">
        <f t="shared" si="14"/>
      </c>
      <c r="AD27" s="217"/>
    </row>
    <row r="28" spans="2:30" s="10" customFormat="1" ht="16.5" customHeight="1">
      <c r="B28" s="216"/>
      <c r="C28" s="268"/>
      <c r="D28" s="268"/>
      <c r="E28" s="268"/>
      <c r="F28" s="126"/>
      <c r="G28" s="128"/>
      <c r="H28" s="281"/>
      <c r="I28" s="282"/>
      <c r="J28" s="283">
        <f t="shared" si="0"/>
        <v>0</v>
      </c>
      <c r="K28" s="284"/>
      <c r="L28" s="284"/>
      <c r="M28" s="285">
        <f t="shared" si="1"/>
      </c>
      <c r="N28" s="286">
        <f t="shared" si="2"/>
      </c>
      <c r="O28" s="287"/>
      <c r="P28" s="288">
        <f t="shared" si="3"/>
      </c>
      <c r="Q28" s="288">
        <f t="shared" si="15"/>
      </c>
      <c r="R28" s="287">
        <f t="shared" si="4"/>
      </c>
      <c r="S28" s="152">
        <f t="shared" si="5"/>
        <v>3</v>
      </c>
      <c r="T28" s="289" t="str">
        <f t="shared" si="6"/>
        <v>--</v>
      </c>
      <c r="U28" s="290" t="str">
        <f t="shared" si="7"/>
        <v>--</v>
      </c>
      <c r="V28" s="291" t="str">
        <f t="shared" si="8"/>
        <v>--</v>
      </c>
      <c r="W28" s="292" t="str">
        <f t="shared" si="9"/>
        <v>--</v>
      </c>
      <c r="X28" s="293" t="str">
        <f t="shared" si="10"/>
        <v>--</v>
      </c>
      <c r="Y28" s="294" t="str">
        <f t="shared" si="11"/>
        <v>--</v>
      </c>
      <c r="Z28" s="295" t="str">
        <f t="shared" si="12"/>
        <v>--</v>
      </c>
      <c r="AA28" s="296" t="str">
        <f t="shared" si="13"/>
        <v>--</v>
      </c>
      <c r="AB28" s="287">
        <f t="shared" si="16"/>
      </c>
      <c r="AC28" s="297">
        <f t="shared" si="14"/>
      </c>
      <c r="AD28" s="217"/>
    </row>
    <row r="29" spans="2:30" s="10" customFormat="1" ht="16.5" customHeight="1">
      <c r="B29" s="216"/>
      <c r="C29" s="268"/>
      <c r="D29" s="268"/>
      <c r="E29" s="268"/>
      <c r="F29" s="126"/>
      <c r="G29" s="128"/>
      <c r="H29" s="281"/>
      <c r="I29" s="282"/>
      <c r="J29" s="283">
        <f t="shared" si="0"/>
        <v>0</v>
      </c>
      <c r="K29" s="284"/>
      <c r="L29" s="284"/>
      <c r="M29" s="285">
        <f t="shared" si="1"/>
      </c>
      <c r="N29" s="286">
        <f t="shared" si="2"/>
      </c>
      <c r="O29" s="287"/>
      <c r="P29" s="288">
        <f t="shared" si="3"/>
      </c>
      <c r="Q29" s="288">
        <f t="shared" si="15"/>
      </c>
      <c r="R29" s="287">
        <f t="shared" si="4"/>
      </c>
      <c r="S29" s="152">
        <f t="shared" si="5"/>
        <v>3</v>
      </c>
      <c r="T29" s="289" t="str">
        <f t="shared" si="6"/>
        <v>--</v>
      </c>
      <c r="U29" s="290" t="str">
        <f t="shared" si="7"/>
        <v>--</v>
      </c>
      <c r="V29" s="291" t="str">
        <f t="shared" si="8"/>
        <v>--</v>
      </c>
      <c r="W29" s="292" t="str">
        <f t="shared" si="9"/>
        <v>--</v>
      </c>
      <c r="X29" s="293" t="str">
        <f t="shared" si="10"/>
        <v>--</v>
      </c>
      <c r="Y29" s="294" t="str">
        <f t="shared" si="11"/>
        <v>--</v>
      </c>
      <c r="Z29" s="295" t="str">
        <f t="shared" si="12"/>
        <v>--</v>
      </c>
      <c r="AA29" s="296" t="str">
        <f t="shared" si="13"/>
        <v>--</v>
      </c>
      <c r="AB29" s="287">
        <f t="shared" si="16"/>
      </c>
      <c r="AC29" s="297">
        <f t="shared" si="14"/>
      </c>
      <c r="AD29" s="217"/>
    </row>
    <row r="30" spans="2:30" s="10" customFormat="1" ht="16.5" customHeight="1">
      <c r="B30" s="216"/>
      <c r="C30" s="268"/>
      <c r="D30" s="268"/>
      <c r="E30" s="268"/>
      <c r="F30" s="126"/>
      <c r="G30" s="128"/>
      <c r="H30" s="281"/>
      <c r="I30" s="282"/>
      <c r="J30" s="283">
        <f t="shared" si="0"/>
        <v>0</v>
      </c>
      <c r="K30" s="284"/>
      <c r="L30" s="284"/>
      <c r="M30" s="285">
        <f t="shared" si="1"/>
      </c>
      <c r="N30" s="286">
        <f t="shared" si="2"/>
      </c>
      <c r="O30" s="287"/>
      <c r="P30" s="288">
        <f t="shared" si="3"/>
      </c>
      <c r="Q30" s="288">
        <f t="shared" si="15"/>
      </c>
      <c r="R30" s="287">
        <f t="shared" si="4"/>
      </c>
      <c r="S30" s="152">
        <f t="shared" si="5"/>
        <v>3</v>
      </c>
      <c r="T30" s="289" t="str">
        <f t="shared" si="6"/>
        <v>--</v>
      </c>
      <c r="U30" s="290" t="str">
        <f t="shared" si="7"/>
        <v>--</v>
      </c>
      <c r="V30" s="291" t="str">
        <f t="shared" si="8"/>
        <v>--</v>
      </c>
      <c r="W30" s="292" t="str">
        <f t="shared" si="9"/>
        <v>--</v>
      </c>
      <c r="X30" s="293" t="str">
        <f t="shared" si="10"/>
        <v>--</v>
      </c>
      <c r="Y30" s="294" t="str">
        <f t="shared" si="11"/>
        <v>--</v>
      </c>
      <c r="Z30" s="295" t="str">
        <f t="shared" si="12"/>
        <v>--</v>
      </c>
      <c r="AA30" s="296" t="str">
        <f t="shared" si="13"/>
        <v>--</v>
      </c>
      <c r="AB30" s="287">
        <f t="shared" si="16"/>
      </c>
      <c r="AC30" s="297">
        <f t="shared" si="14"/>
      </c>
      <c r="AD30" s="217"/>
    </row>
    <row r="31" spans="2:30" s="10" customFormat="1" ht="16.5" customHeight="1">
      <c r="B31" s="216"/>
      <c r="C31" s="268"/>
      <c r="D31" s="268"/>
      <c r="E31" s="268"/>
      <c r="F31" s="126"/>
      <c r="G31" s="128"/>
      <c r="H31" s="281"/>
      <c r="I31" s="282"/>
      <c r="J31" s="283">
        <f t="shared" si="0"/>
        <v>0</v>
      </c>
      <c r="K31" s="284"/>
      <c r="L31" s="284"/>
      <c r="M31" s="285">
        <f t="shared" si="1"/>
      </c>
      <c r="N31" s="286">
        <f t="shared" si="2"/>
      </c>
      <c r="O31" s="287"/>
      <c r="P31" s="288">
        <f t="shared" si="3"/>
      </c>
      <c r="Q31" s="288">
        <f t="shared" si="15"/>
      </c>
      <c r="R31" s="287">
        <f t="shared" si="4"/>
      </c>
      <c r="S31" s="152">
        <f t="shared" si="5"/>
        <v>3</v>
      </c>
      <c r="T31" s="289" t="str">
        <f t="shared" si="6"/>
        <v>--</v>
      </c>
      <c r="U31" s="290" t="str">
        <f t="shared" si="7"/>
        <v>--</v>
      </c>
      <c r="V31" s="291" t="str">
        <f t="shared" si="8"/>
        <v>--</v>
      </c>
      <c r="W31" s="292" t="str">
        <f t="shared" si="9"/>
        <v>--</v>
      </c>
      <c r="X31" s="293" t="str">
        <f t="shared" si="10"/>
        <v>--</v>
      </c>
      <c r="Y31" s="294" t="str">
        <f t="shared" si="11"/>
        <v>--</v>
      </c>
      <c r="Z31" s="295" t="str">
        <f t="shared" si="12"/>
        <v>--</v>
      </c>
      <c r="AA31" s="296" t="str">
        <f t="shared" si="13"/>
        <v>--</v>
      </c>
      <c r="AB31" s="287">
        <f t="shared" si="16"/>
      </c>
      <c r="AC31" s="297">
        <f t="shared" si="14"/>
      </c>
      <c r="AD31" s="217"/>
    </row>
    <row r="32" spans="2:30" s="10" customFormat="1" ht="16.5" customHeight="1">
      <c r="B32" s="216"/>
      <c r="C32" s="268"/>
      <c r="D32" s="268"/>
      <c r="E32" s="268"/>
      <c r="F32" s="126"/>
      <c r="G32" s="128"/>
      <c r="H32" s="281"/>
      <c r="I32" s="282"/>
      <c r="J32" s="283">
        <f t="shared" si="0"/>
        <v>0</v>
      </c>
      <c r="K32" s="284"/>
      <c r="L32" s="284"/>
      <c r="M32" s="285">
        <f t="shared" si="1"/>
      </c>
      <c r="N32" s="286">
        <f t="shared" si="2"/>
      </c>
      <c r="O32" s="287"/>
      <c r="P32" s="288">
        <f t="shared" si="3"/>
      </c>
      <c r="Q32" s="288">
        <f t="shared" si="15"/>
      </c>
      <c r="R32" s="287">
        <f t="shared" si="4"/>
      </c>
      <c r="S32" s="152">
        <f t="shared" si="5"/>
        <v>3</v>
      </c>
      <c r="T32" s="289" t="str">
        <f t="shared" si="6"/>
        <v>--</v>
      </c>
      <c r="U32" s="290" t="str">
        <f t="shared" si="7"/>
        <v>--</v>
      </c>
      <c r="V32" s="291" t="str">
        <f t="shared" si="8"/>
        <v>--</v>
      </c>
      <c r="W32" s="292" t="str">
        <f t="shared" si="9"/>
        <v>--</v>
      </c>
      <c r="X32" s="293" t="str">
        <f t="shared" si="10"/>
        <v>--</v>
      </c>
      <c r="Y32" s="294" t="str">
        <f t="shared" si="11"/>
        <v>--</v>
      </c>
      <c r="Z32" s="295" t="str">
        <f t="shared" si="12"/>
        <v>--</v>
      </c>
      <c r="AA32" s="296" t="str">
        <f t="shared" si="13"/>
        <v>--</v>
      </c>
      <c r="AB32" s="287">
        <f t="shared" si="16"/>
      </c>
      <c r="AC32" s="297">
        <f t="shared" si="14"/>
      </c>
      <c r="AD32" s="217"/>
    </row>
    <row r="33" spans="2:30" s="10" customFormat="1" ht="16.5" customHeight="1">
      <c r="B33" s="216"/>
      <c r="C33" s="268"/>
      <c r="D33" s="268"/>
      <c r="E33" s="268"/>
      <c r="F33" s="126"/>
      <c r="G33" s="128"/>
      <c r="H33" s="281"/>
      <c r="I33" s="282"/>
      <c r="J33" s="283">
        <f t="shared" si="0"/>
        <v>0</v>
      </c>
      <c r="K33" s="284"/>
      <c r="L33" s="284"/>
      <c r="M33" s="285">
        <f t="shared" si="1"/>
      </c>
      <c r="N33" s="286">
        <f t="shared" si="2"/>
      </c>
      <c r="O33" s="287"/>
      <c r="P33" s="288">
        <f t="shared" si="3"/>
      </c>
      <c r="Q33" s="288">
        <f t="shared" si="15"/>
      </c>
      <c r="R33" s="287">
        <f t="shared" si="4"/>
      </c>
      <c r="S33" s="152">
        <f t="shared" si="5"/>
        <v>3</v>
      </c>
      <c r="T33" s="289" t="str">
        <f t="shared" si="6"/>
        <v>--</v>
      </c>
      <c r="U33" s="290" t="str">
        <f t="shared" si="7"/>
        <v>--</v>
      </c>
      <c r="V33" s="291" t="str">
        <f t="shared" si="8"/>
        <v>--</v>
      </c>
      <c r="W33" s="292" t="str">
        <f t="shared" si="9"/>
        <v>--</v>
      </c>
      <c r="X33" s="293" t="str">
        <f t="shared" si="10"/>
        <v>--</v>
      </c>
      <c r="Y33" s="294" t="str">
        <f t="shared" si="11"/>
        <v>--</v>
      </c>
      <c r="Z33" s="295" t="str">
        <f t="shared" si="12"/>
        <v>--</v>
      </c>
      <c r="AA33" s="296" t="str">
        <f t="shared" si="13"/>
        <v>--</v>
      </c>
      <c r="AB33" s="287">
        <f t="shared" si="16"/>
      </c>
      <c r="AC33" s="297">
        <f t="shared" si="14"/>
      </c>
      <c r="AD33" s="217"/>
    </row>
    <row r="34" spans="2:30" s="10" customFormat="1" ht="16.5" customHeight="1">
      <c r="B34" s="216"/>
      <c r="C34" s="268"/>
      <c r="D34" s="268"/>
      <c r="E34" s="268"/>
      <c r="F34" s="126"/>
      <c r="G34" s="128"/>
      <c r="H34" s="281"/>
      <c r="I34" s="282"/>
      <c r="J34" s="283">
        <f t="shared" si="0"/>
        <v>0</v>
      </c>
      <c r="K34" s="284"/>
      <c r="L34" s="284"/>
      <c r="M34" s="285">
        <f t="shared" si="1"/>
      </c>
      <c r="N34" s="286">
        <f t="shared" si="2"/>
      </c>
      <c r="O34" s="287"/>
      <c r="P34" s="288">
        <f t="shared" si="3"/>
      </c>
      <c r="Q34" s="288">
        <f t="shared" si="15"/>
      </c>
      <c r="R34" s="287">
        <f t="shared" si="4"/>
      </c>
      <c r="S34" s="152">
        <f t="shared" si="5"/>
        <v>3</v>
      </c>
      <c r="T34" s="289" t="str">
        <f t="shared" si="6"/>
        <v>--</v>
      </c>
      <c r="U34" s="290" t="str">
        <f t="shared" si="7"/>
        <v>--</v>
      </c>
      <c r="V34" s="291" t="str">
        <f t="shared" si="8"/>
        <v>--</v>
      </c>
      <c r="W34" s="292" t="str">
        <f t="shared" si="9"/>
        <v>--</v>
      </c>
      <c r="X34" s="293" t="str">
        <f t="shared" si="10"/>
        <v>--</v>
      </c>
      <c r="Y34" s="294" t="str">
        <f t="shared" si="11"/>
        <v>--</v>
      </c>
      <c r="Z34" s="295" t="str">
        <f t="shared" si="12"/>
        <v>--</v>
      </c>
      <c r="AA34" s="296" t="str">
        <f t="shared" si="13"/>
        <v>--</v>
      </c>
      <c r="AB34" s="287">
        <f t="shared" si="16"/>
      </c>
      <c r="AC34" s="297">
        <f t="shared" si="14"/>
      </c>
      <c r="AD34" s="217"/>
    </row>
    <row r="35" spans="2:30" s="10" customFormat="1" ht="16.5" customHeight="1">
      <c r="B35" s="216"/>
      <c r="C35" s="268"/>
      <c r="D35" s="268"/>
      <c r="E35" s="268"/>
      <c r="F35" s="126"/>
      <c r="G35" s="128"/>
      <c r="H35" s="281"/>
      <c r="I35" s="282"/>
      <c r="J35" s="283">
        <f t="shared" si="0"/>
        <v>0</v>
      </c>
      <c r="K35" s="284"/>
      <c r="L35" s="284"/>
      <c r="M35" s="285">
        <f t="shared" si="1"/>
      </c>
      <c r="N35" s="286">
        <f t="shared" si="2"/>
      </c>
      <c r="O35" s="287"/>
      <c r="P35" s="288">
        <f t="shared" si="3"/>
      </c>
      <c r="Q35" s="288">
        <f t="shared" si="15"/>
      </c>
      <c r="R35" s="287">
        <f t="shared" si="4"/>
      </c>
      <c r="S35" s="152">
        <f t="shared" si="5"/>
        <v>3</v>
      </c>
      <c r="T35" s="289" t="str">
        <f t="shared" si="6"/>
        <v>--</v>
      </c>
      <c r="U35" s="290" t="str">
        <f t="shared" si="7"/>
        <v>--</v>
      </c>
      <c r="V35" s="291" t="str">
        <f t="shared" si="8"/>
        <v>--</v>
      </c>
      <c r="W35" s="292" t="str">
        <f t="shared" si="9"/>
        <v>--</v>
      </c>
      <c r="X35" s="293" t="str">
        <f t="shared" si="10"/>
        <v>--</v>
      </c>
      <c r="Y35" s="294" t="str">
        <f t="shared" si="11"/>
        <v>--</v>
      </c>
      <c r="Z35" s="295" t="str">
        <f t="shared" si="12"/>
        <v>--</v>
      </c>
      <c r="AA35" s="296" t="str">
        <f t="shared" si="13"/>
        <v>--</v>
      </c>
      <c r="AB35" s="287">
        <f t="shared" si="16"/>
      </c>
      <c r="AC35" s="297">
        <f t="shared" si="14"/>
      </c>
      <c r="AD35" s="217"/>
    </row>
    <row r="36" spans="2:30" s="10" customFormat="1" ht="16.5" customHeight="1">
      <c r="B36" s="216"/>
      <c r="C36" s="268"/>
      <c r="D36" s="268"/>
      <c r="E36" s="268"/>
      <c r="F36" s="126"/>
      <c r="G36" s="128"/>
      <c r="H36" s="281"/>
      <c r="I36" s="282"/>
      <c r="J36" s="283">
        <f t="shared" si="0"/>
        <v>0</v>
      </c>
      <c r="K36" s="284"/>
      <c r="L36" s="284"/>
      <c r="M36" s="285">
        <f t="shared" si="1"/>
      </c>
      <c r="N36" s="286">
        <f t="shared" si="2"/>
      </c>
      <c r="O36" s="287"/>
      <c r="P36" s="288">
        <f t="shared" si="3"/>
      </c>
      <c r="Q36" s="288">
        <f t="shared" si="15"/>
      </c>
      <c r="R36" s="287">
        <f t="shared" si="4"/>
      </c>
      <c r="S36" s="152">
        <f t="shared" si="5"/>
        <v>3</v>
      </c>
      <c r="T36" s="289" t="str">
        <f t="shared" si="6"/>
        <v>--</v>
      </c>
      <c r="U36" s="290" t="str">
        <f t="shared" si="7"/>
        <v>--</v>
      </c>
      <c r="V36" s="291" t="str">
        <f t="shared" si="8"/>
        <v>--</v>
      </c>
      <c r="W36" s="292" t="str">
        <f t="shared" si="9"/>
        <v>--</v>
      </c>
      <c r="X36" s="293" t="str">
        <f t="shared" si="10"/>
        <v>--</v>
      </c>
      <c r="Y36" s="294" t="str">
        <f t="shared" si="11"/>
        <v>--</v>
      </c>
      <c r="Z36" s="295" t="str">
        <f t="shared" si="12"/>
        <v>--</v>
      </c>
      <c r="AA36" s="296" t="str">
        <f t="shared" si="13"/>
        <v>--</v>
      </c>
      <c r="AB36" s="287">
        <f t="shared" si="16"/>
      </c>
      <c r="AC36" s="297">
        <f t="shared" si="14"/>
      </c>
      <c r="AD36" s="217"/>
    </row>
    <row r="37" spans="2:30" s="10" customFormat="1" ht="16.5" customHeight="1">
      <c r="B37" s="216"/>
      <c r="C37" s="268"/>
      <c r="D37" s="268"/>
      <c r="E37" s="268"/>
      <c r="F37" s="126"/>
      <c r="G37" s="128"/>
      <c r="H37" s="281"/>
      <c r="I37" s="282"/>
      <c r="J37" s="283">
        <f t="shared" si="0"/>
        <v>0</v>
      </c>
      <c r="K37" s="284"/>
      <c r="L37" s="284"/>
      <c r="M37" s="285">
        <f t="shared" si="1"/>
      </c>
      <c r="N37" s="286">
        <f t="shared" si="2"/>
      </c>
      <c r="O37" s="287"/>
      <c r="P37" s="288">
        <f t="shared" si="3"/>
      </c>
      <c r="Q37" s="288">
        <f t="shared" si="15"/>
      </c>
      <c r="R37" s="287">
        <f t="shared" si="4"/>
      </c>
      <c r="S37" s="152">
        <f t="shared" si="5"/>
        <v>3</v>
      </c>
      <c r="T37" s="289" t="str">
        <f t="shared" si="6"/>
        <v>--</v>
      </c>
      <c r="U37" s="290" t="str">
        <f t="shared" si="7"/>
        <v>--</v>
      </c>
      <c r="V37" s="291" t="str">
        <f t="shared" si="8"/>
        <v>--</v>
      </c>
      <c r="W37" s="292" t="str">
        <f t="shared" si="9"/>
        <v>--</v>
      </c>
      <c r="X37" s="293" t="str">
        <f t="shared" si="10"/>
        <v>--</v>
      </c>
      <c r="Y37" s="294" t="str">
        <f t="shared" si="11"/>
        <v>--</v>
      </c>
      <c r="Z37" s="295" t="str">
        <f t="shared" si="12"/>
        <v>--</v>
      </c>
      <c r="AA37" s="296" t="str">
        <f t="shared" si="13"/>
        <v>--</v>
      </c>
      <c r="AB37" s="287">
        <f t="shared" si="16"/>
      </c>
      <c r="AC37" s="297">
        <f t="shared" si="14"/>
      </c>
      <c r="AD37" s="217"/>
    </row>
    <row r="38" spans="2:30" s="10" customFormat="1" ht="16.5" customHeight="1">
      <c r="B38" s="216"/>
      <c r="C38" s="268"/>
      <c r="D38" s="268"/>
      <c r="E38" s="268"/>
      <c r="F38" s="126"/>
      <c r="G38" s="128"/>
      <c r="H38" s="281"/>
      <c r="I38" s="282"/>
      <c r="J38" s="283">
        <f t="shared" si="0"/>
        <v>0</v>
      </c>
      <c r="K38" s="284"/>
      <c r="L38" s="284"/>
      <c r="M38" s="285">
        <f t="shared" si="1"/>
      </c>
      <c r="N38" s="286">
        <f t="shared" si="2"/>
      </c>
      <c r="O38" s="287"/>
      <c r="P38" s="288">
        <f t="shared" si="3"/>
      </c>
      <c r="Q38" s="288">
        <f t="shared" si="15"/>
      </c>
      <c r="R38" s="287">
        <f t="shared" si="4"/>
      </c>
      <c r="S38" s="152">
        <f t="shared" si="5"/>
        <v>3</v>
      </c>
      <c r="T38" s="289" t="str">
        <f t="shared" si="6"/>
        <v>--</v>
      </c>
      <c r="U38" s="290" t="str">
        <f t="shared" si="7"/>
        <v>--</v>
      </c>
      <c r="V38" s="291" t="str">
        <f t="shared" si="8"/>
        <v>--</v>
      </c>
      <c r="W38" s="292" t="str">
        <f t="shared" si="9"/>
        <v>--</v>
      </c>
      <c r="X38" s="293" t="str">
        <f t="shared" si="10"/>
        <v>--</v>
      </c>
      <c r="Y38" s="294" t="str">
        <f t="shared" si="11"/>
        <v>--</v>
      </c>
      <c r="Z38" s="295" t="str">
        <f t="shared" si="12"/>
        <v>--</v>
      </c>
      <c r="AA38" s="296" t="str">
        <f t="shared" si="13"/>
        <v>--</v>
      </c>
      <c r="AB38" s="287">
        <f t="shared" si="16"/>
      </c>
      <c r="AC38" s="297">
        <f t="shared" si="14"/>
      </c>
      <c r="AD38" s="217"/>
    </row>
    <row r="39" spans="2:30" s="10" customFormat="1" ht="16.5" customHeight="1">
      <c r="B39" s="216"/>
      <c r="C39" s="268"/>
      <c r="D39" s="268"/>
      <c r="E39" s="268"/>
      <c r="F39" s="126"/>
      <c r="G39" s="128"/>
      <c r="H39" s="281"/>
      <c r="I39" s="282"/>
      <c r="J39" s="283">
        <f t="shared" si="0"/>
        <v>0</v>
      </c>
      <c r="K39" s="284"/>
      <c r="L39" s="284"/>
      <c r="M39" s="285">
        <f t="shared" si="1"/>
      </c>
      <c r="N39" s="286">
        <f t="shared" si="2"/>
      </c>
      <c r="O39" s="287"/>
      <c r="P39" s="288">
        <f t="shared" si="3"/>
      </c>
      <c r="Q39" s="288">
        <f t="shared" si="15"/>
      </c>
      <c r="R39" s="287">
        <f t="shared" si="4"/>
      </c>
      <c r="S39" s="152">
        <f t="shared" si="5"/>
        <v>3</v>
      </c>
      <c r="T39" s="289" t="str">
        <f t="shared" si="6"/>
        <v>--</v>
      </c>
      <c r="U39" s="290" t="str">
        <f t="shared" si="7"/>
        <v>--</v>
      </c>
      <c r="V39" s="291" t="str">
        <f t="shared" si="8"/>
        <v>--</v>
      </c>
      <c r="W39" s="292" t="str">
        <f t="shared" si="9"/>
        <v>--</v>
      </c>
      <c r="X39" s="293" t="str">
        <f t="shared" si="10"/>
        <v>--</v>
      </c>
      <c r="Y39" s="294" t="str">
        <f t="shared" si="11"/>
        <v>--</v>
      </c>
      <c r="Z39" s="295" t="str">
        <f t="shared" si="12"/>
        <v>--</v>
      </c>
      <c r="AA39" s="296" t="str">
        <f t="shared" si="13"/>
        <v>--</v>
      </c>
      <c r="AB39" s="287">
        <f t="shared" si="16"/>
      </c>
      <c r="AC39" s="297">
        <f t="shared" si="14"/>
      </c>
      <c r="AD39" s="217"/>
    </row>
    <row r="40" spans="2:30" s="10" customFormat="1" ht="16.5" customHeight="1">
      <c r="B40" s="216"/>
      <c r="C40" s="268"/>
      <c r="D40" s="268"/>
      <c r="E40" s="268"/>
      <c r="F40" s="126"/>
      <c r="G40" s="128"/>
      <c r="H40" s="281"/>
      <c r="I40" s="282"/>
      <c r="J40" s="283">
        <f t="shared" si="0"/>
        <v>0</v>
      </c>
      <c r="K40" s="284"/>
      <c r="L40" s="284"/>
      <c r="M40" s="285">
        <f t="shared" si="1"/>
      </c>
      <c r="N40" s="286">
        <f t="shared" si="2"/>
      </c>
      <c r="O40" s="287"/>
      <c r="P40" s="288">
        <f t="shared" si="3"/>
      </c>
      <c r="Q40" s="288">
        <f t="shared" si="15"/>
      </c>
      <c r="R40" s="287">
        <f t="shared" si="4"/>
      </c>
      <c r="S40" s="152">
        <f t="shared" si="5"/>
        <v>3</v>
      </c>
      <c r="T40" s="289" t="str">
        <f t="shared" si="6"/>
        <v>--</v>
      </c>
      <c r="U40" s="290" t="str">
        <f t="shared" si="7"/>
        <v>--</v>
      </c>
      <c r="V40" s="291" t="str">
        <f t="shared" si="8"/>
        <v>--</v>
      </c>
      <c r="W40" s="292" t="str">
        <f t="shared" si="9"/>
        <v>--</v>
      </c>
      <c r="X40" s="293" t="str">
        <f t="shared" si="10"/>
        <v>--</v>
      </c>
      <c r="Y40" s="294" t="str">
        <f t="shared" si="11"/>
        <v>--</v>
      </c>
      <c r="Z40" s="295" t="str">
        <f t="shared" si="12"/>
        <v>--</v>
      </c>
      <c r="AA40" s="296" t="str">
        <f t="shared" si="13"/>
        <v>--</v>
      </c>
      <c r="AB40" s="287">
        <f t="shared" si="16"/>
      </c>
      <c r="AC40" s="297">
        <f t="shared" si="14"/>
      </c>
      <c r="AD40" s="217"/>
    </row>
    <row r="41" spans="2:30" s="10" customFormat="1" ht="16.5" customHeight="1">
      <c r="B41" s="216"/>
      <c r="C41" s="268"/>
      <c r="D41" s="268"/>
      <c r="E41" s="268"/>
      <c r="F41" s="126"/>
      <c r="G41" s="128"/>
      <c r="H41" s="281"/>
      <c r="I41" s="282"/>
      <c r="J41" s="283">
        <f t="shared" si="0"/>
        <v>0</v>
      </c>
      <c r="K41" s="284"/>
      <c r="L41" s="284"/>
      <c r="M41" s="285">
        <f t="shared" si="1"/>
      </c>
      <c r="N41" s="286">
        <f t="shared" si="2"/>
      </c>
      <c r="O41" s="287"/>
      <c r="P41" s="288">
        <f t="shared" si="3"/>
      </c>
      <c r="Q41" s="288">
        <f t="shared" si="15"/>
      </c>
      <c r="R41" s="287">
        <f t="shared" si="4"/>
      </c>
      <c r="S41" s="152">
        <f t="shared" si="5"/>
        <v>3</v>
      </c>
      <c r="T41" s="289" t="str">
        <f t="shared" si="6"/>
        <v>--</v>
      </c>
      <c r="U41" s="290" t="str">
        <f t="shared" si="7"/>
        <v>--</v>
      </c>
      <c r="V41" s="291" t="str">
        <f t="shared" si="8"/>
        <v>--</v>
      </c>
      <c r="W41" s="292" t="str">
        <f t="shared" si="9"/>
        <v>--</v>
      </c>
      <c r="X41" s="293" t="str">
        <f t="shared" si="10"/>
        <v>--</v>
      </c>
      <c r="Y41" s="294" t="str">
        <f t="shared" si="11"/>
        <v>--</v>
      </c>
      <c r="Z41" s="295" t="str">
        <f t="shared" si="12"/>
        <v>--</v>
      </c>
      <c r="AA41" s="296" t="str">
        <f t="shared" si="13"/>
        <v>--</v>
      </c>
      <c r="AB41" s="287">
        <f t="shared" si="16"/>
      </c>
      <c r="AC41" s="297">
        <f t="shared" si="14"/>
      </c>
      <c r="AD41" s="217"/>
    </row>
    <row r="42" spans="2:30" s="10" customFormat="1" ht="16.5" customHeight="1">
      <c r="B42" s="216"/>
      <c r="C42" s="268"/>
      <c r="D42" s="268"/>
      <c r="E42" s="268"/>
      <c r="F42" s="126"/>
      <c r="G42" s="128"/>
      <c r="H42" s="281"/>
      <c r="I42" s="282"/>
      <c r="J42" s="283">
        <f t="shared" si="0"/>
        <v>0</v>
      </c>
      <c r="K42" s="284"/>
      <c r="L42" s="284"/>
      <c r="M42" s="285">
        <f t="shared" si="1"/>
      </c>
      <c r="N42" s="286">
        <f t="shared" si="2"/>
      </c>
      <c r="O42" s="287"/>
      <c r="P42" s="288">
        <f t="shared" si="3"/>
      </c>
      <c r="Q42" s="288">
        <f t="shared" si="15"/>
      </c>
      <c r="R42" s="287">
        <f t="shared" si="4"/>
      </c>
      <c r="S42" s="152">
        <f t="shared" si="5"/>
        <v>3</v>
      </c>
      <c r="T42" s="289" t="str">
        <f t="shared" si="6"/>
        <v>--</v>
      </c>
      <c r="U42" s="290" t="str">
        <f t="shared" si="7"/>
        <v>--</v>
      </c>
      <c r="V42" s="291" t="str">
        <f t="shared" si="8"/>
        <v>--</v>
      </c>
      <c r="W42" s="292" t="str">
        <f t="shared" si="9"/>
        <v>--</v>
      </c>
      <c r="X42" s="293" t="str">
        <f t="shared" si="10"/>
        <v>--</v>
      </c>
      <c r="Y42" s="294" t="str">
        <f t="shared" si="11"/>
        <v>--</v>
      </c>
      <c r="Z42" s="295" t="str">
        <f t="shared" si="12"/>
        <v>--</v>
      </c>
      <c r="AA42" s="296" t="str">
        <f t="shared" si="13"/>
        <v>--</v>
      </c>
      <c r="AB42" s="287">
        <f t="shared" si="16"/>
      </c>
      <c r="AC42" s="297">
        <f t="shared" si="14"/>
      </c>
      <c r="AD42" s="217"/>
    </row>
    <row r="43" spans="2:30" s="10" customFormat="1" ht="16.5" customHeight="1">
      <c r="B43" s="216"/>
      <c r="C43" s="268"/>
      <c r="D43" s="268"/>
      <c r="E43" s="268"/>
      <c r="F43" s="126"/>
      <c r="G43" s="128"/>
      <c r="H43" s="281"/>
      <c r="I43" s="282"/>
      <c r="J43" s="283">
        <f t="shared" si="0"/>
        <v>0</v>
      </c>
      <c r="K43" s="284"/>
      <c r="L43" s="284"/>
      <c r="M43" s="285">
        <f t="shared" si="1"/>
      </c>
      <c r="N43" s="286">
        <f t="shared" si="2"/>
      </c>
      <c r="O43" s="287"/>
      <c r="P43" s="288">
        <f t="shared" si="3"/>
      </c>
      <c r="Q43" s="288">
        <f t="shared" si="15"/>
      </c>
      <c r="R43" s="287">
        <f t="shared" si="4"/>
      </c>
      <c r="S43" s="152">
        <f t="shared" si="5"/>
        <v>3</v>
      </c>
      <c r="T43" s="289" t="str">
        <f t="shared" si="6"/>
        <v>--</v>
      </c>
      <c r="U43" s="290" t="str">
        <f t="shared" si="7"/>
        <v>--</v>
      </c>
      <c r="V43" s="291" t="str">
        <f t="shared" si="8"/>
        <v>--</v>
      </c>
      <c r="W43" s="292" t="str">
        <f t="shared" si="9"/>
        <v>--</v>
      </c>
      <c r="X43" s="293" t="str">
        <f t="shared" si="10"/>
        <v>--</v>
      </c>
      <c r="Y43" s="294" t="str">
        <f t="shared" si="11"/>
        <v>--</v>
      </c>
      <c r="Z43" s="295" t="str">
        <f t="shared" si="12"/>
        <v>--</v>
      </c>
      <c r="AA43" s="296" t="str">
        <f t="shared" si="13"/>
        <v>--</v>
      </c>
      <c r="AB43" s="287">
        <f t="shared" si="16"/>
      </c>
      <c r="AC43" s="297">
        <f t="shared" si="14"/>
      </c>
      <c r="AD43" s="217"/>
    </row>
    <row r="44" spans="2:30" s="10" customFormat="1" ht="16.5" customHeight="1" thickBot="1">
      <c r="B44" s="216"/>
      <c r="C44" s="299"/>
      <c r="D44" s="299"/>
      <c r="E44" s="299"/>
      <c r="F44" s="299"/>
      <c r="G44" s="299"/>
      <c r="H44" s="299"/>
      <c r="I44" s="299"/>
      <c r="J44" s="300"/>
      <c r="K44" s="299"/>
      <c r="L44" s="299"/>
      <c r="M44" s="299"/>
      <c r="N44" s="299"/>
      <c r="O44" s="299"/>
      <c r="P44" s="299"/>
      <c r="Q44" s="299"/>
      <c r="R44" s="299"/>
      <c r="S44" s="301"/>
      <c r="T44" s="302"/>
      <c r="U44" s="303"/>
      <c r="V44" s="304"/>
      <c r="W44" s="305"/>
      <c r="X44" s="306"/>
      <c r="Y44" s="307"/>
      <c r="Z44" s="308"/>
      <c r="AA44" s="309"/>
      <c r="AB44" s="299"/>
      <c r="AC44" s="310"/>
      <c r="AD44" s="217"/>
    </row>
    <row r="45" spans="2:30" s="10" customFormat="1" ht="16.5" customHeight="1" thickBot="1" thickTop="1">
      <c r="B45" s="216"/>
      <c r="C45" s="419" t="s">
        <v>159</v>
      </c>
      <c r="D45" s="418" t="s">
        <v>160</v>
      </c>
      <c r="E45" s="186"/>
      <c r="F45" s="172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311">
        <f>SUM(T20:T44)</f>
        <v>192.46815000000004</v>
      </c>
      <c r="U45" s="312">
        <f>SUM(U20:U44)</f>
        <v>0</v>
      </c>
      <c r="V45" s="313">
        <f>SUM(V20:V44)</f>
        <v>0</v>
      </c>
      <c r="W45" s="314">
        <f>SUM(W22:W44)</f>
        <v>0</v>
      </c>
      <c r="X45" s="315">
        <f>SUM(X20:X44)</f>
        <v>473.0400000000001</v>
      </c>
      <c r="Y45" s="315">
        <f>SUM(Y22:Y44)</f>
        <v>5709.5928</v>
      </c>
      <c r="Z45" s="316">
        <f>SUM(Z20:Z44)</f>
        <v>0</v>
      </c>
      <c r="AA45" s="317">
        <f>SUM(AA22:AA44)</f>
        <v>0</v>
      </c>
      <c r="AB45" s="318"/>
      <c r="AC45" s="319">
        <f>ROUND(SUM(AC20:AC44),2)</f>
        <v>6375.1</v>
      </c>
      <c r="AD45" s="217"/>
    </row>
    <row r="46" spans="2:30" s="184" customFormat="1" ht="9.75" thickTop="1">
      <c r="B46" s="320"/>
      <c r="C46" s="186"/>
      <c r="D46" s="186"/>
      <c r="E46" s="186"/>
      <c r="F46" s="187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2"/>
      <c r="U46" s="322"/>
      <c r="V46" s="322"/>
      <c r="W46" s="322"/>
      <c r="X46" s="322"/>
      <c r="Y46" s="322"/>
      <c r="Z46" s="322"/>
      <c r="AA46" s="322"/>
      <c r="AB46" s="321"/>
      <c r="AC46" s="323"/>
      <c r="AD46" s="324"/>
    </row>
    <row r="47" spans="2:30" s="10" customFormat="1" ht="16.5" customHeight="1" thickBot="1"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7"/>
    </row>
    <row r="48" spans="2:30" ht="16.5" customHeight="1" thickTop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2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printOptions/>
  <pageMargins left="0.3937007874015748" right="0.1968503937007874" top="0.7874015748031497" bottom="0.94" header="0.5118110236220472" footer="0.5118110236220472"/>
  <pageSetup fitToHeight="1" fitToWidth="1" horizontalDpi="300" verticalDpi="300" orientation="landscape" paperSize="9" scale="56" r:id="rId3"/>
  <headerFooter alignWithMargins="0">
    <oddFooter>&amp;L&amp;F-&amp;A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4"/>
  <sheetViews>
    <sheetView zoomScale="70" zoomScaleNormal="70" zoomScalePageLayoutView="0" workbookViewId="0" topLeftCell="A1">
      <selection activeCell="G36" sqref="G36"/>
    </sheetView>
  </sheetViews>
  <sheetFormatPr defaultColWidth="11.421875" defaultRowHeight="12.75"/>
  <cols>
    <col min="1" max="1" width="16.71093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9"/>
      <c r="W1" s="393"/>
    </row>
    <row r="2" spans="1:23" s="6" customFormat="1" ht="26.25">
      <c r="A2" s="329"/>
      <c r="B2" s="68" t="str">
        <f>+'TOT-1211'!B2</f>
        <v>ANEXO I al Memorándum  D.T.E.E.  N°    716 / 2013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0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4" t="s">
        <v>3</v>
      </c>
      <c r="B4" s="331"/>
    </row>
    <row r="5" spans="1:2" s="13" customFormat="1" ht="11.25">
      <c r="A5" s="204" t="s">
        <v>4</v>
      </c>
      <c r="B5" s="331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2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+'TOT-1211'!B14</f>
        <v>Desde el 01 al 31 de diciembre de 2011</v>
      </c>
      <c r="C12" s="333"/>
      <c r="D12" s="333"/>
      <c r="E12" s="333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4" t="s">
        <v>54</v>
      </c>
      <c r="G14" s="335">
        <v>34.972</v>
      </c>
      <c r="H14" s="336">
        <f>60*'TOT-1211'!B13</f>
        <v>60</v>
      </c>
      <c r="I14" s="86"/>
      <c r="J14" s="236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4" t="s">
        <v>55</v>
      </c>
      <c r="G15" s="335">
        <v>17.488</v>
      </c>
      <c r="H15" s="336">
        <f>50*'TOT-1211'!B13</f>
        <v>50</v>
      </c>
      <c r="J15" s="236" t="str">
        <f>IF(H15=50," ",IF(H15=100,"    Coeficiente duplicado por tasa de falla &gt;4 Sal. x año/100 km.","    REVISAR COEFICIENTE"))</f>
        <v> </v>
      </c>
      <c r="S15" s="12"/>
      <c r="T15" s="12"/>
      <c r="U15" s="12"/>
      <c r="V15" s="337"/>
      <c r="W15" s="49"/>
    </row>
    <row r="16" spans="2:23" s="10" customFormat="1" ht="16.5" customHeight="1" thickBot="1" thickTop="1">
      <c r="B16" s="44"/>
      <c r="C16" s="12"/>
      <c r="D16" s="12"/>
      <c r="E16" s="12"/>
      <c r="F16" s="338" t="s">
        <v>56</v>
      </c>
      <c r="G16" s="339">
        <v>13.12</v>
      </c>
      <c r="H16" s="340">
        <f>25*'TOT-1211'!B13</f>
        <v>25</v>
      </c>
      <c r="J16" s="236" t="str">
        <f>IF(H16=25," ",IF(H16=50,"    Coeficiente duplicado por tasa de falla &gt;4 Sal. x año/100 km.","    REVISAR COEFICIENTE"))</f>
        <v> </v>
      </c>
      <c r="K16" s="95"/>
      <c r="L16" s="95"/>
      <c r="M16" s="12"/>
      <c r="P16" s="341"/>
      <c r="Q16" s="342"/>
      <c r="R16" s="4"/>
      <c r="S16" s="12"/>
      <c r="T16" s="12"/>
      <c r="U16" s="12"/>
      <c r="V16" s="337"/>
      <c r="W16" s="49"/>
    </row>
    <row r="17" spans="2:23" s="10" customFormat="1" ht="16.5" customHeight="1" thickBot="1" thickTop="1">
      <c r="B17" s="44"/>
      <c r="C17" s="12"/>
      <c r="D17" s="12"/>
      <c r="E17" s="12"/>
      <c r="F17" s="343" t="s">
        <v>57</v>
      </c>
      <c r="G17" s="414">
        <v>13.12</v>
      </c>
      <c r="H17" s="344">
        <f>20*'TOT-1211'!B13</f>
        <v>20</v>
      </c>
      <c r="J17" s="236" t="str">
        <f>IF(H17=20," ",IF(H17=40,"    Coeficiente duplicado por tasa de falla &gt;4 Sal. x año/100 km.","    REVISAR COEFICIENTE"))</f>
        <v> </v>
      </c>
      <c r="K17" s="95"/>
      <c r="L17" s="95"/>
      <c r="M17" s="12"/>
      <c r="P17" s="341"/>
      <c r="Q17" s="342"/>
      <c r="R17" s="4"/>
      <c r="S17" s="12"/>
      <c r="T17" s="12"/>
      <c r="U17" s="12"/>
      <c r="V17" s="337"/>
      <c r="W17" s="49"/>
    </row>
    <row r="18" spans="2:23" s="10" customFormat="1" ht="16.5" customHeight="1" thickBot="1" thickTop="1">
      <c r="B18" s="44"/>
      <c r="C18" s="12"/>
      <c r="D18" s="415">
        <v>4</v>
      </c>
      <c r="E18" s="415">
        <v>5</v>
      </c>
      <c r="F18" s="415">
        <v>6</v>
      </c>
      <c r="G18" s="415">
        <v>7</v>
      </c>
      <c r="H18" s="415">
        <v>8</v>
      </c>
      <c r="I18" s="415">
        <v>9</v>
      </c>
      <c r="J18" s="415">
        <v>10</v>
      </c>
      <c r="K18" s="415">
        <v>11</v>
      </c>
      <c r="L18" s="415">
        <v>12</v>
      </c>
      <c r="M18" s="415">
        <v>13</v>
      </c>
      <c r="N18" s="415">
        <v>14</v>
      </c>
      <c r="O18" s="415">
        <v>15</v>
      </c>
      <c r="P18" s="415">
        <v>16</v>
      </c>
      <c r="Q18" s="415">
        <v>17</v>
      </c>
      <c r="R18" s="415">
        <v>18</v>
      </c>
      <c r="S18" s="415">
        <v>19</v>
      </c>
      <c r="T18" s="415">
        <v>20</v>
      </c>
      <c r="U18" s="415">
        <v>21</v>
      </c>
      <c r="V18" s="415">
        <v>22</v>
      </c>
      <c r="W18" s="49"/>
    </row>
    <row r="19" spans="2:23" s="345" customFormat="1" ht="34.5" customHeight="1" thickBot="1" thickTop="1">
      <c r="B19" s="346"/>
      <c r="C19" s="398" t="s">
        <v>20</v>
      </c>
      <c r="D19" s="398" t="s">
        <v>73</v>
      </c>
      <c r="E19" s="398" t="s">
        <v>74</v>
      </c>
      <c r="F19" s="240" t="s">
        <v>41</v>
      </c>
      <c r="G19" s="347" t="s">
        <v>42</v>
      </c>
      <c r="H19" s="348" t="s">
        <v>21</v>
      </c>
      <c r="I19" s="100" t="s">
        <v>23</v>
      </c>
      <c r="J19" s="241" t="s">
        <v>24</v>
      </c>
      <c r="K19" s="347" t="s">
        <v>25</v>
      </c>
      <c r="L19" s="240" t="s">
        <v>44</v>
      </c>
      <c r="M19" s="240" t="s">
        <v>45</v>
      </c>
      <c r="N19" s="99" t="s">
        <v>72</v>
      </c>
      <c r="O19" s="241" t="s">
        <v>46</v>
      </c>
      <c r="P19" s="349" t="s">
        <v>58</v>
      </c>
      <c r="Q19" s="350" t="s">
        <v>59</v>
      </c>
      <c r="R19" s="351" t="s">
        <v>49</v>
      </c>
      <c r="S19" s="352"/>
      <c r="T19" s="353" t="s">
        <v>33</v>
      </c>
      <c r="U19" s="243" t="s">
        <v>35</v>
      </c>
      <c r="V19" s="243" t="s">
        <v>36</v>
      </c>
      <c r="W19" s="354"/>
    </row>
    <row r="20" spans="2:23" s="10" customFormat="1" ht="16.5" customHeight="1" thickTop="1">
      <c r="B20" s="44"/>
      <c r="C20" s="269"/>
      <c r="D20" s="397"/>
      <c r="E20" s="397"/>
      <c r="F20" s="268"/>
      <c r="G20" s="268"/>
      <c r="H20" s="355"/>
      <c r="I20" s="356"/>
      <c r="J20" s="271"/>
      <c r="K20" s="357"/>
      <c r="L20" s="272"/>
      <c r="M20" s="272"/>
      <c r="N20" s="271"/>
      <c r="O20" s="271"/>
      <c r="P20" s="358"/>
      <c r="Q20" s="359"/>
      <c r="R20" s="360"/>
      <c r="S20" s="361"/>
      <c r="T20" s="362"/>
      <c r="U20" s="363"/>
      <c r="V20" s="364"/>
      <c r="W20" s="217"/>
    </row>
    <row r="21" spans="2:23" s="10" customFormat="1" ht="16.5" customHeight="1">
      <c r="B21" s="44"/>
      <c r="C21" s="271"/>
      <c r="D21" s="268"/>
      <c r="E21" s="268"/>
      <c r="F21" s="365"/>
      <c r="G21" s="365"/>
      <c r="H21" s="366"/>
      <c r="I21" s="367"/>
      <c r="J21" s="368"/>
      <c r="K21" s="369"/>
      <c r="L21" s="285"/>
      <c r="M21" s="370"/>
      <c r="N21" s="287"/>
      <c r="O21" s="287"/>
      <c r="P21" s="371"/>
      <c r="Q21" s="372"/>
      <c r="R21" s="373"/>
      <c r="S21" s="374"/>
      <c r="T21" s="375"/>
      <c r="U21" s="376"/>
      <c r="V21" s="377"/>
      <c r="W21" s="217"/>
    </row>
    <row r="22" spans="2:23" s="10" customFormat="1" ht="16.5" customHeight="1">
      <c r="B22" s="44"/>
      <c r="C22" s="271">
        <v>12</v>
      </c>
      <c r="D22" s="268">
        <v>241712</v>
      </c>
      <c r="E22" s="268">
        <v>912</v>
      </c>
      <c r="F22" s="268" t="s">
        <v>136</v>
      </c>
      <c r="G22" s="268" t="s">
        <v>143</v>
      </c>
      <c r="H22" s="508">
        <v>13.199999809265137</v>
      </c>
      <c r="I22" s="367">
        <f aca="true" t="shared" si="0" ref="I22:I38">IF(H22=220,$G$14,IF(AND(H22&lt;=132,H22&gt;=66),$G$15,IF(AND(H22&lt;66,H22&gt;=33),$G$16,$G$17)))</f>
        <v>13.12</v>
      </c>
      <c r="J22" s="368">
        <v>40878.40555555555</v>
      </c>
      <c r="K22" s="369">
        <v>40878.6</v>
      </c>
      <c r="L22" s="285">
        <f aca="true" t="shared" si="1" ref="L22:L38">IF(F22="","",(K22-J22)*24)</f>
        <v>4.666666666686069</v>
      </c>
      <c r="M22" s="370">
        <f aca="true" t="shared" si="2" ref="M22:M38">IF(F22="","",ROUND((K22-J22)*24*60,0))</f>
        <v>280</v>
      </c>
      <c r="N22" s="287" t="s">
        <v>131</v>
      </c>
      <c r="O22" s="287" t="str">
        <f aca="true" t="shared" si="3" ref="O22:O38">IF(F22="","",IF(OR(N22="P",N22="RP"),"--","NO"))</f>
        <v>--</v>
      </c>
      <c r="P22" s="371">
        <f aca="true" t="shared" si="4" ref="P22:P38">IF(H22=220,$H$14,IF(AND(H22&lt;=132,H22&gt;=66),$H$15,IF(AND(H22&lt;66,H22&gt;13.2),$H$16,$H$17)))</f>
        <v>20</v>
      </c>
      <c r="Q22" s="372">
        <f aca="true" t="shared" si="5" ref="Q22:Q38">IF(N22="P",I22*P22*ROUND(M22/60,2)*0.1,"--")</f>
        <v>122.54079999999999</v>
      </c>
      <c r="R22" s="373" t="str">
        <f aca="true" t="shared" si="6" ref="R22:R38">IF(AND(N22="F",O22="NO"),I22*P22,"--")</f>
        <v>--</v>
      </c>
      <c r="S22" s="374" t="str">
        <f aca="true" t="shared" si="7" ref="S22:S38">IF(N22="F",I22*P22*ROUND(M22/60,2),"--")</f>
        <v>--</v>
      </c>
      <c r="T22" s="375" t="str">
        <f aca="true" t="shared" si="8" ref="T22:T38">IF(N22="RF",I22*P22*ROUND(M22/60,2),"--")</f>
        <v>--</v>
      </c>
      <c r="U22" s="376" t="s">
        <v>139</v>
      </c>
      <c r="V22" s="378">
        <f aca="true" t="shared" si="9" ref="V22:V38">IF(F22="","",SUM(Q22:T22)*IF(U22="SI",1,2)*IF(H22="500/220",0,1))</f>
        <v>122.54079999999999</v>
      </c>
      <c r="W22" s="298"/>
    </row>
    <row r="23" spans="2:23" s="10" customFormat="1" ht="16.5" customHeight="1">
      <c r="B23" s="44"/>
      <c r="C23" s="271">
        <v>13</v>
      </c>
      <c r="D23" s="268">
        <v>241817</v>
      </c>
      <c r="E23" s="268">
        <v>915</v>
      </c>
      <c r="F23" s="268" t="s">
        <v>144</v>
      </c>
      <c r="G23" s="268" t="s">
        <v>145</v>
      </c>
      <c r="H23" s="509">
        <v>66</v>
      </c>
      <c r="I23" s="367">
        <f t="shared" si="0"/>
        <v>17.488</v>
      </c>
      <c r="J23" s="368">
        <v>40884.61388888889</v>
      </c>
      <c r="K23" s="369">
        <v>40884.70277777778</v>
      </c>
      <c r="L23" s="285">
        <f t="shared" si="1"/>
        <v>2.1333333333022892</v>
      </c>
      <c r="M23" s="370">
        <f t="shared" si="2"/>
        <v>128</v>
      </c>
      <c r="N23" s="287" t="s">
        <v>131</v>
      </c>
      <c r="O23" s="287" t="str">
        <f t="shared" si="3"/>
        <v>--</v>
      </c>
      <c r="P23" s="371">
        <f t="shared" si="4"/>
        <v>50</v>
      </c>
      <c r="Q23" s="372">
        <f t="shared" si="5"/>
        <v>186.2472</v>
      </c>
      <c r="R23" s="373" t="str">
        <f t="shared" si="6"/>
        <v>--</v>
      </c>
      <c r="S23" s="374" t="str">
        <f t="shared" si="7"/>
        <v>--</v>
      </c>
      <c r="T23" s="375" t="str">
        <f t="shared" si="8"/>
        <v>--</v>
      </c>
      <c r="U23" s="376" t="s">
        <v>139</v>
      </c>
      <c r="V23" s="378">
        <f t="shared" si="9"/>
        <v>186.2472</v>
      </c>
      <c r="W23" s="298"/>
    </row>
    <row r="24" spans="2:23" s="10" customFormat="1" ht="16.5" customHeight="1">
      <c r="B24" s="44"/>
      <c r="C24" s="271">
        <v>14</v>
      </c>
      <c r="D24" s="268">
        <v>242152</v>
      </c>
      <c r="E24" s="268">
        <v>922</v>
      </c>
      <c r="F24" s="268" t="s">
        <v>140</v>
      </c>
      <c r="G24" s="268" t="s">
        <v>146</v>
      </c>
      <c r="H24" s="509">
        <v>132</v>
      </c>
      <c r="I24" s="367">
        <f t="shared" si="0"/>
        <v>17.488</v>
      </c>
      <c r="J24" s="368">
        <v>40895.26527777778</v>
      </c>
      <c r="K24" s="369">
        <v>40895.649305555555</v>
      </c>
      <c r="L24" s="285">
        <f t="shared" si="1"/>
        <v>9.216666666674428</v>
      </c>
      <c r="M24" s="370">
        <f t="shared" si="2"/>
        <v>553</v>
      </c>
      <c r="N24" s="287" t="s">
        <v>131</v>
      </c>
      <c r="O24" s="287" t="str">
        <f t="shared" si="3"/>
        <v>--</v>
      </c>
      <c r="P24" s="371">
        <f t="shared" si="4"/>
        <v>50</v>
      </c>
      <c r="Q24" s="372">
        <f t="shared" si="5"/>
        <v>806.1968000000002</v>
      </c>
      <c r="R24" s="373" t="str">
        <f t="shared" si="6"/>
        <v>--</v>
      </c>
      <c r="S24" s="374" t="str">
        <f t="shared" si="7"/>
        <v>--</v>
      </c>
      <c r="T24" s="375" t="str">
        <f t="shared" si="8"/>
        <v>--</v>
      </c>
      <c r="U24" s="376" t="s">
        <v>139</v>
      </c>
      <c r="V24" s="378">
        <f t="shared" si="9"/>
        <v>806.1968000000002</v>
      </c>
      <c r="W24" s="298"/>
    </row>
    <row r="25" spans="2:23" s="10" customFormat="1" ht="16.5" customHeight="1">
      <c r="B25" s="44"/>
      <c r="C25" s="271">
        <v>15</v>
      </c>
      <c r="D25" s="268">
        <v>242442</v>
      </c>
      <c r="E25" s="268">
        <v>941</v>
      </c>
      <c r="F25" s="268" t="s">
        <v>140</v>
      </c>
      <c r="G25" s="268" t="s">
        <v>147</v>
      </c>
      <c r="H25" s="509">
        <v>13.199999809265137</v>
      </c>
      <c r="I25" s="367">
        <f t="shared" si="0"/>
        <v>13.12</v>
      </c>
      <c r="J25" s="368">
        <v>40897.217361111114</v>
      </c>
      <c r="K25" s="369">
        <v>40897.22083333333</v>
      </c>
      <c r="L25" s="285">
        <f t="shared" si="1"/>
        <v>0.08333333325572312</v>
      </c>
      <c r="M25" s="370">
        <f t="shared" si="2"/>
        <v>5</v>
      </c>
      <c r="N25" s="287" t="s">
        <v>134</v>
      </c>
      <c r="O25" s="287" t="str">
        <f t="shared" si="3"/>
        <v>NO</v>
      </c>
      <c r="P25" s="371">
        <f t="shared" si="4"/>
        <v>20</v>
      </c>
      <c r="Q25" s="372" t="str">
        <f t="shared" si="5"/>
        <v>--</v>
      </c>
      <c r="R25" s="373">
        <f t="shared" si="6"/>
        <v>262.4</v>
      </c>
      <c r="S25" s="374">
        <f t="shared" si="7"/>
        <v>20.991999999999997</v>
      </c>
      <c r="T25" s="375" t="str">
        <f t="shared" si="8"/>
        <v>--</v>
      </c>
      <c r="U25" s="376" t="s">
        <v>139</v>
      </c>
      <c r="V25" s="378">
        <f t="shared" si="9"/>
        <v>283.392</v>
      </c>
      <c r="W25" s="298"/>
    </row>
    <row r="26" spans="2:23" s="10" customFormat="1" ht="16.5" customHeight="1">
      <c r="B26" s="44"/>
      <c r="C26" s="271">
        <v>16</v>
      </c>
      <c r="D26" s="268">
        <v>242443</v>
      </c>
      <c r="E26" s="268">
        <v>937</v>
      </c>
      <c r="F26" s="268" t="s">
        <v>140</v>
      </c>
      <c r="G26" s="268" t="s">
        <v>148</v>
      </c>
      <c r="H26" s="509">
        <v>13.199999809265137</v>
      </c>
      <c r="I26" s="367">
        <f t="shared" si="0"/>
        <v>13.12</v>
      </c>
      <c r="J26" s="368">
        <v>40897.217361111114</v>
      </c>
      <c r="K26" s="369">
        <v>40897.22222222222</v>
      </c>
      <c r="L26" s="285">
        <f t="shared" si="1"/>
        <v>0.11666666652308777</v>
      </c>
      <c r="M26" s="370">
        <f t="shared" si="2"/>
        <v>7</v>
      </c>
      <c r="N26" s="287" t="s">
        <v>134</v>
      </c>
      <c r="O26" s="287" t="str">
        <f t="shared" si="3"/>
        <v>NO</v>
      </c>
      <c r="P26" s="371">
        <f t="shared" si="4"/>
        <v>20</v>
      </c>
      <c r="Q26" s="372" t="str">
        <f t="shared" si="5"/>
        <v>--</v>
      </c>
      <c r="R26" s="373">
        <f t="shared" si="6"/>
        <v>262.4</v>
      </c>
      <c r="S26" s="374">
        <f t="shared" si="7"/>
        <v>31.487999999999996</v>
      </c>
      <c r="T26" s="375" t="str">
        <f t="shared" si="8"/>
        <v>--</v>
      </c>
      <c r="U26" s="376" t="s">
        <v>139</v>
      </c>
      <c r="V26" s="378">
        <f t="shared" si="9"/>
        <v>293.888</v>
      </c>
      <c r="W26" s="298"/>
    </row>
    <row r="27" spans="2:23" s="10" customFormat="1" ht="16.5" customHeight="1">
      <c r="B27" s="44"/>
      <c r="C27" s="271">
        <v>17</v>
      </c>
      <c r="D27" s="268">
        <v>242444</v>
      </c>
      <c r="E27" s="268">
        <v>938</v>
      </c>
      <c r="F27" s="268" t="s">
        <v>140</v>
      </c>
      <c r="G27" s="268" t="s">
        <v>149</v>
      </c>
      <c r="H27" s="509">
        <v>13.199999809265137</v>
      </c>
      <c r="I27" s="367">
        <f t="shared" si="0"/>
        <v>13.12</v>
      </c>
      <c r="J27" s="368">
        <v>40897.217361111114</v>
      </c>
      <c r="K27" s="369">
        <v>40897.22361111111</v>
      </c>
      <c r="L27" s="285">
        <f t="shared" si="1"/>
        <v>0.1499999999650754</v>
      </c>
      <c r="M27" s="370">
        <f t="shared" si="2"/>
        <v>9</v>
      </c>
      <c r="N27" s="287" t="s">
        <v>134</v>
      </c>
      <c r="O27" s="287" t="str">
        <f t="shared" si="3"/>
        <v>NO</v>
      </c>
      <c r="P27" s="371">
        <f t="shared" si="4"/>
        <v>20</v>
      </c>
      <c r="Q27" s="372" t="str">
        <f t="shared" si="5"/>
        <v>--</v>
      </c>
      <c r="R27" s="373">
        <f t="shared" si="6"/>
        <v>262.4</v>
      </c>
      <c r="S27" s="374">
        <f t="shared" si="7"/>
        <v>39.35999999999999</v>
      </c>
      <c r="T27" s="375" t="str">
        <f t="shared" si="8"/>
        <v>--</v>
      </c>
      <c r="U27" s="376" t="s">
        <v>139</v>
      </c>
      <c r="V27" s="378">
        <f t="shared" si="9"/>
        <v>301.76</v>
      </c>
      <c r="W27" s="298"/>
    </row>
    <row r="28" spans="2:23" s="10" customFormat="1" ht="16.5" customHeight="1">
      <c r="B28" s="44"/>
      <c r="C28" s="271">
        <v>18</v>
      </c>
      <c r="D28" s="268">
        <v>242445</v>
      </c>
      <c r="E28" s="268">
        <v>942</v>
      </c>
      <c r="F28" s="268" t="s">
        <v>140</v>
      </c>
      <c r="G28" s="268" t="s">
        <v>150</v>
      </c>
      <c r="H28" s="509">
        <v>13.199999809265137</v>
      </c>
      <c r="I28" s="367">
        <f t="shared" si="0"/>
        <v>13.12</v>
      </c>
      <c r="J28" s="368">
        <v>40897.217361111114</v>
      </c>
      <c r="K28" s="369">
        <v>40897.228472222225</v>
      </c>
      <c r="L28" s="285">
        <f t="shared" si="1"/>
        <v>0.26666666666278616</v>
      </c>
      <c r="M28" s="370">
        <f t="shared" si="2"/>
        <v>16</v>
      </c>
      <c r="N28" s="287" t="s">
        <v>134</v>
      </c>
      <c r="O28" s="287" t="str">
        <f t="shared" si="3"/>
        <v>NO</v>
      </c>
      <c r="P28" s="371">
        <f t="shared" si="4"/>
        <v>20</v>
      </c>
      <c r="Q28" s="372" t="str">
        <f t="shared" si="5"/>
        <v>--</v>
      </c>
      <c r="R28" s="373">
        <f t="shared" si="6"/>
        <v>262.4</v>
      </c>
      <c r="S28" s="374">
        <f t="shared" si="7"/>
        <v>70.848</v>
      </c>
      <c r="T28" s="375" t="str">
        <f t="shared" si="8"/>
        <v>--</v>
      </c>
      <c r="U28" s="376" t="s">
        <v>139</v>
      </c>
      <c r="V28" s="378">
        <f t="shared" si="9"/>
        <v>333.248</v>
      </c>
      <c r="W28" s="298"/>
    </row>
    <row r="29" spans="2:23" s="10" customFormat="1" ht="16.5" customHeight="1">
      <c r="B29" s="44"/>
      <c r="C29" s="271"/>
      <c r="D29" s="268"/>
      <c r="E29" s="268"/>
      <c r="F29" s="365"/>
      <c r="G29" s="365"/>
      <c r="H29" s="366"/>
      <c r="I29" s="367">
        <f t="shared" si="0"/>
        <v>13.12</v>
      </c>
      <c r="J29" s="368"/>
      <c r="K29" s="369"/>
      <c r="L29" s="285">
        <f t="shared" si="1"/>
      </c>
      <c r="M29" s="370">
        <f t="shared" si="2"/>
      </c>
      <c r="N29" s="287"/>
      <c r="O29" s="287">
        <f t="shared" si="3"/>
      </c>
      <c r="P29" s="371">
        <f t="shared" si="4"/>
        <v>20</v>
      </c>
      <c r="Q29" s="372" t="str">
        <f t="shared" si="5"/>
        <v>--</v>
      </c>
      <c r="R29" s="373" t="str">
        <f t="shared" si="6"/>
        <v>--</v>
      </c>
      <c r="S29" s="374" t="str">
        <f t="shared" si="7"/>
        <v>--</v>
      </c>
      <c r="T29" s="375" t="str">
        <f t="shared" si="8"/>
        <v>--</v>
      </c>
      <c r="U29" s="376">
        <f aca="true" t="shared" si="10" ref="U29:U38">IF(F29="","","SI")</f>
      </c>
      <c r="V29" s="378">
        <f t="shared" si="9"/>
      </c>
      <c r="W29" s="298"/>
    </row>
    <row r="30" spans="2:23" s="10" customFormat="1" ht="16.5" customHeight="1">
      <c r="B30" s="44"/>
      <c r="C30" s="271"/>
      <c r="D30" s="268"/>
      <c r="E30" s="268"/>
      <c r="F30" s="365"/>
      <c r="G30" s="365"/>
      <c r="H30" s="366"/>
      <c r="I30" s="367">
        <f t="shared" si="0"/>
        <v>13.12</v>
      </c>
      <c r="J30" s="368"/>
      <c r="K30" s="369"/>
      <c r="L30" s="285">
        <f t="shared" si="1"/>
      </c>
      <c r="M30" s="370">
        <f t="shared" si="2"/>
      </c>
      <c r="N30" s="287"/>
      <c r="O30" s="287">
        <f t="shared" si="3"/>
      </c>
      <c r="P30" s="371">
        <f t="shared" si="4"/>
        <v>20</v>
      </c>
      <c r="Q30" s="372" t="str">
        <f t="shared" si="5"/>
        <v>--</v>
      </c>
      <c r="R30" s="373" t="str">
        <f t="shared" si="6"/>
        <v>--</v>
      </c>
      <c r="S30" s="374" t="str">
        <f t="shared" si="7"/>
        <v>--</v>
      </c>
      <c r="T30" s="375" t="str">
        <f t="shared" si="8"/>
        <v>--</v>
      </c>
      <c r="U30" s="376">
        <f t="shared" si="10"/>
      </c>
      <c r="V30" s="378">
        <f t="shared" si="9"/>
      </c>
      <c r="W30" s="298"/>
    </row>
    <row r="31" spans="2:23" s="10" customFormat="1" ht="16.5" customHeight="1">
      <c r="B31" s="44"/>
      <c r="C31" s="271"/>
      <c r="D31" s="268"/>
      <c r="E31" s="268"/>
      <c r="F31" s="365"/>
      <c r="G31" s="365"/>
      <c r="H31" s="366"/>
      <c r="I31" s="367">
        <f t="shared" si="0"/>
        <v>13.12</v>
      </c>
      <c r="J31" s="368"/>
      <c r="K31" s="369"/>
      <c r="L31" s="285">
        <f t="shared" si="1"/>
      </c>
      <c r="M31" s="370">
        <f t="shared" si="2"/>
      </c>
      <c r="N31" s="287"/>
      <c r="O31" s="287">
        <f t="shared" si="3"/>
      </c>
      <c r="P31" s="371">
        <f t="shared" si="4"/>
        <v>20</v>
      </c>
      <c r="Q31" s="372" t="str">
        <f t="shared" si="5"/>
        <v>--</v>
      </c>
      <c r="R31" s="373" t="str">
        <f t="shared" si="6"/>
        <v>--</v>
      </c>
      <c r="S31" s="374" t="str">
        <f t="shared" si="7"/>
        <v>--</v>
      </c>
      <c r="T31" s="375" t="str">
        <f t="shared" si="8"/>
        <v>--</v>
      </c>
      <c r="U31" s="376">
        <f t="shared" si="10"/>
      </c>
      <c r="V31" s="378">
        <f t="shared" si="9"/>
      </c>
      <c r="W31" s="298"/>
    </row>
    <row r="32" spans="2:23" s="10" customFormat="1" ht="16.5" customHeight="1">
      <c r="B32" s="44"/>
      <c r="C32" s="271"/>
      <c r="D32" s="268"/>
      <c r="E32" s="268"/>
      <c r="F32" s="365"/>
      <c r="G32" s="365"/>
      <c r="H32" s="366"/>
      <c r="I32" s="367">
        <f t="shared" si="0"/>
        <v>13.12</v>
      </c>
      <c r="J32" s="368"/>
      <c r="K32" s="369"/>
      <c r="L32" s="285">
        <f t="shared" si="1"/>
      </c>
      <c r="M32" s="370">
        <f t="shared" si="2"/>
      </c>
      <c r="N32" s="287"/>
      <c r="O32" s="287">
        <f t="shared" si="3"/>
      </c>
      <c r="P32" s="371">
        <f t="shared" si="4"/>
        <v>20</v>
      </c>
      <c r="Q32" s="372" t="str">
        <f t="shared" si="5"/>
        <v>--</v>
      </c>
      <c r="R32" s="373" t="str">
        <f t="shared" si="6"/>
        <v>--</v>
      </c>
      <c r="S32" s="374" t="str">
        <f t="shared" si="7"/>
        <v>--</v>
      </c>
      <c r="T32" s="375" t="str">
        <f t="shared" si="8"/>
        <v>--</v>
      </c>
      <c r="U32" s="376">
        <f t="shared" si="10"/>
      </c>
      <c r="V32" s="378">
        <f t="shared" si="9"/>
      </c>
      <c r="W32" s="298"/>
    </row>
    <row r="33" spans="2:23" s="10" customFormat="1" ht="16.5" customHeight="1">
      <c r="B33" s="44"/>
      <c r="C33" s="271"/>
      <c r="D33" s="268"/>
      <c r="E33" s="268"/>
      <c r="F33" s="365"/>
      <c r="G33" s="365"/>
      <c r="H33" s="366"/>
      <c r="I33" s="367">
        <f t="shared" si="0"/>
        <v>13.12</v>
      </c>
      <c r="J33" s="368"/>
      <c r="K33" s="369"/>
      <c r="L33" s="285">
        <f t="shared" si="1"/>
      </c>
      <c r="M33" s="370">
        <f t="shared" si="2"/>
      </c>
      <c r="N33" s="287"/>
      <c r="O33" s="287">
        <f t="shared" si="3"/>
      </c>
      <c r="P33" s="371">
        <f t="shared" si="4"/>
        <v>20</v>
      </c>
      <c r="Q33" s="372" t="str">
        <f t="shared" si="5"/>
        <v>--</v>
      </c>
      <c r="R33" s="373" t="str">
        <f t="shared" si="6"/>
        <v>--</v>
      </c>
      <c r="S33" s="374" t="str">
        <f t="shared" si="7"/>
        <v>--</v>
      </c>
      <c r="T33" s="375" t="str">
        <f t="shared" si="8"/>
        <v>--</v>
      </c>
      <c r="U33" s="376">
        <f t="shared" si="10"/>
      </c>
      <c r="V33" s="378">
        <f t="shared" si="9"/>
      </c>
      <c r="W33" s="298"/>
    </row>
    <row r="34" spans="2:23" s="10" customFormat="1" ht="16.5" customHeight="1">
      <c r="B34" s="44"/>
      <c r="C34" s="271"/>
      <c r="D34" s="268"/>
      <c r="E34" s="268"/>
      <c r="F34" s="365"/>
      <c r="G34" s="365"/>
      <c r="H34" s="366"/>
      <c r="I34" s="367">
        <f t="shared" si="0"/>
        <v>13.12</v>
      </c>
      <c r="J34" s="368"/>
      <c r="K34" s="369"/>
      <c r="L34" s="285">
        <f t="shared" si="1"/>
      </c>
      <c r="M34" s="370">
        <f t="shared" si="2"/>
      </c>
      <c r="N34" s="287"/>
      <c r="O34" s="287">
        <f t="shared" si="3"/>
      </c>
      <c r="P34" s="371">
        <f t="shared" si="4"/>
        <v>20</v>
      </c>
      <c r="Q34" s="372" t="str">
        <f t="shared" si="5"/>
        <v>--</v>
      </c>
      <c r="R34" s="373" t="str">
        <f t="shared" si="6"/>
        <v>--</v>
      </c>
      <c r="S34" s="374" t="str">
        <f t="shared" si="7"/>
        <v>--</v>
      </c>
      <c r="T34" s="375" t="str">
        <f t="shared" si="8"/>
        <v>--</v>
      </c>
      <c r="U34" s="376">
        <f t="shared" si="10"/>
      </c>
      <c r="V34" s="378">
        <f t="shared" si="9"/>
      </c>
      <c r="W34" s="298"/>
    </row>
    <row r="35" spans="2:23" s="10" customFormat="1" ht="16.5" customHeight="1">
      <c r="B35" s="44"/>
      <c r="C35" s="271"/>
      <c r="D35" s="268"/>
      <c r="E35" s="268"/>
      <c r="F35" s="365"/>
      <c r="G35" s="365"/>
      <c r="H35" s="366"/>
      <c r="I35" s="367">
        <f t="shared" si="0"/>
        <v>13.12</v>
      </c>
      <c r="J35" s="368"/>
      <c r="K35" s="369"/>
      <c r="L35" s="285">
        <f t="shared" si="1"/>
      </c>
      <c r="M35" s="370">
        <f t="shared" si="2"/>
      </c>
      <c r="N35" s="287"/>
      <c r="O35" s="287">
        <f t="shared" si="3"/>
      </c>
      <c r="P35" s="371">
        <f t="shared" si="4"/>
        <v>20</v>
      </c>
      <c r="Q35" s="372" t="str">
        <f t="shared" si="5"/>
        <v>--</v>
      </c>
      <c r="R35" s="373" t="str">
        <f t="shared" si="6"/>
        <v>--</v>
      </c>
      <c r="S35" s="374" t="str">
        <f t="shared" si="7"/>
        <v>--</v>
      </c>
      <c r="T35" s="375" t="str">
        <f t="shared" si="8"/>
        <v>--</v>
      </c>
      <c r="U35" s="376">
        <f t="shared" si="10"/>
      </c>
      <c r="V35" s="378">
        <f t="shared" si="9"/>
      </c>
      <c r="W35" s="298"/>
    </row>
    <row r="36" spans="2:23" s="10" customFormat="1" ht="16.5" customHeight="1">
      <c r="B36" s="44"/>
      <c r="C36" s="271"/>
      <c r="D36" s="268"/>
      <c r="E36" s="268"/>
      <c r="F36" s="365"/>
      <c r="G36" s="365"/>
      <c r="H36" s="366"/>
      <c r="I36" s="367">
        <f t="shared" si="0"/>
        <v>13.12</v>
      </c>
      <c r="J36" s="368"/>
      <c r="K36" s="369"/>
      <c r="L36" s="285">
        <f t="shared" si="1"/>
      </c>
      <c r="M36" s="370">
        <f t="shared" si="2"/>
      </c>
      <c r="N36" s="287"/>
      <c r="O36" s="287">
        <f t="shared" si="3"/>
      </c>
      <c r="P36" s="371">
        <f t="shared" si="4"/>
        <v>20</v>
      </c>
      <c r="Q36" s="372" t="str">
        <f t="shared" si="5"/>
        <v>--</v>
      </c>
      <c r="R36" s="373" t="str">
        <f t="shared" si="6"/>
        <v>--</v>
      </c>
      <c r="S36" s="374" t="str">
        <f t="shared" si="7"/>
        <v>--</v>
      </c>
      <c r="T36" s="375" t="str">
        <f t="shared" si="8"/>
        <v>--</v>
      </c>
      <c r="U36" s="376">
        <f t="shared" si="10"/>
      </c>
      <c r="V36" s="378">
        <f t="shared" si="9"/>
      </c>
      <c r="W36" s="298"/>
    </row>
    <row r="37" spans="2:23" s="10" customFormat="1" ht="16.5" customHeight="1">
      <c r="B37" s="44"/>
      <c r="C37" s="271"/>
      <c r="D37" s="268"/>
      <c r="E37" s="268"/>
      <c r="F37" s="365"/>
      <c r="G37" s="365"/>
      <c r="H37" s="366"/>
      <c r="I37" s="367">
        <f t="shared" si="0"/>
        <v>13.12</v>
      </c>
      <c r="J37" s="368"/>
      <c r="K37" s="369"/>
      <c r="L37" s="285">
        <f t="shared" si="1"/>
      </c>
      <c r="M37" s="370">
        <f t="shared" si="2"/>
      </c>
      <c r="N37" s="287"/>
      <c r="O37" s="287">
        <f t="shared" si="3"/>
      </c>
      <c r="P37" s="371">
        <f t="shared" si="4"/>
        <v>20</v>
      </c>
      <c r="Q37" s="372" t="str">
        <f t="shared" si="5"/>
        <v>--</v>
      </c>
      <c r="R37" s="373" t="str">
        <f t="shared" si="6"/>
        <v>--</v>
      </c>
      <c r="S37" s="374" t="str">
        <f t="shared" si="7"/>
        <v>--</v>
      </c>
      <c r="T37" s="375" t="str">
        <f t="shared" si="8"/>
        <v>--</v>
      </c>
      <c r="U37" s="376">
        <f t="shared" si="10"/>
      </c>
      <c r="V37" s="378">
        <f t="shared" si="9"/>
      </c>
      <c r="W37" s="298"/>
    </row>
    <row r="38" spans="2:23" s="10" customFormat="1" ht="16.5" customHeight="1">
      <c r="B38" s="44"/>
      <c r="C38" s="271"/>
      <c r="D38" s="268"/>
      <c r="E38" s="268"/>
      <c r="F38" s="365"/>
      <c r="G38" s="365"/>
      <c r="H38" s="366"/>
      <c r="I38" s="367">
        <f t="shared" si="0"/>
        <v>13.12</v>
      </c>
      <c r="J38" s="368"/>
      <c r="K38" s="369"/>
      <c r="L38" s="285">
        <f t="shared" si="1"/>
      </c>
      <c r="M38" s="370">
        <f t="shared" si="2"/>
      </c>
      <c r="N38" s="287"/>
      <c r="O38" s="287">
        <f t="shared" si="3"/>
      </c>
      <c r="P38" s="371">
        <f t="shared" si="4"/>
        <v>20</v>
      </c>
      <c r="Q38" s="372" t="str">
        <f t="shared" si="5"/>
        <v>--</v>
      </c>
      <c r="R38" s="373" t="str">
        <f t="shared" si="6"/>
        <v>--</v>
      </c>
      <c r="S38" s="374" t="str">
        <f t="shared" si="7"/>
        <v>--</v>
      </c>
      <c r="T38" s="375" t="str">
        <f t="shared" si="8"/>
        <v>--</v>
      </c>
      <c r="U38" s="376">
        <f t="shared" si="10"/>
      </c>
      <c r="V38" s="378">
        <f t="shared" si="9"/>
      </c>
      <c r="W38" s="298"/>
    </row>
    <row r="39" spans="2:23" s="10" customFormat="1" ht="16.5" customHeight="1" thickBot="1">
      <c r="B39" s="44"/>
      <c r="C39" s="299"/>
      <c r="D39" s="299"/>
      <c r="E39" s="299"/>
      <c r="F39" s="299"/>
      <c r="G39" s="299"/>
      <c r="H39" s="299"/>
      <c r="I39" s="379"/>
      <c r="J39" s="299"/>
      <c r="K39" s="299"/>
      <c r="L39" s="299"/>
      <c r="M39" s="299"/>
      <c r="N39" s="299"/>
      <c r="O39" s="299"/>
      <c r="P39" s="380"/>
      <c r="Q39" s="381"/>
      <c r="R39" s="382"/>
      <c r="S39" s="383"/>
      <c r="T39" s="384"/>
      <c r="U39" s="299"/>
      <c r="V39" s="385"/>
      <c r="W39" s="298"/>
    </row>
    <row r="40" spans="2:23" s="10" customFormat="1" ht="16.5" customHeight="1" thickBot="1" thickTop="1">
      <c r="B40" s="44"/>
      <c r="C40" s="419" t="s">
        <v>161</v>
      </c>
      <c r="D40" s="418" t="s">
        <v>160</v>
      </c>
      <c r="E40" s="186"/>
      <c r="F40" s="17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386">
        <f>SUM(Q20:Q39)</f>
        <v>1114.9848000000002</v>
      </c>
      <c r="R40" s="387">
        <f>SUM(R20:R39)</f>
        <v>1049.6</v>
      </c>
      <c r="S40" s="387">
        <f>SUM(S20:S39)</f>
        <v>162.688</v>
      </c>
      <c r="T40" s="388">
        <f>SUM(T20:T39)</f>
        <v>0</v>
      </c>
      <c r="U40" s="389"/>
      <c r="V40" s="390">
        <f>ROUND(SUM(V20:V39),2)</f>
        <v>2327.27</v>
      </c>
      <c r="W40" s="298"/>
    </row>
    <row r="41" spans="2:23" s="184" customFormat="1" ht="9.75" thickTop="1">
      <c r="B41" s="185"/>
      <c r="C41" s="186"/>
      <c r="D41" s="186"/>
      <c r="E41" s="186"/>
      <c r="F41" s="187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2"/>
      <c r="V41" s="391"/>
      <c r="W41" s="324"/>
    </row>
    <row r="42" spans="2:23" s="10" customFormat="1" ht="16.5" customHeight="1" thickBot="1">
      <c r="B42" s="197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</row>
    <row r="43" spans="2:23" ht="16.5" customHeight="1" thickTop="1"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</row>
    <row r="44" spans="3:6" ht="16.5" customHeight="1">
      <c r="C44" s="392"/>
      <c r="D44" s="392"/>
      <c r="E44" s="392"/>
      <c r="F44" s="392"/>
    </row>
    <row r="45" ht="16.5" customHeight="1"/>
    <row r="46" ht="16.5" customHeight="1"/>
    <row r="47" ht="16.5" customHeight="1"/>
    <row r="48" ht="16.5" customHeight="1"/>
    <row r="49" ht="16.5" customHeight="1"/>
  </sheetData>
  <sheetProtection/>
  <printOptions/>
  <pageMargins left="0.3937007874015748" right="0.1968503937007874" top="0.7874015748031497" bottom="0.94" header="0.5118110236220472" footer="0.5118110236220472"/>
  <pageSetup fitToHeight="1" fitToWidth="1" horizontalDpi="300" verticalDpi="300" orientation="landscape" paperSize="9" scale="64" r:id="rId3"/>
  <headerFooter alignWithMargins="0">
    <oddFooter>&amp;L&amp;F-&amp;A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A44"/>
  <sheetViews>
    <sheetView zoomScale="55" zoomScaleNormal="55" zoomScalePageLayoutView="0" workbookViewId="0" topLeftCell="C25">
      <selection activeCell="G36" sqref="G36"/>
    </sheetView>
  </sheetViews>
  <sheetFormatPr defaultColWidth="11.421875" defaultRowHeight="12.75"/>
  <cols>
    <col min="1" max="1" width="25.7109375" style="420" customWidth="1"/>
    <col min="2" max="2" width="15.7109375" style="420" customWidth="1"/>
    <col min="3" max="3" width="5.7109375" style="420" customWidth="1"/>
    <col min="4" max="4" width="56.421875" style="420" customWidth="1"/>
    <col min="5" max="5" width="10.421875" style="420" customWidth="1"/>
    <col min="6" max="6" width="14.140625" style="420" customWidth="1"/>
    <col min="7" max="19" width="10.7109375" style="420" customWidth="1"/>
    <col min="20" max="20" width="15.7109375" style="420" customWidth="1"/>
    <col min="21" max="16384" width="11.421875" style="420" customWidth="1"/>
  </cols>
  <sheetData>
    <row r="1" ht="38.25" customHeight="1">
      <c r="T1" s="421"/>
    </row>
    <row r="2" spans="2:20" s="422" customFormat="1" ht="39" customHeight="1">
      <c r="B2" s="423" t="str">
        <f>'TOT-1211'!B2</f>
        <v>ANEXO I al Memorándum  D.T.E.E.  N°    716 / 2013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" s="426" customFormat="1" ht="10.5">
      <c r="A3" s="424" t="s">
        <v>3</v>
      </c>
      <c r="B3" s="425"/>
    </row>
    <row r="4" spans="1:4" s="426" customFormat="1" ht="11.25">
      <c r="A4" s="424" t="s">
        <v>4</v>
      </c>
      <c r="B4" s="425"/>
      <c r="D4" s="427"/>
    </row>
    <row r="5" spans="1:4" ht="10.5" customHeight="1">
      <c r="A5" s="428"/>
      <c r="D5" s="429"/>
    </row>
    <row r="6" spans="1:20" ht="26.25">
      <c r="A6" s="428"/>
      <c r="B6" s="430" t="s">
        <v>162</v>
      </c>
      <c r="C6" s="431"/>
      <c r="D6" s="429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</row>
    <row r="7" spans="1:4" ht="18.75" customHeight="1">
      <c r="A7" s="428"/>
      <c r="D7" s="429"/>
    </row>
    <row r="8" spans="1:20" ht="26.25">
      <c r="A8" s="428"/>
      <c r="B8" s="432" t="s">
        <v>1</v>
      </c>
      <c r="C8" s="431"/>
      <c r="D8" s="429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1:4" ht="18.75" customHeight="1">
      <c r="A9" s="428"/>
      <c r="D9" s="429"/>
    </row>
    <row r="10" spans="1:20" ht="26.25">
      <c r="A10" s="428"/>
      <c r="B10" s="432" t="s">
        <v>163</v>
      </c>
      <c r="C10" s="431"/>
      <c r="D10" s="429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</row>
    <row r="11" ht="18.75" customHeight="1" thickBot="1"/>
    <row r="12" spans="2:20" ht="18.75" customHeight="1" thickTop="1">
      <c r="B12" s="433"/>
      <c r="C12" s="434"/>
      <c r="D12" s="435"/>
      <c r="E12" s="435"/>
      <c r="F12" s="435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6"/>
    </row>
    <row r="13" spans="2:20" ht="30" customHeight="1">
      <c r="B13" s="437" t="s">
        <v>172</v>
      </c>
      <c r="C13" s="431"/>
      <c r="D13" s="438"/>
      <c r="E13" s="438"/>
      <c r="F13" s="438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40"/>
    </row>
    <row r="14" spans="2:20" ht="18.75" customHeight="1" thickBot="1">
      <c r="B14" s="441"/>
      <c r="C14" s="442"/>
      <c r="D14" s="443"/>
      <c r="E14" s="443"/>
      <c r="F14" s="444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6"/>
    </row>
    <row r="15" spans="1:20" s="454" customFormat="1" ht="34.5" customHeight="1" thickBot="1" thickTop="1">
      <c r="A15" s="447"/>
      <c r="B15" s="448"/>
      <c r="C15" s="449"/>
      <c r="D15" s="449" t="s">
        <v>164</v>
      </c>
      <c r="E15" s="450" t="s">
        <v>21</v>
      </c>
      <c r="F15" s="451" t="s">
        <v>22</v>
      </c>
      <c r="G15" s="452">
        <v>40513</v>
      </c>
      <c r="H15" s="452">
        <v>40544</v>
      </c>
      <c r="I15" s="452">
        <v>40575</v>
      </c>
      <c r="J15" s="452">
        <v>40603</v>
      </c>
      <c r="K15" s="452">
        <v>40634</v>
      </c>
      <c r="L15" s="452">
        <v>40664</v>
      </c>
      <c r="M15" s="452">
        <v>40695</v>
      </c>
      <c r="N15" s="452">
        <v>40725</v>
      </c>
      <c r="O15" s="452">
        <v>40756</v>
      </c>
      <c r="P15" s="452">
        <v>40787</v>
      </c>
      <c r="Q15" s="452">
        <v>40817</v>
      </c>
      <c r="R15" s="452">
        <v>40848</v>
      </c>
      <c r="S15" s="452">
        <v>40878</v>
      </c>
      <c r="T15" s="453"/>
    </row>
    <row r="16" spans="2:20" s="454" customFormat="1" ht="24.75" customHeight="1" thickTop="1">
      <c r="B16" s="455"/>
      <c r="C16" s="456"/>
      <c r="D16" s="457"/>
      <c r="E16" s="457"/>
      <c r="F16" s="458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60"/>
      <c r="T16" s="453"/>
    </row>
    <row r="17" spans="2:20" s="454" customFormat="1" ht="24.75" customHeight="1">
      <c r="B17" s="455"/>
      <c r="C17" s="461">
        <f>IF('[2]Tasa de Falla'!C17=0,"",'[2]Tasa de Falla'!C17)</f>
        <v>1</v>
      </c>
      <c r="D17" s="461" t="str">
        <f>IF('[2]Tasa de Falla'!D17=0,"",'[2]Tasa de Falla'!D17)</f>
        <v>AGUA DEL TORO - CRUZ DE PIEDRA</v>
      </c>
      <c r="E17" s="461">
        <f>IF('[2]Tasa de Falla'!E17=0,"",'[2]Tasa de Falla'!E17)</f>
        <v>220</v>
      </c>
      <c r="F17" s="461">
        <f>IF('[2]Tasa de Falla'!F17=0,"",'[2]Tasa de Falla'!F17)</f>
        <v>177.87</v>
      </c>
      <c r="G17" s="464">
        <f>IF('[2]Tasa de Falla'!GJ17=0,"",'[2]Tasa de Falla'!GJ17)</f>
      </c>
      <c r="H17" s="464">
        <f>IF('[2]Tasa de Falla'!GK17=0,"",'[2]Tasa de Falla'!GK17)</f>
      </c>
      <c r="I17" s="464">
        <f>IF('[2]Tasa de Falla'!GL17=0,"",'[2]Tasa de Falla'!GL17)</f>
      </c>
      <c r="J17" s="464">
        <f>IF('[2]Tasa de Falla'!GM17=0,"",'[2]Tasa de Falla'!GM17)</f>
      </c>
      <c r="K17" s="464">
        <f>IF('[2]Tasa de Falla'!GN17=0,"",'[2]Tasa de Falla'!GN17)</f>
      </c>
      <c r="L17" s="464">
        <f>IF('[2]Tasa de Falla'!GO17=0,"",'[2]Tasa de Falla'!GO17)</f>
      </c>
      <c r="M17" s="464">
        <f>IF('[2]Tasa de Falla'!GP17=0,"",'[2]Tasa de Falla'!GP17)</f>
        <v>1</v>
      </c>
      <c r="N17" s="464">
        <f>IF('[2]Tasa de Falla'!GQ17=0,"",'[2]Tasa de Falla'!GQ17)</f>
      </c>
      <c r="O17" s="464">
        <f>IF('[2]Tasa de Falla'!GR17=0,"",'[2]Tasa de Falla'!GR17)</f>
      </c>
      <c r="P17" s="464">
        <f>IF('[2]Tasa de Falla'!GS17=0,"",'[2]Tasa de Falla'!GS17)</f>
      </c>
      <c r="Q17" s="464">
        <f>IF('[2]Tasa de Falla'!GT17=0,"",'[2]Tasa de Falla'!GT17)</f>
      </c>
      <c r="R17" s="464">
        <f>IF('[2]Tasa de Falla'!GU17=0,"",'[2]Tasa de Falla'!GU17)</f>
      </c>
      <c r="S17" s="458"/>
      <c r="T17" s="453"/>
    </row>
    <row r="18" spans="2:20" s="454" customFormat="1" ht="24.75" customHeight="1">
      <c r="B18" s="455"/>
      <c r="C18" s="465">
        <f>IF('[2]Tasa de Falla'!C18=0,"",'[2]Tasa de Falla'!C18)</f>
        <v>2</v>
      </c>
      <c r="D18" s="466" t="str">
        <f>IF('[2]Tasa de Falla'!D18=0,"",'[2]Tasa de Falla'!D18)</f>
        <v>AGUA DEL TORO - LOS REYUNOS</v>
      </c>
      <c r="E18" s="466">
        <f>IF('[2]Tasa de Falla'!E18=0,"",'[2]Tasa de Falla'!E18)</f>
        <v>220</v>
      </c>
      <c r="F18" s="467">
        <f>IF('[2]Tasa de Falla'!F18=0,"",'[2]Tasa de Falla'!F18)</f>
        <v>42.95</v>
      </c>
      <c r="G18" s="464">
        <f>IF('[2]Tasa de Falla'!GJ18=0,"",'[2]Tasa de Falla'!GJ18)</f>
      </c>
      <c r="H18" s="464">
        <f>IF('[2]Tasa de Falla'!GK18=0,"",'[2]Tasa de Falla'!GK18)</f>
      </c>
      <c r="I18" s="464">
        <f>IF('[2]Tasa de Falla'!GL18=0,"",'[2]Tasa de Falla'!GL18)</f>
      </c>
      <c r="J18" s="464">
        <f>IF('[2]Tasa de Falla'!GM18=0,"",'[2]Tasa de Falla'!GM18)</f>
      </c>
      <c r="K18" s="464">
        <f>IF('[2]Tasa de Falla'!GN18=0,"",'[2]Tasa de Falla'!GN18)</f>
      </c>
      <c r="L18" s="464">
        <f>IF('[2]Tasa de Falla'!GO18=0,"",'[2]Tasa de Falla'!GO18)</f>
      </c>
      <c r="M18" s="464">
        <f>IF('[2]Tasa de Falla'!GP18=0,"",'[2]Tasa de Falla'!GP18)</f>
      </c>
      <c r="N18" s="464">
        <f>IF('[2]Tasa de Falla'!GQ18=0,"",'[2]Tasa de Falla'!GQ18)</f>
      </c>
      <c r="O18" s="464">
        <f>IF('[2]Tasa de Falla'!GR18=0,"",'[2]Tasa de Falla'!GR18)</f>
      </c>
      <c r="P18" s="464">
        <f>IF('[2]Tasa de Falla'!GS18=0,"",'[2]Tasa de Falla'!GS18)</f>
      </c>
      <c r="Q18" s="464">
        <f>IF('[2]Tasa de Falla'!GT18=0,"",'[2]Tasa de Falla'!GT18)</f>
      </c>
      <c r="R18" s="464">
        <f>IF('[2]Tasa de Falla'!GU18=0,"",'[2]Tasa de Falla'!GU18)</f>
      </c>
      <c r="S18" s="458"/>
      <c r="T18" s="453"/>
    </row>
    <row r="19" spans="2:20" s="454" customFormat="1" ht="24.75" customHeight="1">
      <c r="B19" s="455"/>
      <c r="C19" s="461">
        <f>IF('[2]Tasa de Falla'!C19=0,"",'[2]Tasa de Falla'!C19)</f>
        <v>3</v>
      </c>
      <c r="D19" s="462" t="str">
        <f>IF('[2]Tasa de Falla'!D19=0,"",'[2]Tasa de Falla'!D19)</f>
        <v>AGUA DEL TORO - NIHUIL II</v>
      </c>
      <c r="E19" s="462">
        <f>IF('[2]Tasa de Falla'!E19=0,"",'[2]Tasa de Falla'!E19)</f>
        <v>220</v>
      </c>
      <c r="F19" s="463">
        <f>IF('[2]Tasa de Falla'!F19=0,"",'[2]Tasa de Falla'!F19)</f>
        <v>53.49</v>
      </c>
      <c r="G19" s="464">
        <f>IF('[2]Tasa de Falla'!GJ19=0,"",'[2]Tasa de Falla'!GJ19)</f>
      </c>
      <c r="H19" s="464">
        <f>IF('[2]Tasa de Falla'!GK19=0,"",'[2]Tasa de Falla'!GK19)</f>
      </c>
      <c r="I19" s="464">
        <f>IF('[2]Tasa de Falla'!GL19=0,"",'[2]Tasa de Falla'!GL19)</f>
      </c>
      <c r="J19" s="464">
        <f>IF('[2]Tasa de Falla'!GM19=0,"",'[2]Tasa de Falla'!GM19)</f>
      </c>
      <c r="K19" s="464">
        <f>IF('[2]Tasa de Falla'!GN19=0,"",'[2]Tasa de Falla'!GN19)</f>
      </c>
      <c r="L19" s="464">
        <f>IF('[2]Tasa de Falla'!GO19=0,"",'[2]Tasa de Falla'!GO19)</f>
      </c>
      <c r="M19" s="464">
        <f>IF('[2]Tasa de Falla'!GP19=0,"",'[2]Tasa de Falla'!GP19)</f>
      </c>
      <c r="N19" s="464">
        <f>IF('[2]Tasa de Falla'!GQ19=0,"",'[2]Tasa de Falla'!GQ19)</f>
      </c>
      <c r="O19" s="464">
        <f>IF('[2]Tasa de Falla'!GR19=0,"",'[2]Tasa de Falla'!GR19)</f>
      </c>
      <c r="P19" s="464">
        <f>IF('[2]Tasa de Falla'!GS19=0,"",'[2]Tasa de Falla'!GS19)</f>
      </c>
      <c r="Q19" s="464">
        <f>IF('[2]Tasa de Falla'!GT19=0,"",'[2]Tasa de Falla'!GT19)</f>
      </c>
      <c r="R19" s="464">
        <f>IF('[2]Tasa de Falla'!GU19=0,"",'[2]Tasa de Falla'!GU19)</f>
      </c>
      <c r="S19" s="458"/>
      <c r="T19" s="453"/>
    </row>
    <row r="20" spans="2:20" s="454" customFormat="1" ht="24.75" customHeight="1">
      <c r="B20" s="455"/>
      <c r="C20" s="465">
        <f>IF('[2]Tasa de Falla'!C20=0,"",'[2]Tasa de Falla'!C20)</f>
        <v>4</v>
      </c>
      <c r="D20" s="466" t="str">
        <f>IF('[2]Tasa de Falla'!D20=0,"",'[2]Tasa de Falla'!D20)</f>
        <v>CRUZ DE PIEDRA - SAN JUAN</v>
      </c>
      <c r="E20" s="466">
        <f>IF('[2]Tasa de Falla'!E20=0,"",'[2]Tasa de Falla'!E20)</f>
        <v>220</v>
      </c>
      <c r="F20" s="467">
        <f>IF('[2]Tasa de Falla'!F20=0,"",'[2]Tasa de Falla'!F20)</f>
        <v>171.6</v>
      </c>
      <c r="G20" s="464">
        <f>IF('[2]Tasa de Falla'!GJ20=0,"",'[2]Tasa de Falla'!GJ20)</f>
      </c>
      <c r="H20" s="464">
        <f>IF('[2]Tasa de Falla'!GK20=0,"",'[2]Tasa de Falla'!GK20)</f>
      </c>
      <c r="I20" s="464">
        <f>IF('[2]Tasa de Falla'!GL20=0,"",'[2]Tasa de Falla'!GL20)</f>
      </c>
      <c r="J20" s="464">
        <f>IF('[2]Tasa de Falla'!GM20=0,"",'[2]Tasa de Falla'!GM20)</f>
      </c>
      <c r="K20" s="464">
        <f>IF('[2]Tasa de Falla'!GN20=0,"",'[2]Tasa de Falla'!GN20)</f>
      </c>
      <c r="L20" s="464">
        <f>IF('[2]Tasa de Falla'!GO20=0,"",'[2]Tasa de Falla'!GO20)</f>
      </c>
      <c r="M20" s="464">
        <f>IF('[2]Tasa de Falla'!GP20=0,"",'[2]Tasa de Falla'!GP20)</f>
      </c>
      <c r="N20" s="464">
        <f>IF('[2]Tasa de Falla'!GQ20=0,"",'[2]Tasa de Falla'!GQ20)</f>
      </c>
      <c r="O20" s="464">
        <f>IF('[2]Tasa de Falla'!GR20=0,"",'[2]Tasa de Falla'!GR20)</f>
      </c>
      <c r="P20" s="464">
        <f>IF('[2]Tasa de Falla'!GS20=0,"",'[2]Tasa de Falla'!GS20)</f>
      </c>
      <c r="Q20" s="464">
        <f>IF('[2]Tasa de Falla'!GT20=0,"",'[2]Tasa de Falla'!GT20)</f>
      </c>
      <c r="R20" s="464">
        <f>IF('[2]Tasa de Falla'!GU20=0,"",'[2]Tasa de Falla'!GU20)</f>
      </c>
      <c r="S20" s="458"/>
      <c r="T20" s="453"/>
    </row>
    <row r="21" spans="2:20" s="454" customFormat="1" ht="24.75" customHeight="1">
      <c r="B21" s="455"/>
      <c r="C21" s="461">
        <f>IF('[2]Tasa de Falla'!C21=0,"",'[2]Tasa de Falla'!C21)</f>
        <v>5</v>
      </c>
      <c r="D21" s="462" t="str">
        <f>IF('[2]Tasa de Falla'!D21=0,"",'[2]Tasa de Falla'!D21)</f>
        <v>LOS REYUNOS - GRAN MENDOZA</v>
      </c>
      <c r="E21" s="462">
        <f>IF('[2]Tasa de Falla'!E21=0,"",'[2]Tasa de Falla'!E21)</f>
        <v>220</v>
      </c>
      <c r="F21" s="463">
        <f>IF('[2]Tasa de Falla'!F21=0,"",'[2]Tasa de Falla'!F21)</f>
        <v>188.32</v>
      </c>
      <c r="G21" s="464">
        <f>IF('[2]Tasa de Falla'!GJ21=0,"",'[2]Tasa de Falla'!GJ21)</f>
        <v>1</v>
      </c>
      <c r="H21" s="464">
        <f>IF('[2]Tasa de Falla'!GK21=0,"",'[2]Tasa de Falla'!GK21)</f>
      </c>
      <c r="I21" s="464">
        <f>IF('[2]Tasa de Falla'!GL21=0,"",'[2]Tasa de Falla'!GL21)</f>
      </c>
      <c r="J21" s="464">
        <f>IF('[2]Tasa de Falla'!GM21=0,"",'[2]Tasa de Falla'!GM21)</f>
        <v>1</v>
      </c>
      <c r="K21" s="464">
        <f>IF('[2]Tasa de Falla'!GN21=0,"",'[2]Tasa de Falla'!GN21)</f>
        <v>2</v>
      </c>
      <c r="L21" s="464">
        <f>IF('[2]Tasa de Falla'!GO21=0,"",'[2]Tasa de Falla'!GO21)</f>
      </c>
      <c r="M21" s="464">
        <f>IF('[2]Tasa de Falla'!GP21=0,"",'[2]Tasa de Falla'!GP21)</f>
      </c>
      <c r="N21" s="464">
        <f>IF('[2]Tasa de Falla'!GQ21=0,"",'[2]Tasa de Falla'!GQ21)</f>
        <v>1</v>
      </c>
      <c r="O21" s="464">
        <f>IF('[2]Tasa de Falla'!GR21=0,"",'[2]Tasa de Falla'!GR21)</f>
      </c>
      <c r="P21" s="464">
        <f>IF('[2]Tasa de Falla'!GS21=0,"",'[2]Tasa de Falla'!GS21)</f>
      </c>
      <c r="Q21" s="464">
        <f>IF('[2]Tasa de Falla'!GT21=0,"",'[2]Tasa de Falla'!GT21)</f>
      </c>
      <c r="R21" s="464">
        <f>IF('[2]Tasa de Falla'!GU21=0,"",'[2]Tasa de Falla'!GU21)</f>
      </c>
      <c r="S21" s="458"/>
      <c r="T21" s="453"/>
    </row>
    <row r="22" spans="2:20" s="454" customFormat="1" ht="24.75" customHeight="1">
      <c r="B22" s="455"/>
      <c r="C22" s="461">
        <f>IF('[2]Tasa de Falla'!C22=0,"",'[2]Tasa de Falla'!C22)</f>
        <v>6</v>
      </c>
      <c r="D22" s="462" t="str">
        <f>IF('[2]Tasa de Falla'!D22=0,"",'[2]Tasa de Falla'!D22)</f>
        <v>CRUZ DE PIEDRA - CAÑADA HONDA</v>
      </c>
      <c r="E22" s="462">
        <f>IF('[2]Tasa de Falla'!E22=0,"",'[2]Tasa de Falla'!E22)</f>
        <v>132</v>
      </c>
      <c r="F22" s="463">
        <f>IF('[2]Tasa de Falla'!F22=0,"",'[2]Tasa de Falla'!F22)</f>
        <v>125.8</v>
      </c>
      <c r="G22" s="464">
        <f>IF('[2]Tasa de Falla'!GJ22=0,"",'[2]Tasa de Falla'!GJ22)</f>
      </c>
      <c r="H22" s="464">
        <f>IF('[2]Tasa de Falla'!GK22=0,"",'[2]Tasa de Falla'!GK22)</f>
      </c>
      <c r="I22" s="464">
        <f>IF('[2]Tasa de Falla'!GL22=0,"",'[2]Tasa de Falla'!GL22)</f>
      </c>
      <c r="J22" s="464">
        <f>IF('[2]Tasa de Falla'!GM22=0,"",'[2]Tasa de Falla'!GM22)</f>
      </c>
      <c r="K22" s="464">
        <f>IF('[2]Tasa de Falla'!GN22=0,"",'[2]Tasa de Falla'!GN22)</f>
      </c>
      <c r="L22" s="464">
        <f>IF('[2]Tasa de Falla'!GO22=0,"",'[2]Tasa de Falla'!GO22)</f>
      </c>
      <c r="M22" s="464">
        <f>IF('[2]Tasa de Falla'!GP22=0,"",'[2]Tasa de Falla'!GP22)</f>
      </c>
      <c r="N22" s="464">
        <f>IF('[2]Tasa de Falla'!GQ22=0,"",'[2]Tasa de Falla'!GQ22)</f>
      </c>
      <c r="O22" s="464">
        <f>IF('[2]Tasa de Falla'!GR22=0,"",'[2]Tasa de Falla'!GR22)</f>
      </c>
      <c r="P22" s="464">
        <f>IF('[2]Tasa de Falla'!GS22=0,"",'[2]Tasa de Falla'!GS22)</f>
        <v>1</v>
      </c>
      <c r="Q22" s="464">
        <f>IF('[2]Tasa de Falla'!GT22=0,"",'[2]Tasa de Falla'!GT22)</f>
      </c>
      <c r="R22" s="464">
        <f>IF('[2]Tasa de Falla'!GU22=0,"",'[2]Tasa de Falla'!GU22)</f>
      </c>
      <c r="S22" s="458"/>
      <c r="T22" s="453"/>
    </row>
    <row r="23" spans="2:20" s="454" customFormat="1" ht="24.75" customHeight="1">
      <c r="B23" s="455"/>
      <c r="C23" s="465">
        <f>IF('[2]Tasa de Falla'!C23=0,"",'[2]Tasa de Falla'!C23)</f>
        <v>7</v>
      </c>
      <c r="D23" s="466" t="str">
        <f>IF('[2]Tasa de Falla'!D23=0,"",'[2]Tasa de Falla'!D23)</f>
        <v>ANCHORIS - CAPIZ</v>
      </c>
      <c r="E23" s="466">
        <f>IF('[2]Tasa de Falla'!E23=0,"",'[2]Tasa de Falla'!E23)</f>
        <v>132</v>
      </c>
      <c r="F23" s="467">
        <f>IF('[2]Tasa de Falla'!F23=0,"",'[2]Tasa de Falla'!F23)</f>
        <v>41.95</v>
      </c>
      <c r="G23" s="464">
        <f>IF('[2]Tasa de Falla'!GJ23=0,"",'[2]Tasa de Falla'!GJ23)</f>
      </c>
      <c r="H23" s="464">
        <f>IF('[2]Tasa de Falla'!GK23=0,"",'[2]Tasa de Falla'!GK23)</f>
      </c>
      <c r="I23" s="464">
        <f>IF('[2]Tasa de Falla'!GL23=0,"",'[2]Tasa de Falla'!GL23)</f>
      </c>
      <c r="J23" s="464">
        <f>IF('[2]Tasa de Falla'!GM23=0,"",'[2]Tasa de Falla'!GM23)</f>
      </c>
      <c r="K23" s="464">
        <f>IF('[2]Tasa de Falla'!GN23=0,"",'[2]Tasa de Falla'!GN23)</f>
      </c>
      <c r="L23" s="464">
        <f>IF('[2]Tasa de Falla'!GO23=0,"",'[2]Tasa de Falla'!GO23)</f>
      </c>
      <c r="M23" s="464">
        <f>IF('[2]Tasa de Falla'!GP23=0,"",'[2]Tasa de Falla'!GP23)</f>
      </c>
      <c r="N23" s="464">
        <f>IF('[2]Tasa de Falla'!GQ23=0,"",'[2]Tasa de Falla'!GQ23)</f>
      </c>
      <c r="O23" s="464">
        <f>IF('[2]Tasa de Falla'!GR23=0,"",'[2]Tasa de Falla'!GR23)</f>
      </c>
      <c r="P23" s="464">
        <f>IF('[2]Tasa de Falla'!GS23=0,"",'[2]Tasa de Falla'!GS23)</f>
      </c>
      <c r="Q23" s="464">
        <f>IF('[2]Tasa de Falla'!GT23=0,"",'[2]Tasa de Falla'!GT23)</f>
      </c>
      <c r="R23" s="464">
        <f>IF('[2]Tasa de Falla'!GU23=0,"",'[2]Tasa de Falla'!GU23)</f>
      </c>
      <c r="S23" s="458"/>
      <c r="T23" s="453"/>
    </row>
    <row r="24" spans="2:20" s="454" customFormat="1" ht="24.75" customHeight="1">
      <c r="B24" s="455"/>
      <c r="C24" s="461">
        <f>IF('[2]Tasa de Falla'!C24=0,"",'[2]Tasa de Falla'!C24)</f>
        <v>8</v>
      </c>
      <c r="D24" s="462" t="str">
        <f>IF('[2]Tasa de Falla'!D24=0,"",'[2]Tasa de Falla'!D24)</f>
        <v>ANCHORIS - CRUZ DE PIEDRA</v>
      </c>
      <c r="E24" s="462">
        <f>IF('[2]Tasa de Falla'!E24=0,"",'[2]Tasa de Falla'!E24)</f>
        <v>132</v>
      </c>
      <c r="F24" s="463">
        <f>IF('[2]Tasa de Falla'!F24=0,"",'[2]Tasa de Falla'!F24)</f>
        <v>33.5</v>
      </c>
      <c r="G24" s="464">
        <f>IF('[2]Tasa de Falla'!GJ24=0,"",'[2]Tasa de Falla'!GJ24)</f>
      </c>
      <c r="H24" s="464">
        <f>IF('[2]Tasa de Falla'!GK24=0,"",'[2]Tasa de Falla'!GK24)</f>
        <v>1</v>
      </c>
      <c r="I24" s="464">
        <f>IF('[2]Tasa de Falla'!GL24=0,"",'[2]Tasa de Falla'!GL24)</f>
      </c>
      <c r="J24" s="464">
        <f>IF('[2]Tasa de Falla'!GM24=0,"",'[2]Tasa de Falla'!GM24)</f>
      </c>
      <c r="K24" s="464">
        <f>IF('[2]Tasa de Falla'!GN24=0,"",'[2]Tasa de Falla'!GN24)</f>
      </c>
      <c r="L24" s="464">
        <f>IF('[2]Tasa de Falla'!GO24=0,"",'[2]Tasa de Falla'!GO24)</f>
      </c>
      <c r="M24" s="464">
        <f>IF('[2]Tasa de Falla'!GP24=0,"",'[2]Tasa de Falla'!GP24)</f>
      </c>
      <c r="N24" s="464">
        <f>IF('[2]Tasa de Falla'!GQ24=0,"",'[2]Tasa de Falla'!GQ24)</f>
      </c>
      <c r="O24" s="464">
        <f>IF('[2]Tasa de Falla'!GR24=0,"",'[2]Tasa de Falla'!GR24)</f>
      </c>
      <c r="P24" s="464">
        <f>IF('[2]Tasa de Falla'!GS24=0,"",'[2]Tasa de Falla'!GS24)</f>
      </c>
      <c r="Q24" s="464">
        <f>IF('[2]Tasa de Falla'!GT24=0,"",'[2]Tasa de Falla'!GT24)</f>
      </c>
      <c r="R24" s="464">
        <f>IF('[2]Tasa de Falla'!GU24=0,"",'[2]Tasa de Falla'!GU24)</f>
      </c>
      <c r="S24" s="458"/>
      <c r="T24" s="453"/>
    </row>
    <row r="25" spans="2:20" s="454" customFormat="1" ht="24.75" customHeight="1">
      <c r="B25" s="455"/>
      <c r="C25" s="465">
        <f>IF('[2]Tasa de Falla'!C25=0,"",'[2]Tasa de Falla'!C25)</f>
        <v>9</v>
      </c>
      <c r="D25" s="466" t="str">
        <f>IF('[2]Tasa de Falla'!D25=0,"",'[2]Tasa de Falla'!D25)</f>
        <v>ANCHORIZ -Deriv."T" a LC 35-B.R.Tunuyan</v>
      </c>
      <c r="E25" s="466">
        <f>IF('[2]Tasa de Falla'!E25=0,"",'[2]Tasa de Falla'!E25)</f>
        <v>132</v>
      </c>
      <c r="F25" s="467">
        <f>IF('[2]Tasa de Falla'!F25=0,"",'[2]Tasa de Falla'!F25)</f>
        <v>52.86</v>
      </c>
      <c r="G25" s="464">
        <f>IF('[2]Tasa de Falla'!GJ25=0,"",'[2]Tasa de Falla'!GJ25)</f>
      </c>
      <c r="H25" s="464">
        <f>IF('[2]Tasa de Falla'!GK25=0,"",'[2]Tasa de Falla'!GK25)</f>
      </c>
      <c r="I25" s="464">
        <f>IF('[2]Tasa de Falla'!GL25=0,"",'[2]Tasa de Falla'!GL25)</f>
      </c>
      <c r="J25" s="464">
        <f>IF('[2]Tasa de Falla'!GM25=0,"",'[2]Tasa de Falla'!GM25)</f>
      </c>
      <c r="K25" s="464">
        <f>IF('[2]Tasa de Falla'!GN25=0,"",'[2]Tasa de Falla'!GN25)</f>
      </c>
      <c r="L25" s="464">
        <f>IF('[2]Tasa de Falla'!GO25=0,"",'[2]Tasa de Falla'!GO25)</f>
      </c>
      <c r="M25" s="464">
        <f>IF('[2]Tasa de Falla'!GP25=0,"",'[2]Tasa de Falla'!GP25)</f>
      </c>
      <c r="N25" s="464">
        <f>IF('[2]Tasa de Falla'!GQ25=0,"",'[2]Tasa de Falla'!GQ25)</f>
      </c>
      <c r="O25" s="464">
        <f>IF('[2]Tasa de Falla'!GR25=0,"",'[2]Tasa de Falla'!GR25)</f>
      </c>
      <c r="P25" s="464">
        <f>IF('[2]Tasa de Falla'!GS25=0,"",'[2]Tasa de Falla'!GS25)</f>
      </c>
      <c r="Q25" s="464">
        <f>IF('[2]Tasa de Falla'!GT25=0,"",'[2]Tasa de Falla'!GT25)</f>
      </c>
      <c r="R25" s="464">
        <f>IF('[2]Tasa de Falla'!GU25=0,"",'[2]Tasa de Falla'!GU25)</f>
      </c>
      <c r="S25" s="458"/>
      <c r="T25" s="453"/>
    </row>
    <row r="26" spans="2:20" s="454" customFormat="1" ht="24.75" customHeight="1">
      <c r="B26" s="455"/>
      <c r="C26" s="461">
        <f>IF('[2]Tasa de Falla'!C26=0,"",'[2]Tasa de Falla'!C26)</f>
        <v>10</v>
      </c>
      <c r="D26" s="462" t="str">
        <f>IF('[2]Tasa de Falla'!D26=0,"",'[2]Tasa de Falla'!D26)</f>
        <v>CAPIZ - PEDRO VARGAS</v>
      </c>
      <c r="E26" s="462">
        <f>IF('[2]Tasa de Falla'!E26=0,"",'[2]Tasa de Falla'!E26)</f>
        <v>132</v>
      </c>
      <c r="F26" s="463">
        <f>IF('[2]Tasa de Falla'!F26=0,"",'[2]Tasa de Falla'!F26)</f>
        <v>122.13</v>
      </c>
      <c r="G26" s="464">
        <f>IF('[2]Tasa de Falla'!GJ26=0,"",'[2]Tasa de Falla'!GJ26)</f>
      </c>
      <c r="H26" s="464">
        <f>IF('[2]Tasa de Falla'!GK26=0,"",'[2]Tasa de Falla'!GK26)</f>
      </c>
      <c r="I26" s="464">
        <f>IF('[2]Tasa de Falla'!GL26=0,"",'[2]Tasa de Falla'!GL26)</f>
      </c>
      <c r="J26" s="464">
        <f>IF('[2]Tasa de Falla'!GM26=0,"",'[2]Tasa de Falla'!GM26)</f>
      </c>
      <c r="K26" s="464">
        <f>IF('[2]Tasa de Falla'!GN26=0,"",'[2]Tasa de Falla'!GN26)</f>
      </c>
      <c r="L26" s="464">
        <f>IF('[2]Tasa de Falla'!GO26=0,"",'[2]Tasa de Falla'!GO26)</f>
      </c>
      <c r="M26" s="464">
        <f>IF('[2]Tasa de Falla'!GP26=0,"",'[2]Tasa de Falla'!GP26)</f>
      </c>
      <c r="N26" s="464">
        <f>IF('[2]Tasa de Falla'!GQ26=0,"",'[2]Tasa de Falla'!GQ26)</f>
      </c>
      <c r="O26" s="464">
        <f>IF('[2]Tasa de Falla'!GR26=0,"",'[2]Tasa de Falla'!GR26)</f>
      </c>
      <c r="P26" s="464">
        <f>IF('[2]Tasa de Falla'!GS26=0,"",'[2]Tasa de Falla'!GS26)</f>
      </c>
      <c r="Q26" s="464">
        <f>IF('[2]Tasa de Falla'!GT26=0,"",'[2]Tasa de Falla'!GT26)</f>
      </c>
      <c r="R26" s="464">
        <f>IF('[2]Tasa de Falla'!GU26=0,"",'[2]Tasa de Falla'!GU26)</f>
        <v>1</v>
      </c>
      <c r="S26" s="458"/>
      <c r="T26" s="453"/>
    </row>
    <row r="27" spans="2:20" s="454" customFormat="1" ht="24.75" customHeight="1">
      <c r="B27" s="455"/>
      <c r="C27" s="465">
        <f>IF('[2]Tasa de Falla'!C27=0,"",'[2]Tasa de Falla'!C27)</f>
        <v>11</v>
      </c>
      <c r="D27" s="466" t="str">
        <f>IF('[2]Tasa de Falla'!D27=0,"",'[2]Tasa de Falla'!D27)</f>
        <v>SAN RAFAEL - PEDRO VARGAS</v>
      </c>
      <c r="E27" s="466">
        <f>IF('[2]Tasa de Falla'!E27=0,"",'[2]Tasa de Falla'!E27)</f>
        <v>132</v>
      </c>
      <c r="F27" s="467">
        <f>IF('[2]Tasa de Falla'!F27=0,"",'[2]Tasa de Falla'!F27)</f>
        <v>15.59</v>
      </c>
      <c r="G27" s="464">
        <f>IF('[2]Tasa de Falla'!GJ27=0,"",'[2]Tasa de Falla'!GJ27)</f>
      </c>
      <c r="H27" s="464">
        <f>IF('[2]Tasa de Falla'!GK27=0,"",'[2]Tasa de Falla'!GK27)</f>
      </c>
      <c r="I27" s="464">
        <f>IF('[2]Tasa de Falla'!GL27=0,"",'[2]Tasa de Falla'!GL27)</f>
      </c>
      <c r="J27" s="464">
        <f>IF('[2]Tasa de Falla'!GM27=0,"",'[2]Tasa de Falla'!GM27)</f>
      </c>
      <c r="K27" s="464">
        <f>IF('[2]Tasa de Falla'!GN27=0,"",'[2]Tasa de Falla'!GN27)</f>
      </c>
      <c r="L27" s="464">
        <f>IF('[2]Tasa de Falla'!GO27=0,"",'[2]Tasa de Falla'!GO27)</f>
      </c>
      <c r="M27" s="464">
        <f>IF('[2]Tasa de Falla'!GP27=0,"",'[2]Tasa de Falla'!GP27)</f>
      </c>
      <c r="N27" s="464">
        <f>IF('[2]Tasa de Falla'!GQ27=0,"",'[2]Tasa de Falla'!GQ27)</f>
      </c>
      <c r="O27" s="464">
        <f>IF('[2]Tasa de Falla'!GR27=0,"",'[2]Tasa de Falla'!GR27)</f>
      </c>
      <c r="P27" s="464">
        <f>IF('[2]Tasa de Falla'!GS27=0,"",'[2]Tasa de Falla'!GS27)</f>
      </c>
      <c r="Q27" s="464">
        <f>IF('[2]Tasa de Falla'!GT27=0,"",'[2]Tasa de Falla'!GT27)</f>
      </c>
      <c r="R27" s="464">
        <f>IF('[2]Tasa de Falla'!GU27=0,"",'[2]Tasa de Falla'!GU27)</f>
      </c>
      <c r="S27" s="458"/>
      <c r="T27" s="453"/>
    </row>
    <row r="28" spans="2:20" s="454" customFormat="1" ht="24.75" customHeight="1">
      <c r="B28" s="455"/>
      <c r="C28" s="461">
        <f>IF('[2]Tasa de Falla'!C28=0,"",'[2]Tasa de Falla'!C28)</f>
        <v>12</v>
      </c>
      <c r="D28" s="462" t="str">
        <f>IF('[2]Tasa de Falla'!D28=0,"",'[2]Tasa de Falla'!D28)</f>
        <v>GRAN MENDOZA - MONTE CASEROS 1</v>
      </c>
      <c r="E28" s="462">
        <f>IF('[2]Tasa de Falla'!E28=0,"",'[2]Tasa de Falla'!E28)</f>
        <v>132</v>
      </c>
      <c r="F28" s="463">
        <f>IF('[2]Tasa de Falla'!F28=0,"",'[2]Tasa de Falla'!F28)</f>
        <v>19.06</v>
      </c>
      <c r="G28" s="464">
        <f>IF('[2]Tasa de Falla'!GJ28=0,"",'[2]Tasa de Falla'!GJ28)</f>
      </c>
      <c r="H28" s="464">
        <f>IF('[2]Tasa de Falla'!GK28=0,"",'[2]Tasa de Falla'!GK28)</f>
      </c>
      <c r="I28" s="464">
        <f>IF('[2]Tasa de Falla'!GL28=0,"",'[2]Tasa de Falla'!GL28)</f>
      </c>
      <c r="J28" s="464">
        <f>IF('[2]Tasa de Falla'!GM28=0,"",'[2]Tasa de Falla'!GM28)</f>
      </c>
      <c r="K28" s="464">
        <f>IF('[2]Tasa de Falla'!GN28=0,"",'[2]Tasa de Falla'!GN28)</f>
      </c>
      <c r="L28" s="464">
        <f>IF('[2]Tasa de Falla'!GO28=0,"",'[2]Tasa de Falla'!GO28)</f>
      </c>
      <c r="M28" s="464">
        <f>IF('[2]Tasa de Falla'!GP28=0,"",'[2]Tasa de Falla'!GP28)</f>
      </c>
      <c r="N28" s="464">
        <f>IF('[2]Tasa de Falla'!GQ28=0,"",'[2]Tasa de Falla'!GQ28)</f>
      </c>
      <c r="O28" s="464">
        <f>IF('[2]Tasa de Falla'!GR28=0,"",'[2]Tasa de Falla'!GR28)</f>
      </c>
      <c r="P28" s="464">
        <f>IF('[2]Tasa de Falla'!GS28=0,"",'[2]Tasa de Falla'!GS28)</f>
      </c>
      <c r="Q28" s="464">
        <f>IF('[2]Tasa de Falla'!GT28=0,"",'[2]Tasa de Falla'!GT28)</f>
      </c>
      <c r="R28" s="464">
        <f>IF('[2]Tasa de Falla'!GU28=0,"",'[2]Tasa de Falla'!GU28)</f>
      </c>
      <c r="S28" s="458"/>
      <c r="T28" s="453"/>
    </row>
    <row r="29" spans="2:20" s="454" customFormat="1" ht="24.75" customHeight="1">
      <c r="B29" s="455"/>
      <c r="C29" s="465">
        <f>IF('[2]Tasa de Falla'!C29=0,"",'[2]Tasa de Falla'!C29)</f>
        <v>13</v>
      </c>
      <c r="D29" s="466" t="str">
        <f>IF('[2]Tasa de Falla'!D29=0,"",'[2]Tasa de Falla'!D29)</f>
        <v>GRAN MENDOZA - MONTE CASEROS 2</v>
      </c>
      <c r="E29" s="466">
        <f>IF('[2]Tasa de Falla'!E29=0,"",'[2]Tasa de Falla'!E29)</f>
        <v>132</v>
      </c>
      <c r="F29" s="467">
        <f>IF('[2]Tasa de Falla'!F29=0,"",'[2]Tasa de Falla'!F29)</f>
        <v>19.06</v>
      </c>
      <c r="G29" s="464">
        <f>IF('[2]Tasa de Falla'!GJ29=0,"",'[2]Tasa de Falla'!GJ29)</f>
      </c>
      <c r="H29" s="464">
        <f>IF('[2]Tasa de Falla'!GK29=0,"",'[2]Tasa de Falla'!GK29)</f>
      </c>
      <c r="I29" s="464">
        <f>IF('[2]Tasa de Falla'!GL29=0,"",'[2]Tasa de Falla'!GL29)</f>
      </c>
      <c r="J29" s="464">
        <f>IF('[2]Tasa de Falla'!GM29=0,"",'[2]Tasa de Falla'!GM29)</f>
      </c>
      <c r="K29" s="464">
        <f>IF('[2]Tasa de Falla'!GN29=0,"",'[2]Tasa de Falla'!GN29)</f>
      </c>
      <c r="L29" s="464">
        <f>IF('[2]Tasa de Falla'!GO29=0,"",'[2]Tasa de Falla'!GO29)</f>
      </c>
      <c r="M29" s="464">
        <f>IF('[2]Tasa de Falla'!GP29=0,"",'[2]Tasa de Falla'!GP29)</f>
      </c>
      <c r="N29" s="464">
        <f>IF('[2]Tasa de Falla'!GQ29=0,"",'[2]Tasa de Falla'!GQ29)</f>
      </c>
      <c r="O29" s="464">
        <f>IF('[2]Tasa de Falla'!GR29=0,"",'[2]Tasa de Falla'!GR29)</f>
      </c>
      <c r="P29" s="464">
        <f>IF('[2]Tasa de Falla'!GS29=0,"",'[2]Tasa de Falla'!GS29)</f>
      </c>
      <c r="Q29" s="464">
        <f>IF('[2]Tasa de Falla'!GT29=0,"",'[2]Tasa de Falla'!GT29)</f>
      </c>
      <c r="R29" s="464">
        <f>IF('[2]Tasa de Falla'!GU29=0,"",'[2]Tasa de Falla'!GU29)</f>
      </c>
      <c r="S29" s="458"/>
      <c r="T29" s="453"/>
    </row>
    <row r="30" spans="2:20" s="454" customFormat="1" ht="24.75" customHeight="1">
      <c r="B30" s="455"/>
      <c r="C30" s="461">
        <f>IF('[2]Tasa de Falla'!C30=0,"",'[2]Tasa de Falla'!C30)</f>
        <v>14</v>
      </c>
      <c r="D30" s="462" t="str">
        <f>IF('[2]Tasa de Falla'!D30=0,"",'[2]Tasa de Falla'!D30)</f>
        <v>CRUZ DE PIEDRA - GRAN MENDOZA 1</v>
      </c>
      <c r="E30" s="462">
        <f>IF('[2]Tasa de Falla'!E30=0,"",'[2]Tasa de Falla'!E30)</f>
        <v>132</v>
      </c>
      <c r="F30" s="463">
        <f>IF('[2]Tasa de Falla'!F30=0,"",'[2]Tasa de Falla'!F30)</f>
        <v>21.98</v>
      </c>
      <c r="G30" s="464">
        <f>IF('[2]Tasa de Falla'!GJ30=0,"",'[2]Tasa de Falla'!GJ30)</f>
      </c>
      <c r="H30" s="464">
        <f>IF('[2]Tasa de Falla'!GK30=0,"",'[2]Tasa de Falla'!GK30)</f>
      </c>
      <c r="I30" s="464">
        <f>IF('[2]Tasa de Falla'!GL30=0,"",'[2]Tasa de Falla'!GL30)</f>
      </c>
      <c r="J30" s="464">
        <f>IF('[2]Tasa de Falla'!GM30=0,"",'[2]Tasa de Falla'!GM30)</f>
      </c>
      <c r="K30" s="464">
        <f>IF('[2]Tasa de Falla'!GN30=0,"",'[2]Tasa de Falla'!GN30)</f>
      </c>
      <c r="L30" s="464">
        <f>IF('[2]Tasa de Falla'!GO30=0,"",'[2]Tasa de Falla'!GO30)</f>
      </c>
      <c r="M30" s="464">
        <f>IF('[2]Tasa de Falla'!GP30=0,"",'[2]Tasa de Falla'!GP30)</f>
      </c>
      <c r="N30" s="464">
        <f>IF('[2]Tasa de Falla'!GQ30=0,"",'[2]Tasa de Falla'!GQ30)</f>
      </c>
      <c r="O30" s="464">
        <f>IF('[2]Tasa de Falla'!GR30=0,"",'[2]Tasa de Falla'!GR30)</f>
      </c>
      <c r="P30" s="464">
        <f>IF('[2]Tasa de Falla'!GS30=0,"",'[2]Tasa de Falla'!GS30)</f>
      </c>
      <c r="Q30" s="464">
        <f>IF('[2]Tasa de Falla'!GT30=0,"",'[2]Tasa de Falla'!GT30)</f>
      </c>
      <c r="R30" s="464">
        <f>IF('[2]Tasa de Falla'!GU30=0,"",'[2]Tasa de Falla'!GU30)</f>
      </c>
      <c r="S30" s="458"/>
      <c r="T30" s="453"/>
    </row>
    <row r="31" spans="2:20" s="454" customFormat="1" ht="24.75" customHeight="1">
      <c r="B31" s="455"/>
      <c r="C31" s="465">
        <f>IF('[2]Tasa de Falla'!C31=0,"",'[2]Tasa de Falla'!C31)</f>
        <v>15</v>
      </c>
      <c r="D31" s="466" t="str">
        <f>IF('[2]Tasa de Falla'!D31=0,"",'[2]Tasa de Falla'!D31)</f>
        <v>CRUZ DE PIEDRA - GRAN MENDOZA 2</v>
      </c>
      <c r="E31" s="466">
        <f>IF('[2]Tasa de Falla'!E31=0,"",'[2]Tasa de Falla'!E31)</f>
        <v>132</v>
      </c>
      <c r="F31" s="467">
        <f>IF('[2]Tasa de Falla'!F31=0,"",'[2]Tasa de Falla'!F31)</f>
        <v>21.98</v>
      </c>
      <c r="G31" s="464">
        <f>IF('[2]Tasa de Falla'!GJ31=0,"",'[2]Tasa de Falla'!GJ31)</f>
      </c>
      <c r="H31" s="464">
        <f>IF('[2]Tasa de Falla'!GK31=0,"",'[2]Tasa de Falla'!GK31)</f>
      </c>
      <c r="I31" s="464">
        <f>IF('[2]Tasa de Falla'!GL31=0,"",'[2]Tasa de Falla'!GL31)</f>
      </c>
      <c r="J31" s="464">
        <f>IF('[2]Tasa de Falla'!GM31=0,"",'[2]Tasa de Falla'!GM31)</f>
      </c>
      <c r="K31" s="464">
        <f>IF('[2]Tasa de Falla'!GN31=0,"",'[2]Tasa de Falla'!GN31)</f>
      </c>
      <c r="L31" s="464">
        <f>IF('[2]Tasa de Falla'!GO31=0,"",'[2]Tasa de Falla'!GO31)</f>
      </c>
      <c r="M31" s="464">
        <f>IF('[2]Tasa de Falla'!GP31=0,"",'[2]Tasa de Falla'!GP31)</f>
      </c>
      <c r="N31" s="464">
        <f>IF('[2]Tasa de Falla'!GQ31=0,"",'[2]Tasa de Falla'!GQ31)</f>
      </c>
      <c r="O31" s="464">
        <f>IF('[2]Tasa de Falla'!GR31=0,"",'[2]Tasa de Falla'!GR31)</f>
      </c>
      <c r="P31" s="464">
        <f>IF('[2]Tasa de Falla'!GS31=0,"",'[2]Tasa de Falla'!GS31)</f>
      </c>
      <c r="Q31" s="464">
        <f>IF('[2]Tasa de Falla'!GT31=0,"",'[2]Tasa de Falla'!GT31)</f>
      </c>
      <c r="R31" s="464">
        <f>IF('[2]Tasa de Falla'!GU31=0,"",'[2]Tasa de Falla'!GU31)</f>
      </c>
      <c r="S31" s="458"/>
      <c r="T31" s="453"/>
    </row>
    <row r="32" spans="2:20" s="454" customFormat="1" ht="24.75" customHeight="1">
      <c r="B32" s="455"/>
      <c r="C32" s="461">
        <f>IF('[2]Tasa de Falla'!C32=0,"",'[2]Tasa de Falla'!C32)</f>
        <v>16</v>
      </c>
      <c r="D32" s="462" t="str">
        <f>IF('[2]Tasa de Falla'!D32=0,"",'[2]Tasa de Falla'!D32)</f>
        <v>CRUZ DE PIEDRA - SAN JUAN</v>
      </c>
      <c r="E32" s="462">
        <f>IF('[2]Tasa de Falla'!E32=0,"",'[2]Tasa de Falla'!E32)</f>
        <v>132</v>
      </c>
      <c r="F32" s="463">
        <f>IF('[2]Tasa de Falla'!F32=0,"",'[2]Tasa de Falla'!F32)</f>
        <v>180.18</v>
      </c>
      <c r="G32" s="464">
        <f>IF('[2]Tasa de Falla'!GJ32=0,"",'[2]Tasa de Falla'!GJ32)</f>
      </c>
      <c r="H32" s="464">
        <f>IF('[2]Tasa de Falla'!GK32=0,"",'[2]Tasa de Falla'!GK32)</f>
      </c>
      <c r="I32" s="464">
        <f>IF('[2]Tasa de Falla'!GL32=0,"",'[2]Tasa de Falla'!GL32)</f>
      </c>
      <c r="J32" s="464">
        <f>IF('[2]Tasa de Falla'!GM32=0,"",'[2]Tasa de Falla'!GM32)</f>
      </c>
      <c r="K32" s="464">
        <f>IF('[2]Tasa de Falla'!GN32=0,"",'[2]Tasa de Falla'!GN32)</f>
      </c>
      <c r="L32" s="464">
        <f>IF('[2]Tasa de Falla'!GO32=0,"",'[2]Tasa de Falla'!GO32)</f>
      </c>
      <c r="M32" s="464">
        <f>IF('[2]Tasa de Falla'!GP32=0,"",'[2]Tasa de Falla'!GP32)</f>
        <v>1</v>
      </c>
      <c r="N32" s="464">
        <f>IF('[2]Tasa de Falla'!GQ32=0,"",'[2]Tasa de Falla'!GQ32)</f>
      </c>
      <c r="O32" s="464">
        <f>IF('[2]Tasa de Falla'!GR32=0,"",'[2]Tasa de Falla'!GR32)</f>
      </c>
      <c r="P32" s="464">
        <f>IF('[2]Tasa de Falla'!GS32=0,"",'[2]Tasa de Falla'!GS32)</f>
        <v>2</v>
      </c>
      <c r="Q32" s="464">
        <f>IF('[2]Tasa de Falla'!GT32=0,"",'[2]Tasa de Falla'!GT32)</f>
        <v>1</v>
      </c>
      <c r="R32" s="464">
        <f>IF('[2]Tasa de Falla'!GU32=0,"",'[2]Tasa de Falla'!GU32)</f>
      </c>
      <c r="S32" s="458"/>
      <c r="T32" s="453"/>
    </row>
    <row r="33" spans="2:20" s="454" customFormat="1" ht="24.75" customHeight="1">
      <c r="B33" s="455"/>
      <c r="C33" s="465">
        <f>IF('[2]Tasa de Falla'!C33=0,"",'[2]Tasa de Falla'!C33)</f>
        <v>17</v>
      </c>
      <c r="D33" s="466" t="str">
        <f>IF('[2]Tasa de Falla'!D33=0,"",'[2]Tasa de Falla'!D33)</f>
        <v>CRUZ DE PIEDRA - LUJAN DE CUYO 1</v>
      </c>
      <c r="E33" s="466">
        <f>IF('[2]Tasa de Falla'!E33=0,"",'[2]Tasa de Falla'!E33)</f>
        <v>132</v>
      </c>
      <c r="F33" s="467">
        <f>IF('[2]Tasa de Falla'!F33=0,"",'[2]Tasa de Falla'!F33)</f>
        <v>18.08</v>
      </c>
      <c r="G33" s="464">
        <f>IF('[2]Tasa de Falla'!GJ33=0,"",'[2]Tasa de Falla'!GJ33)</f>
      </c>
      <c r="H33" s="464">
        <f>IF('[2]Tasa de Falla'!GK33=0,"",'[2]Tasa de Falla'!GK33)</f>
      </c>
      <c r="I33" s="464">
        <f>IF('[2]Tasa de Falla'!GL33=0,"",'[2]Tasa de Falla'!GL33)</f>
      </c>
      <c r="J33" s="464">
        <f>IF('[2]Tasa de Falla'!GM33=0,"",'[2]Tasa de Falla'!GM33)</f>
      </c>
      <c r="K33" s="464">
        <f>IF('[2]Tasa de Falla'!GN33=0,"",'[2]Tasa de Falla'!GN33)</f>
      </c>
      <c r="L33" s="464">
        <f>IF('[2]Tasa de Falla'!GO33=0,"",'[2]Tasa de Falla'!GO33)</f>
      </c>
      <c r="M33" s="464">
        <f>IF('[2]Tasa de Falla'!GP33=0,"",'[2]Tasa de Falla'!GP33)</f>
      </c>
      <c r="N33" s="464">
        <f>IF('[2]Tasa de Falla'!GQ33=0,"",'[2]Tasa de Falla'!GQ33)</f>
      </c>
      <c r="O33" s="464">
        <f>IF('[2]Tasa de Falla'!GR33=0,"",'[2]Tasa de Falla'!GR33)</f>
      </c>
      <c r="P33" s="464">
        <f>IF('[2]Tasa de Falla'!GS33=0,"",'[2]Tasa de Falla'!GS33)</f>
      </c>
      <c r="Q33" s="464">
        <f>IF('[2]Tasa de Falla'!GT33=0,"",'[2]Tasa de Falla'!GT33)</f>
      </c>
      <c r="R33" s="464">
        <f>IF('[2]Tasa de Falla'!GU33=0,"",'[2]Tasa de Falla'!GU33)</f>
        <v>1</v>
      </c>
      <c r="S33" s="458"/>
      <c r="T33" s="453"/>
    </row>
    <row r="34" spans="2:20" s="454" customFormat="1" ht="24.75" customHeight="1">
      <c r="B34" s="455"/>
      <c r="C34" s="461">
        <f>IF('[2]Tasa de Falla'!C34=0,"",'[2]Tasa de Falla'!C34)</f>
        <v>18</v>
      </c>
      <c r="D34" s="462" t="str">
        <f>IF('[2]Tasa de Falla'!D34=0,"",'[2]Tasa de Falla'!D34)</f>
        <v>CRUZ DE PIEDRA - LUJAN DE CUYO 2</v>
      </c>
      <c r="E34" s="462">
        <f>IF('[2]Tasa de Falla'!E34=0,"",'[2]Tasa de Falla'!E34)</f>
        <v>132</v>
      </c>
      <c r="F34" s="463">
        <f>IF('[2]Tasa de Falla'!F34=0,"",'[2]Tasa de Falla'!F34)</f>
        <v>18.08</v>
      </c>
      <c r="G34" s="464">
        <f>IF('[2]Tasa de Falla'!GJ34=0,"",'[2]Tasa de Falla'!GJ34)</f>
      </c>
      <c r="H34" s="464">
        <f>IF('[2]Tasa de Falla'!GK34=0,"",'[2]Tasa de Falla'!GK34)</f>
      </c>
      <c r="I34" s="464">
        <f>IF('[2]Tasa de Falla'!GL34=0,"",'[2]Tasa de Falla'!GL34)</f>
      </c>
      <c r="J34" s="464">
        <f>IF('[2]Tasa de Falla'!GM34=0,"",'[2]Tasa de Falla'!GM34)</f>
      </c>
      <c r="K34" s="464">
        <f>IF('[2]Tasa de Falla'!GN34=0,"",'[2]Tasa de Falla'!GN34)</f>
      </c>
      <c r="L34" s="464">
        <f>IF('[2]Tasa de Falla'!GO34=0,"",'[2]Tasa de Falla'!GO34)</f>
      </c>
      <c r="M34" s="464">
        <f>IF('[2]Tasa de Falla'!GP34=0,"",'[2]Tasa de Falla'!GP34)</f>
      </c>
      <c r="N34" s="464">
        <f>IF('[2]Tasa de Falla'!GQ34=0,"",'[2]Tasa de Falla'!GQ34)</f>
      </c>
      <c r="O34" s="464">
        <f>IF('[2]Tasa de Falla'!GR34=0,"",'[2]Tasa de Falla'!GR34)</f>
      </c>
      <c r="P34" s="464">
        <f>IF('[2]Tasa de Falla'!GS34=0,"",'[2]Tasa de Falla'!GS34)</f>
      </c>
      <c r="Q34" s="464">
        <f>IF('[2]Tasa de Falla'!GT34=0,"",'[2]Tasa de Falla'!GT34)</f>
      </c>
      <c r="R34" s="464">
        <f>IF('[2]Tasa de Falla'!GU34=0,"",'[2]Tasa de Falla'!GU34)</f>
      </c>
      <c r="S34" s="458"/>
      <c r="T34" s="453"/>
    </row>
    <row r="35" spans="2:20" s="454" customFormat="1" ht="24.75" customHeight="1">
      <c r="B35" s="455"/>
      <c r="C35" s="468">
        <f>IF('[2]Tasa de Falla'!C35=0,"",'[2]Tasa de Falla'!C35)</f>
        <v>19</v>
      </c>
      <c r="D35" s="469" t="str">
        <f>IF('[2]Tasa de Falla'!D35=0,"",'[2]Tasa de Falla'!D35)</f>
        <v>C.H. NIHUIL I - PEDRO VARGAS</v>
      </c>
      <c r="E35" s="469">
        <f>IF('[2]Tasa de Falla'!E35=0,"",'[2]Tasa de Falla'!E35)</f>
        <v>132</v>
      </c>
      <c r="F35" s="470">
        <f>IF('[2]Tasa de Falla'!F35=0,"",'[2]Tasa de Falla'!F35)</f>
        <v>46.45</v>
      </c>
      <c r="G35" s="464">
        <f>IF('[2]Tasa de Falla'!GJ35=0,"",'[2]Tasa de Falla'!GJ35)</f>
      </c>
      <c r="H35" s="464">
        <f>IF('[2]Tasa de Falla'!GK35=0,"",'[2]Tasa de Falla'!GK35)</f>
      </c>
      <c r="I35" s="464">
        <f>IF('[2]Tasa de Falla'!GL35=0,"",'[2]Tasa de Falla'!GL35)</f>
        <v>1</v>
      </c>
      <c r="J35" s="464">
        <f>IF('[2]Tasa de Falla'!GM35=0,"",'[2]Tasa de Falla'!GM35)</f>
      </c>
      <c r="K35" s="464">
        <f>IF('[2]Tasa de Falla'!GN35=0,"",'[2]Tasa de Falla'!GN35)</f>
      </c>
      <c r="L35" s="464">
        <f>IF('[2]Tasa de Falla'!GO35=0,"",'[2]Tasa de Falla'!GO35)</f>
      </c>
      <c r="M35" s="464">
        <f>IF('[2]Tasa de Falla'!GP35=0,"",'[2]Tasa de Falla'!GP35)</f>
      </c>
      <c r="N35" s="464">
        <f>IF('[2]Tasa de Falla'!GQ35=0,"",'[2]Tasa de Falla'!GQ35)</f>
      </c>
      <c r="O35" s="464">
        <f>IF('[2]Tasa de Falla'!GR35=0,"",'[2]Tasa de Falla'!GR35)</f>
      </c>
      <c r="P35" s="464">
        <f>IF('[2]Tasa de Falla'!GS35=0,"",'[2]Tasa de Falla'!GS35)</f>
      </c>
      <c r="Q35" s="464">
        <f>IF('[2]Tasa de Falla'!GT35=0,"",'[2]Tasa de Falla'!GT35)</f>
      </c>
      <c r="R35" s="464">
        <f>IF('[2]Tasa de Falla'!GU35=0,"",'[2]Tasa de Falla'!GU35)</f>
      </c>
      <c r="S35" s="458"/>
      <c r="T35" s="453"/>
    </row>
    <row r="36" spans="2:20" s="454" customFormat="1" ht="24.75" customHeight="1">
      <c r="B36" s="455"/>
      <c r="C36" s="461">
        <f>IF('[2]Tasa de Falla'!C36=0,"",'[2]Tasa de Falla'!C36)</f>
      </c>
      <c r="D36" s="462">
        <f>IF('[2]Tasa de Falla'!D36=0,"",'[2]Tasa de Falla'!D36)</f>
      </c>
      <c r="E36" s="462">
        <f>IF('[2]Tasa de Falla'!E36=0,"",'[2]Tasa de Falla'!E36)</f>
      </c>
      <c r="F36" s="463">
        <f>IF('[2]Tasa de Falla'!F36=0,"",'[2]Tasa de Falla'!F36)</f>
      </c>
      <c r="G36" s="464">
        <f>IF('[2]Tasa de Falla'!GJ36=0,"",'[2]Tasa de Falla'!GJ36)</f>
      </c>
      <c r="H36" s="464">
        <f>IF('[2]Tasa de Falla'!GK36=0,"",'[2]Tasa de Falla'!GK36)</f>
      </c>
      <c r="I36" s="464">
        <f>IF('[2]Tasa de Falla'!GL36=0,"",'[2]Tasa de Falla'!GL36)</f>
      </c>
      <c r="J36" s="464">
        <f>IF('[2]Tasa de Falla'!GM36=0,"",'[2]Tasa de Falla'!GM36)</f>
      </c>
      <c r="K36" s="464">
        <f>IF('[2]Tasa de Falla'!GN36=0,"",'[2]Tasa de Falla'!GN36)</f>
      </c>
      <c r="L36" s="464">
        <f>IF('[2]Tasa de Falla'!GO36=0,"",'[2]Tasa de Falla'!GO36)</f>
      </c>
      <c r="M36" s="464">
        <f>IF('[2]Tasa de Falla'!GP36=0,"",'[2]Tasa de Falla'!GP36)</f>
      </c>
      <c r="N36" s="464">
        <f>IF('[2]Tasa de Falla'!GQ36=0,"",'[2]Tasa de Falla'!GQ36)</f>
      </c>
      <c r="O36" s="464">
        <f>IF('[2]Tasa de Falla'!GR36=0,"",'[2]Tasa de Falla'!GR36)</f>
      </c>
      <c r="P36" s="464">
        <f>IF('[2]Tasa de Falla'!GS36=0,"",'[2]Tasa de Falla'!GS36)</f>
      </c>
      <c r="Q36" s="464">
        <f>IF('[2]Tasa de Falla'!GT36=0,"",'[2]Tasa de Falla'!GT36)</f>
      </c>
      <c r="R36" s="464">
        <f>IF('[2]Tasa de Falla'!GU36=0,"",'[2]Tasa de Falla'!GU36)</f>
      </c>
      <c r="S36" s="458"/>
      <c r="T36" s="453"/>
    </row>
    <row r="37" spans="2:20" s="454" customFormat="1" ht="24.75" customHeight="1" thickBot="1">
      <c r="B37" s="455"/>
      <c r="C37" s="471">
        <f>IF('[1]Tasa de Falla'!C36=0,"",'[1]Tasa de Falla'!C36)</f>
      </c>
      <c r="D37" s="472">
        <f>IF('[1]Tasa de Falla'!D36=0,"",'[1]Tasa de Falla'!D36)</f>
      </c>
      <c r="E37" s="473">
        <f>IF('[1]Tasa de Falla'!E36=0,"",'[1]Tasa de Falla'!E36)</f>
      </c>
      <c r="F37" s="474">
        <f>IF('[1]Tasa de Falla'!F36=0,"",'[1]Tasa de Falla'!F36)</f>
      </c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58"/>
      <c r="T37" s="453"/>
    </row>
    <row r="38" spans="2:20" s="454" customFormat="1" ht="24.75" customHeight="1" thickBot="1" thickTop="1">
      <c r="B38" s="455"/>
      <c r="C38" s="475"/>
      <c r="D38" s="476"/>
      <c r="E38" s="477" t="s">
        <v>165</v>
      </c>
      <c r="F38" s="478">
        <f>SUM(F17:F35)</f>
        <v>1370.9299999999998</v>
      </c>
      <c r="G38" s="480"/>
      <c r="H38" s="479"/>
      <c r="I38" s="480"/>
      <c r="J38" s="479"/>
      <c r="K38" s="480"/>
      <c r="L38" s="479"/>
      <c r="M38" s="480"/>
      <c r="N38" s="479"/>
      <c r="O38" s="480"/>
      <c r="P38" s="479"/>
      <c r="Q38" s="480"/>
      <c r="R38" s="479"/>
      <c r="S38" s="458"/>
      <c r="T38" s="453"/>
    </row>
    <row r="39" spans="2:20" s="454" customFormat="1" ht="24.75" customHeight="1" thickBot="1" thickTop="1">
      <c r="B39" s="455"/>
      <c r="C39" s="481"/>
      <c r="D39" s="482"/>
      <c r="F39" s="483" t="s">
        <v>166</v>
      </c>
      <c r="G39" s="484">
        <f>SUM(G17:G37)</f>
        <v>1</v>
      </c>
      <c r="H39" s="485">
        <f>SUM(H17:H37)</f>
        <v>1</v>
      </c>
      <c r="I39" s="485">
        <f aca="true" t="shared" si="0" ref="I39:R39">SUM(I17:I37)</f>
        <v>1</v>
      </c>
      <c r="J39" s="485">
        <f t="shared" si="0"/>
        <v>1</v>
      </c>
      <c r="K39" s="485">
        <f t="shared" si="0"/>
        <v>2</v>
      </c>
      <c r="L39" s="485">
        <f t="shared" si="0"/>
        <v>0</v>
      </c>
      <c r="M39" s="485">
        <f t="shared" si="0"/>
        <v>2</v>
      </c>
      <c r="N39" s="485">
        <f t="shared" si="0"/>
        <v>1</v>
      </c>
      <c r="O39" s="485">
        <f t="shared" si="0"/>
        <v>0</v>
      </c>
      <c r="P39" s="485">
        <f t="shared" si="0"/>
        <v>3</v>
      </c>
      <c r="Q39" s="485">
        <f t="shared" si="0"/>
        <v>1</v>
      </c>
      <c r="R39" s="485">
        <f t="shared" si="0"/>
        <v>2</v>
      </c>
      <c r="S39" s="486"/>
      <c r="T39" s="453"/>
    </row>
    <row r="40" spans="2:20" s="454" customFormat="1" ht="24.75" customHeight="1" thickBot="1" thickTop="1">
      <c r="B40" s="455"/>
      <c r="C40" s="481"/>
      <c r="D40" s="481"/>
      <c r="E40" s="481"/>
      <c r="F40" s="487" t="s">
        <v>167</v>
      </c>
      <c r="G40" s="488">
        <f>+'[2]Tasa de Falla'!GJ39</f>
        <v>0.95</v>
      </c>
      <c r="H40" s="488">
        <f>+'[2]Tasa de Falla'!GK39</f>
        <v>0.95</v>
      </c>
      <c r="I40" s="488">
        <f>+'[2]Tasa de Falla'!GL39</f>
        <v>0.8</v>
      </c>
      <c r="J40" s="488">
        <f>+'[2]Tasa de Falla'!GM39</f>
        <v>0.8</v>
      </c>
      <c r="K40" s="488">
        <f>+'[2]Tasa de Falla'!GN39</f>
        <v>0.88</v>
      </c>
      <c r="L40" s="488">
        <f>+'[2]Tasa de Falla'!GO39</f>
        <v>0.88</v>
      </c>
      <c r="M40" s="488">
        <f>+'[2]Tasa de Falla'!GP39</f>
        <v>0.88</v>
      </c>
      <c r="N40" s="488">
        <f>+'[2]Tasa de Falla'!GQ39</f>
        <v>1.02</v>
      </c>
      <c r="O40" s="488">
        <f>+'[2]Tasa de Falla'!GR39</f>
        <v>0.95</v>
      </c>
      <c r="P40" s="488">
        <f>+'[2]Tasa de Falla'!GS39</f>
        <v>0.95</v>
      </c>
      <c r="Q40" s="488">
        <f>+'[2]Tasa de Falla'!GT39</f>
        <v>1.09</v>
      </c>
      <c r="R40" s="488">
        <f>+'[2]Tasa de Falla'!GU39</f>
        <v>1.02</v>
      </c>
      <c r="S40" s="488">
        <f>+'[2]Tasa de Falla'!GV39</f>
        <v>1.09</v>
      </c>
      <c r="T40" s="453"/>
    </row>
    <row r="41" spans="2:20" ht="18.75" customHeight="1" thickBot="1" thickTop="1">
      <c r="B41" s="441"/>
      <c r="C41" s="481"/>
      <c r="D41" s="489"/>
      <c r="E41" s="490"/>
      <c r="F41" s="491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3"/>
    </row>
    <row r="42" spans="2:20" ht="17.25" thickBot="1" thickTop="1">
      <c r="B42" s="494"/>
      <c r="C42" s="445"/>
      <c r="D42" s="445"/>
      <c r="H42" s="495" t="s">
        <v>168</v>
      </c>
      <c r="I42" s="496"/>
      <c r="J42" s="497">
        <f>S40</f>
        <v>1.09</v>
      </c>
      <c r="K42" s="498" t="s">
        <v>169</v>
      </c>
      <c r="L42" s="499"/>
      <c r="M42" s="500"/>
      <c r="N42" s="501"/>
      <c r="O42" s="501"/>
      <c r="P42" s="501"/>
      <c r="Q42" s="501"/>
      <c r="R42" s="445"/>
      <c r="S42" s="445"/>
      <c r="T42" s="446"/>
    </row>
    <row r="43" spans="2:20" ht="18.75" customHeight="1" thickBot="1" thickTop="1">
      <c r="B43" s="502"/>
      <c r="C43" s="503"/>
      <c r="D43" s="504"/>
      <c r="E43" s="504"/>
      <c r="F43" s="505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7"/>
    </row>
    <row r="44" ht="13.5" thickTop="1">
      <c r="AA44" s="420">
        <f>ROUND(SUM(AA20:AA43),2)</f>
        <v>0</v>
      </c>
    </row>
  </sheetData>
  <sheetProtection/>
  <printOptions/>
  <pageMargins left="0.3937007874015748" right="0.1968503937007874" top="0.7874015748031497" bottom="0.94" header="0.5118110236220472" footer="0.5118110236220472"/>
  <pageSetup fitToHeight="1" fitToWidth="1" horizontalDpi="300" verticalDpi="300" orientation="landscape" paperSize="9" scale="47" r:id="rId2"/>
  <headerFooter alignWithMargins="0">
    <oddFooter>&amp;L&amp;F-&amp;A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00" customWidth="1"/>
    <col min="2" max="2" width="9.28125" style="400" customWidth="1"/>
    <col min="3" max="3" width="11.8515625" style="400" bestFit="1" customWidth="1"/>
    <col min="4" max="4" width="9.57421875" style="400" bestFit="1" customWidth="1"/>
    <col min="5" max="5" width="14.8515625" style="400" bestFit="1" customWidth="1"/>
    <col min="6" max="6" width="64.00390625" style="400" bestFit="1" customWidth="1"/>
    <col min="7" max="16384" width="11.421875" style="400" customWidth="1"/>
  </cols>
  <sheetData>
    <row r="1" spans="1:4" ht="12.75">
      <c r="A1" s="399" t="s">
        <v>75</v>
      </c>
      <c r="B1" s="399" t="s">
        <v>75</v>
      </c>
      <c r="C1" s="399" t="s">
        <v>76</v>
      </c>
      <c r="D1" s="399" t="s">
        <v>77</v>
      </c>
    </row>
    <row r="2" spans="1:4" ht="12.75">
      <c r="A2" s="401" t="s">
        <v>60</v>
      </c>
      <c r="B2" s="402" t="s">
        <v>78</v>
      </c>
      <c r="C2" s="401">
        <v>31</v>
      </c>
      <c r="D2" s="401">
        <v>2006</v>
      </c>
    </row>
    <row r="3" spans="1:4" ht="12.75">
      <c r="A3" s="401" t="s">
        <v>61</v>
      </c>
      <c r="B3" s="402" t="s">
        <v>79</v>
      </c>
      <c r="C3" s="401">
        <f>IF(MOD(E14,4)=0,29,28)</f>
        <v>28</v>
      </c>
      <c r="D3" s="401">
        <f>+D2+1</f>
        <v>2007</v>
      </c>
    </row>
    <row r="4" spans="1:4" ht="12.75">
      <c r="A4" s="401" t="s">
        <v>62</v>
      </c>
      <c r="B4" s="402" t="s">
        <v>80</v>
      </c>
      <c r="C4" s="401">
        <v>31</v>
      </c>
      <c r="D4" s="401">
        <v>2008</v>
      </c>
    </row>
    <row r="5" spans="1:4" ht="12.75">
      <c r="A5" s="401" t="s">
        <v>63</v>
      </c>
      <c r="B5" s="402" t="s">
        <v>81</v>
      </c>
      <c r="C5" s="401">
        <v>30</v>
      </c>
      <c r="D5" s="401">
        <v>2009</v>
      </c>
    </row>
    <row r="6" spans="1:4" ht="12.75">
      <c r="A6" s="401" t="s">
        <v>64</v>
      </c>
      <c r="B6" s="402" t="s">
        <v>82</v>
      </c>
      <c r="C6" s="401">
        <v>31</v>
      </c>
      <c r="D6" s="401">
        <v>2010</v>
      </c>
    </row>
    <row r="7" spans="1:4" ht="12.75">
      <c r="A7" s="401" t="s">
        <v>65</v>
      </c>
      <c r="B7" s="402" t="s">
        <v>83</v>
      </c>
      <c r="C7" s="401">
        <v>30</v>
      </c>
      <c r="D7" s="401">
        <v>2011</v>
      </c>
    </row>
    <row r="8" spans="1:4" ht="12.75">
      <c r="A8" s="401" t="s">
        <v>66</v>
      </c>
      <c r="B8" s="402" t="s">
        <v>84</v>
      </c>
      <c r="C8" s="401">
        <v>31</v>
      </c>
      <c r="D8" s="401"/>
    </row>
    <row r="9" spans="1:4" ht="12.75">
      <c r="A9" s="401" t="s">
        <v>67</v>
      </c>
      <c r="B9" s="402" t="s">
        <v>85</v>
      </c>
      <c r="C9" s="401">
        <v>31</v>
      </c>
      <c r="D9" s="401"/>
    </row>
    <row r="10" spans="1:4" ht="12.75">
      <c r="A10" s="401" t="s">
        <v>68</v>
      </c>
      <c r="B10" s="402" t="s">
        <v>86</v>
      </c>
      <c r="C10" s="401">
        <v>30</v>
      </c>
      <c r="D10" s="401"/>
    </row>
    <row r="11" spans="1:4" ht="12.75">
      <c r="A11" s="401" t="s">
        <v>69</v>
      </c>
      <c r="B11" s="402" t="s">
        <v>87</v>
      </c>
      <c r="C11" s="401">
        <v>31</v>
      </c>
      <c r="D11" s="401"/>
    </row>
    <row r="12" spans="1:4" ht="12.75">
      <c r="A12" s="401" t="s">
        <v>70</v>
      </c>
      <c r="B12" s="402" t="s">
        <v>88</v>
      </c>
      <c r="C12" s="401">
        <v>30</v>
      </c>
      <c r="D12" s="401"/>
    </row>
    <row r="13" spans="1:9" ht="12.75">
      <c r="A13" s="401" t="s">
        <v>71</v>
      </c>
      <c r="B13" s="402" t="s">
        <v>89</v>
      </c>
      <c r="C13" s="401">
        <v>31</v>
      </c>
      <c r="D13" s="401"/>
      <c r="I13" s="403" t="s">
        <v>90</v>
      </c>
    </row>
    <row r="14" spans="1:9" ht="12.75">
      <c r="A14" s="404">
        <v>6</v>
      </c>
      <c r="B14" s="405">
        <v>12</v>
      </c>
      <c r="C14" s="404" t="str">
        <f ca="1">CELL("CONTENIDO",OFFSET(A1,B14,0))</f>
        <v>diciembre</v>
      </c>
      <c r="D14" s="404">
        <f ca="1">CELL("CONTENIDO",OFFSET(C1,B14,0))</f>
        <v>31</v>
      </c>
      <c r="E14" s="404">
        <f ca="1">CELL("CONTENIDO",OFFSET(D1,A14,0))</f>
        <v>2011</v>
      </c>
      <c r="F14" s="404" t="str">
        <f>"Desde el 01 al "&amp;D14&amp;" de "&amp;C14&amp;" de "&amp;E14</f>
        <v>Desde el 01 al 31 de diciembre de 2011</v>
      </c>
      <c r="G14" s="404" t="str">
        <f ca="1">CELL("CONTENIDO",OFFSET(B1,B14,0))</f>
        <v>12</v>
      </c>
      <c r="H14" s="404" t="str">
        <f>RIGHT(E14,2)</f>
        <v>11</v>
      </c>
      <c r="I14" s="406" t="s">
        <v>91</v>
      </c>
    </row>
    <row r="15" spans="1:8" ht="12.75">
      <c r="A15" s="404"/>
      <c r="B15" s="407" t="str">
        <f>"\\rugor\files\Transporte\Transporte\AA PROCESO AUT ARCHIVOS J\DISTROCUYO\"&amp;E14</f>
        <v>\\rugor\files\Transporte\Transporte\AA PROCESO AUT ARCHIVOS J\DISTROCUYO\2011</v>
      </c>
      <c r="C15" s="404"/>
      <c r="D15" s="404"/>
      <c r="E15" s="404"/>
      <c r="F15" s="404"/>
      <c r="G15" s="404" t="str">
        <f>"J"&amp;G14&amp;H14&amp;"CUY"</f>
        <v>J1211CUY</v>
      </c>
      <c r="H15" s="404"/>
    </row>
    <row r="16" spans="1:8" ht="12.75">
      <c r="A16" s="404"/>
      <c r="B16" s="407" t="str">
        <f>"\\rugor\files\Transporte\transporte\AA PROCESO AUT\INTERCAMBIO\"&amp;H14&amp;G14</f>
        <v>\\rugor\files\Transporte\transporte\AA PROCESO AUT\INTERCAMBIO\1112</v>
      </c>
      <c r="C16" s="404"/>
      <c r="D16" s="404"/>
      <c r="E16" s="404"/>
      <c r="F16" s="404"/>
      <c r="G16" s="404"/>
      <c r="H16" s="404"/>
    </row>
    <row r="17" spans="1:29" s="408" customFormat="1" ht="12.75">
      <c r="A17" s="399" t="s">
        <v>92</v>
      </c>
      <c r="B17" s="399" t="s">
        <v>93</v>
      </c>
      <c r="C17" s="399" t="s">
        <v>94</v>
      </c>
      <c r="D17" s="399" t="s">
        <v>95</v>
      </c>
      <c r="E17" s="399" t="s">
        <v>96</v>
      </c>
      <c r="F17" s="399" t="s">
        <v>97</v>
      </c>
      <c r="G17" s="399" t="s">
        <v>125</v>
      </c>
      <c r="H17" s="399" t="s">
        <v>98</v>
      </c>
      <c r="I17" s="399" t="s">
        <v>99</v>
      </c>
      <c r="J17" s="399" t="s">
        <v>100</v>
      </c>
      <c r="K17" s="399" t="s">
        <v>101</v>
      </c>
      <c r="L17" s="399" t="s">
        <v>102</v>
      </c>
      <c r="M17" s="399" t="s">
        <v>103</v>
      </c>
      <c r="N17" s="399" t="s">
        <v>104</v>
      </c>
      <c r="O17" s="399" t="s">
        <v>105</v>
      </c>
      <c r="P17" s="399" t="s">
        <v>106</v>
      </c>
      <c r="Q17" s="399" t="s">
        <v>107</v>
      </c>
      <c r="R17" s="399" t="s">
        <v>108</v>
      </c>
      <c r="S17" s="399" t="s">
        <v>109</v>
      </c>
      <c r="T17" s="399" t="s">
        <v>110</v>
      </c>
      <c r="U17" s="399" t="s">
        <v>111</v>
      </c>
      <c r="V17" s="399" t="s">
        <v>112</v>
      </c>
      <c r="W17" s="399" t="s">
        <v>113</v>
      </c>
      <c r="X17" s="399" t="s">
        <v>114</v>
      </c>
      <c r="Y17" s="399" t="s">
        <v>115</v>
      </c>
      <c r="Z17" s="399" t="s">
        <v>116</v>
      </c>
      <c r="AA17" s="399" t="s">
        <v>117</v>
      </c>
      <c r="AB17" s="399" t="s">
        <v>118</v>
      </c>
      <c r="AC17" s="399" t="s">
        <v>119</v>
      </c>
    </row>
    <row r="18" spans="1:29" ht="12.75">
      <c r="A18" s="409" t="s">
        <v>120</v>
      </c>
      <c r="B18" s="409">
        <v>21</v>
      </c>
      <c r="C18" s="409">
        <v>19</v>
      </c>
      <c r="D18" s="409">
        <v>12</v>
      </c>
      <c r="E18" s="409" t="str">
        <f>"LI-"&amp;$G$14</f>
        <v>LI-12</v>
      </c>
      <c r="F18" s="409" t="s">
        <v>126</v>
      </c>
      <c r="G18" s="409">
        <v>3</v>
      </c>
      <c r="H18" s="410">
        <v>5</v>
      </c>
      <c r="I18" s="410">
        <v>4</v>
      </c>
      <c r="J18" s="409">
        <v>6</v>
      </c>
      <c r="K18" s="409">
        <v>7</v>
      </c>
      <c r="L18" s="409">
        <v>8</v>
      </c>
      <c r="M18" s="409">
        <v>0</v>
      </c>
      <c r="N18" s="409">
        <v>10</v>
      </c>
      <c r="O18" s="409">
        <v>11</v>
      </c>
      <c r="P18" s="409">
        <v>14</v>
      </c>
      <c r="Q18" s="409">
        <v>26</v>
      </c>
      <c r="R18" s="409">
        <v>0</v>
      </c>
      <c r="S18" s="409">
        <v>15</v>
      </c>
      <c r="T18" s="409">
        <v>0</v>
      </c>
      <c r="U18" s="409">
        <v>0</v>
      </c>
      <c r="V18" s="409">
        <v>0</v>
      </c>
      <c r="W18" s="409">
        <v>18</v>
      </c>
      <c r="X18" s="409">
        <v>9</v>
      </c>
      <c r="Y18" s="409">
        <v>42</v>
      </c>
      <c r="Z18" s="409">
        <v>27</v>
      </c>
      <c r="AA18" s="409">
        <v>19</v>
      </c>
      <c r="AB18" s="409">
        <v>27</v>
      </c>
      <c r="AC18" s="409">
        <v>14</v>
      </c>
    </row>
    <row r="19" spans="1:29" ht="12.75">
      <c r="A19" s="411" t="s">
        <v>121</v>
      </c>
      <c r="B19" s="411">
        <v>22</v>
      </c>
      <c r="C19" s="411">
        <v>19</v>
      </c>
      <c r="D19" s="411">
        <v>13</v>
      </c>
      <c r="E19" s="411" t="str">
        <f>"T-"&amp;$G$14</f>
        <v>T-12</v>
      </c>
      <c r="F19" s="411" t="s">
        <v>127</v>
      </c>
      <c r="G19" s="409">
        <v>3</v>
      </c>
      <c r="H19" s="410">
        <v>5</v>
      </c>
      <c r="I19" s="410">
        <v>4</v>
      </c>
      <c r="J19" s="411">
        <v>6</v>
      </c>
      <c r="K19" s="411">
        <v>7</v>
      </c>
      <c r="L19" s="411">
        <v>8</v>
      </c>
      <c r="M19" s="411">
        <v>9</v>
      </c>
      <c r="N19" s="411">
        <v>11</v>
      </c>
      <c r="O19" s="411">
        <v>12</v>
      </c>
      <c r="P19" s="411">
        <v>15</v>
      </c>
      <c r="Q19" s="411">
        <v>16</v>
      </c>
      <c r="R19" s="411">
        <v>18</v>
      </c>
      <c r="S19" s="411">
        <v>28</v>
      </c>
      <c r="T19" s="411">
        <v>17</v>
      </c>
      <c r="U19" s="411">
        <v>0</v>
      </c>
      <c r="V19" s="411">
        <v>0</v>
      </c>
      <c r="W19" s="411">
        <v>22</v>
      </c>
      <c r="X19" s="409">
        <v>9</v>
      </c>
      <c r="Y19" s="411">
        <v>43</v>
      </c>
      <c r="Z19" s="411">
        <v>29</v>
      </c>
      <c r="AA19" s="411">
        <v>20</v>
      </c>
      <c r="AB19" s="411">
        <v>29</v>
      </c>
      <c r="AC19" s="411">
        <v>15</v>
      </c>
    </row>
    <row r="20" spans="1:29" ht="12.75">
      <c r="A20" s="409" t="s">
        <v>122</v>
      </c>
      <c r="B20" s="409">
        <v>22</v>
      </c>
      <c r="C20" s="409">
        <v>19</v>
      </c>
      <c r="D20" s="409">
        <v>10</v>
      </c>
      <c r="E20" s="409" t="str">
        <f>"SA-"&amp;$G$14</f>
        <v>SA-12</v>
      </c>
      <c r="F20" s="409" t="s">
        <v>128</v>
      </c>
      <c r="G20" s="409">
        <v>3</v>
      </c>
      <c r="H20" s="410">
        <v>5</v>
      </c>
      <c r="I20" s="410">
        <v>4</v>
      </c>
      <c r="J20" s="409">
        <v>6</v>
      </c>
      <c r="K20" s="409">
        <v>7</v>
      </c>
      <c r="L20" s="409">
        <v>8</v>
      </c>
      <c r="M20" s="409">
        <v>10</v>
      </c>
      <c r="N20" s="409">
        <v>11</v>
      </c>
      <c r="O20" s="409">
        <v>14</v>
      </c>
      <c r="P20" s="409">
        <v>15</v>
      </c>
      <c r="Q20" s="409">
        <v>21</v>
      </c>
      <c r="R20" s="409">
        <v>0</v>
      </c>
      <c r="S20" s="409">
        <v>0</v>
      </c>
      <c r="T20" s="409">
        <v>0</v>
      </c>
      <c r="U20" s="409">
        <v>0</v>
      </c>
      <c r="V20" s="409">
        <v>0</v>
      </c>
      <c r="W20" s="409">
        <v>24</v>
      </c>
      <c r="X20" s="409">
        <v>9</v>
      </c>
      <c r="Y20" s="409">
        <v>43</v>
      </c>
      <c r="Z20" s="409">
        <v>22</v>
      </c>
      <c r="AA20" s="409">
        <v>20</v>
      </c>
      <c r="AB20" s="409">
        <v>22</v>
      </c>
      <c r="AC20" s="409">
        <v>14</v>
      </c>
    </row>
    <row r="21" spans="1:29" s="408" customFormat="1" ht="12.75">
      <c r="A21" s="412" t="s">
        <v>123</v>
      </c>
      <c r="B21" s="412">
        <v>19</v>
      </c>
      <c r="C21" s="412">
        <v>24</v>
      </c>
      <c r="D21" s="413">
        <v>4</v>
      </c>
      <c r="E21" s="412" t="str">
        <f>"CAUSAS-VST-"&amp;$G$14</f>
        <v>CAUSAS-VST-12</v>
      </c>
      <c r="F21" s="412" t="s">
        <v>124</v>
      </c>
      <c r="G21" s="412">
        <v>3</v>
      </c>
      <c r="H21" s="412">
        <v>4</v>
      </c>
      <c r="I21" s="412">
        <v>5</v>
      </c>
      <c r="J21" s="412">
        <v>6</v>
      </c>
      <c r="K21" s="412">
        <v>7</v>
      </c>
      <c r="L21" s="412">
        <v>0</v>
      </c>
      <c r="M21" s="412">
        <v>0</v>
      </c>
      <c r="N21" s="412">
        <v>0</v>
      </c>
      <c r="O21" s="412">
        <v>0</v>
      </c>
      <c r="P21" s="412">
        <v>0</v>
      </c>
      <c r="Q21" s="412">
        <v>0</v>
      </c>
      <c r="R21" s="412">
        <v>0</v>
      </c>
      <c r="S21" s="412">
        <v>0</v>
      </c>
      <c r="T21" s="412">
        <v>0</v>
      </c>
      <c r="U21" s="412">
        <v>0</v>
      </c>
      <c r="V21" s="412">
        <v>0</v>
      </c>
      <c r="W21" s="412">
        <v>999</v>
      </c>
      <c r="X21" s="412">
        <v>999</v>
      </c>
      <c r="Y21" s="412">
        <v>0</v>
      </c>
      <c r="Z21" s="412">
        <v>0</v>
      </c>
      <c r="AA21" s="412">
        <v>0</v>
      </c>
      <c r="AB21" s="412">
        <v>0</v>
      </c>
      <c r="AC21" s="412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goyola</cp:lastModifiedBy>
  <cp:lastPrinted>2013-07-10T13:37:47Z</cp:lastPrinted>
  <dcterms:created xsi:type="dcterms:W3CDTF">1998-09-02T21:31:22Z</dcterms:created>
  <dcterms:modified xsi:type="dcterms:W3CDTF">2013-11-20T14:43:29Z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